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uniofnottm-my.sharepoint.com/personal/benjamin_hadwin1_nottingham_ac_uk/Documents/2017 Pay Neg/2017 pay scales/"/>
    </mc:Choice>
  </mc:AlternateContent>
  <bookViews>
    <workbookView xWindow="0" yWindow="0" windowWidth="28800" windowHeight="12435"/>
  </bookViews>
  <sheets>
    <sheet name="Rates" sheetId="1" r:id="rId1"/>
    <sheet name="Thresholds_Rates" sheetId="7" state="hidden" r:id="rId2"/>
    <sheet name="Points_Lookup" sheetId="4" state="hidden" r:id="rId3"/>
    <sheet name="Grades" sheetId="2" state="hidden" r:id="rId4"/>
  </sheets>
  <definedNames>
    <definedName name="_xlnm._FilterDatabase" localSheetId="3" hidden="1">Grades!$A$1:$BJ$78</definedName>
    <definedName name="LIST">OFFSET(Grades!$A$2,0,0,COUNTA(Grades!$A:$A)-1,1)</definedName>
    <definedName name="_xlnm.Print_Area" localSheetId="0">Rates!$B$3:$P$36</definedName>
  </definedNames>
  <calcPr calcId="152511"/>
</workbook>
</file>

<file path=xl/calcChain.xml><?xml version="1.0" encoding="utf-8"?>
<calcChain xmlns="http://schemas.openxmlformats.org/spreadsheetml/2006/main">
  <c r="AC6" i="4" l="1"/>
  <c r="AC3" i="4" l="1"/>
  <c r="E295" i="1" l="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AE4" i="4" l="1"/>
  <c r="AE5" i="4"/>
  <c r="AE6" i="4"/>
  <c r="AE7" i="4"/>
  <c r="AE8" i="4"/>
  <c r="AE9" i="4"/>
  <c r="AE10" i="4"/>
  <c r="AE11" i="4"/>
  <c r="AE12" i="4"/>
  <c r="AE13" i="4"/>
  <c r="AE14" i="4"/>
  <c r="AE15" i="4"/>
  <c r="AE16" i="4"/>
  <c r="AE17" i="4"/>
  <c r="AE18" i="4"/>
  <c r="AE19" i="4"/>
  <c r="AE20" i="4"/>
  <c r="AE21" i="4"/>
  <c r="AE22" i="4"/>
  <c r="AE23" i="4"/>
  <c r="AE24"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E72" i="4"/>
  <c r="AE73" i="4"/>
  <c r="AE74" i="4"/>
  <c r="AE75" i="4"/>
  <c r="AE76" i="4"/>
  <c r="AE77" i="4"/>
  <c r="AE78" i="4"/>
  <c r="AE79" i="4"/>
  <c r="AE80" i="4"/>
  <c r="AE81" i="4"/>
  <c r="AE82" i="4"/>
  <c r="AE83" i="4"/>
  <c r="AE84" i="4"/>
  <c r="AE85" i="4"/>
  <c r="AE86" i="4"/>
  <c r="AE87" i="4"/>
  <c r="AE88" i="4"/>
  <c r="AE89" i="4"/>
  <c r="AE90" i="4"/>
  <c r="AE91" i="4"/>
  <c r="AE92" i="4"/>
  <c r="AE93" i="4"/>
  <c r="AE94" i="4"/>
  <c r="AE95" i="4"/>
  <c r="AE96" i="4"/>
  <c r="AE97" i="4"/>
  <c r="AE98" i="4"/>
  <c r="AE99" i="4"/>
  <c r="AE100" i="4"/>
  <c r="AE101" i="4"/>
  <c r="AE102" i="4"/>
  <c r="AE103" i="4"/>
  <c r="AE104" i="4"/>
  <c r="AE105" i="4"/>
  <c r="AE106" i="4"/>
  <c r="AE107" i="4"/>
  <c r="AE108" i="4"/>
  <c r="AE109" i="4"/>
  <c r="AE110" i="4"/>
  <c r="AE111" i="4"/>
  <c r="AE112" i="4"/>
  <c r="AE113" i="4"/>
  <c r="AE114" i="4"/>
  <c r="AE115" i="4"/>
  <c r="AE116" i="4"/>
  <c r="AE117" i="4"/>
  <c r="AE118" i="4"/>
  <c r="AE119" i="4"/>
  <c r="AE120" i="4"/>
  <c r="AE121" i="4"/>
  <c r="AE122" i="4"/>
  <c r="AE123" i="4"/>
  <c r="AE124" i="4"/>
  <c r="AE125" i="4"/>
  <c r="AE126" i="4"/>
  <c r="AE127" i="4"/>
  <c r="AE128" i="4"/>
  <c r="AE129" i="4"/>
  <c r="AE130" i="4"/>
  <c r="AE131" i="4"/>
  <c r="AE132" i="4"/>
  <c r="AE133" i="4"/>
  <c r="AE134" i="4"/>
  <c r="AE135" i="4"/>
  <c r="AE136" i="4"/>
  <c r="AE137" i="4"/>
  <c r="AE138" i="4"/>
  <c r="AE139" i="4"/>
  <c r="AE140" i="4"/>
  <c r="AE141" i="4"/>
  <c r="AE142" i="4"/>
  <c r="AE143" i="4"/>
  <c r="AE144" i="4"/>
  <c r="AE145" i="4"/>
  <c r="AE146" i="4"/>
  <c r="AE147" i="4"/>
  <c r="AE148" i="4"/>
  <c r="AE149" i="4"/>
  <c r="AE150" i="4"/>
  <c r="AE151" i="4"/>
  <c r="AE152" i="4"/>
  <c r="AE153" i="4"/>
  <c r="AE154" i="4"/>
  <c r="AE155" i="4"/>
  <c r="AE156" i="4"/>
  <c r="AE157" i="4"/>
  <c r="AE158" i="4"/>
  <c r="AE159" i="4"/>
  <c r="AE160" i="4"/>
  <c r="AE161" i="4"/>
  <c r="AE162" i="4"/>
  <c r="AE163" i="4"/>
  <c r="AE164" i="4"/>
  <c r="AE165" i="4"/>
  <c r="AE166" i="4"/>
  <c r="AE167" i="4"/>
  <c r="AE168" i="4"/>
  <c r="AE169" i="4"/>
  <c r="AE170" i="4"/>
  <c r="AE171" i="4"/>
  <c r="AE172" i="4"/>
  <c r="AE173" i="4"/>
  <c r="AE174" i="4"/>
  <c r="AE175" i="4"/>
  <c r="AE176" i="4"/>
  <c r="AE177" i="4"/>
  <c r="AE178" i="4"/>
  <c r="AE179" i="4"/>
  <c r="AE180" i="4"/>
  <c r="AE181" i="4"/>
  <c r="AE182" i="4"/>
  <c r="AE183" i="4"/>
  <c r="AE184" i="4"/>
  <c r="AE185" i="4"/>
  <c r="AE186" i="4"/>
  <c r="AE187" i="4"/>
  <c r="AE188" i="4"/>
  <c r="AE189" i="4"/>
  <c r="AE190" i="4"/>
  <c r="AE191" i="4"/>
  <c r="AE192" i="4"/>
  <c r="AE193" i="4"/>
  <c r="AE194" i="4"/>
  <c r="AE195" i="4"/>
  <c r="AE196" i="4"/>
  <c r="AE197" i="4"/>
  <c r="AE198" i="4"/>
  <c r="AE199" i="4"/>
  <c r="AE200" i="4"/>
  <c r="AE201" i="4"/>
  <c r="AE202" i="4"/>
  <c r="AE203" i="4"/>
  <c r="AE204" i="4"/>
  <c r="AE205" i="4"/>
  <c r="AE206" i="4"/>
  <c r="AE207" i="4"/>
  <c r="AE208" i="4"/>
  <c r="AE209" i="4"/>
  <c r="AE210" i="4"/>
  <c r="AE211" i="4"/>
  <c r="AE212" i="4"/>
  <c r="AE213" i="4"/>
  <c r="AE214" i="4"/>
  <c r="AE215" i="4"/>
  <c r="AE216" i="4"/>
  <c r="AE217" i="4"/>
  <c r="AE218" i="4"/>
  <c r="AE219" i="4"/>
  <c r="AE220" i="4"/>
  <c r="AE221" i="4"/>
  <c r="AE222" i="4"/>
  <c r="AE223" i="4"/>
  <c r="AE224" i="4"/>
  <c r="AE225" i="4"/>
  <c r="AE226" i="4"/>
  <c r="AE227" i="4"/>
  <c r="AE228" i="4"/>
  <c r="AE229" i="4"/>
  <c r="AE230" i="4"/>
  <c r="AE231" i="4"/>
  <c r="AE232" i="4"/>
  <c r="AE233" i="4"/>
  <c r="AE234" i="4"/>
  <c r="AE235" i="4"/>
  <c r="AE236" i="4"/>
  <c r="AE237" i="4"/>
  <c r="AE238" i="4"/>
  <c r="AE239" i="4"/>
  <c r="AE240" i="4"/>
  <c r="AE241" i="4"/>
  <c r="AE242" i="4"/>
  <c r="AE243" i="4"/>
  <c r="AE244" i="4"/>
  <c r="AE245" i="4"/>
  <c r="AE246" i="4"/>
  <c r="AE247" i="4"/>
  <c r="AE248" i="4"/>
  <c r="AE249" i="4"/>
  <c r="AE250" i="4"/>
  <c r="AE251" i="4"/>
  <c r="AE252" i="4"/>
  <c r="AE253" i="4"/>
  <c r="AE254" i="4"/>
  <c r="AE255" i="4"/>
  <c r="AE256" i="4"/>
  <c r="AE257" i="4"/>
  <c r="AE258" i="4"/>
  <c r="AE259" i="4"/>
  <c r="AE260" i="4"/>
  <c r="AE261" i="4"/>
  <c r="AE262" i="4"/>
  <c r="AE263" i="4"/>
  <c r="AE264" i="4"/>
  <c r="AE265" i="4"/>
  <c r="AE266" i="4"/>
  <c r="AE267" i="4"/>
  <c r="AE268" i="4"/>
  <c r="AE269" i="4"/>
  <c r="AE270" i="4"/>
  <c r="AE271" i="4"/>
  <c r="AE272" i="4"/>
  <c r="AE273" i="4"/>
  <c r="AE274" i="4"/>
  <c r="AE275" i="4"/>
  <c r="AE276" i="4"/>
  <c r="AE277" i="4"/>
  <c r="AE278" i="4"/>
  <c r="AE279" i="4"/>
  <c r="AE280" i="4"/>
  <c r="AE281" i="4"/>
  <c r="AE282" i="4"/>
  <c r="AE283" i="4"/>
  <c r="AE284" i="4"/>
  <c r="AE285" i="4"/>
  <c r="AE3" i="4"/>
  <c r="L174" i="1" l="1"/>
  <c r="M174" i="1"/>
  <c r="N174" i="1"/>
  <c r="O174" i="1"/>
  <c r="P174" i="1"/>
  <c r="L175" i="1"/>
  <c r="M175" i="1"/>
  <c r="N175" i="1"/>
  <c r="O175" i="1"/>
  <c r="P175" i="1"/>
  <c r="L176" i="1"/>
  <c r="M176" i="1"/>
  <c r="N176" i="1"/>
  <c r="O176" i="1"/>
  <c r="P176" i="1"/>
  <c r="L177" i="1"/>
  <c r="M177" i="1"/>
  <c r="N177" i="1"/>
  <c r="O177" i="1"/>
  <c r="P177" i="1"/>
  <c r="L178" i="1"/>
  <c r="M178" i="1"/>
  <c r="N178" i="1"/>
  <c r="O178" i="1"/>
  <c r="P178" i="1"/>
  <c r="L179" i="1"/>
  <c r="M179" i="1"/>
  <c r="N179" i="1"/>
  <c r="O179" i="1"/>
  <c r="P179" i="1"/>
  <c r="L180" i="1"/>
  <c r="M180" i="1"/>
  <c r="N180" i="1"/>
  <c r="O180" i="1"/>
  <c r="P180" i="1"/>
  <c r="L181" i="1"/>
  <c r="M181" i="1"/>
  <c r="N181" i="1"/>
  <c r="O181" i="1"/>
  <c r="P181" i="1"/>
  <c r="L182" i="1"/>
  <c r="M182" i="1"/>
  <c r="N182" i="1"/>
  <c r="O182" i="1"/>
  <c r="P182" i="1"/>
  <c r="L183" i="1"/>
  <c r="M183" i="1"/>
  <c r="N183" i="1"/>
  <c r="O183" i="1"/>
  <c r="P183" i="1"/>
  <c r="L184" i="1"/>
  <c r="M184" i="1"/>
  <c r="N184" i="1"/>
  <c r="O184" i="1"/>
  <c r="P184" i="1"/>
  <c r="L185" i="1"/>
  <c r="M185" i="1"/>
  <c r="N185" i="1"/>
  <c r="O185" i="1"/>
  <c r="P185" i="1"/>
  <c r="L186" i="1"/>
  <c r="M186" i="1"/>
  <c r="N186" i="1"/>
  <c r="O186" i="1"/>
  <c r="P186" i="1"/>
  <c r="L187" i="1"/>
  <c r="M187" i="1"/>
  <c r="N187" i="1"/>
  <c r="O187" i="1"/>
  <c r="P187" i="1"/>
  <c r="L188" i="1"/>
  <c r="M188" i="1"/>
  <c r="N188" i="1"/>
  <c r="O188" i="1"/>
  <c r="P188" i="1"/>
  <c r="L189" i="1"/>
  <c r="M189" i="1"/>
  <c r="N189" i="1"/>
  <c r="O189" i="1"/>
  <c r="P189" i="1"/>
  <c r="L190" i="1"/>
  <c r="M190" i="1"/>
  <c r="N190" i="1"/>
  <c r="O190" i="1"/>
  <c r="P190" i="1"/>
  <c r="L191" i="1"/>
  <c r="M191" i="1"/>
  <c r="N191" i="1"/>
  <c r="O191" i="1"/>
  <c r="P191" i="1"/>
  <c r="L192" i="1"/>
  <c r="M192" i="1"/>
  <c r="N192" i="1"/>
  <c r="O192" i="1"/>
  <c r="P192" i="1"/>
  <c r="L193" i="1"/>
  <c r="M193" i="1"/>
  <c r="N193" i="1"/>
  <c r="O193" i="1"/>
  <c r="P193" i="1"/>
  <c r="L194" i="1"/>
  <c r="M194" i="1"/>
  <c r="N194" i="1"/>
  <c r="O194" i="1"/>
  <c r="P194" i="1"/>
  <c r="L195" i="1"/>
  <c r="M195" i="1"/>
  <c r="N195" i="1"/>
  <c r="O195" i="1"/>
  <c r="P195" i="1"/>
  <c r="L196" i="1"/>
  <c r="M196" i="1"/>
  <c r="N196" i="1"/>
  <c r="O196" i="1"/>
  <c r="P196" i="1"/>
  <c r="L197" i="1"/>
  <c r="M197" i="1"/>
  <c r="N197" i="1"/>
  <c r="O197" i="1"/>
  <c r="P197" i="1"/>
  <c r="L198" i="1"/>
  <c r="M198" i="1"/>
  <c r="N198" i="1"/>
  <c r="O198" i="1"/>
  <c r="P198" i="1"/>
  <c r="L199" i="1"/>
  <c r="M199" i="1"/>
  <c r="N199" i="1"/>
  <c r="O199" i="1"/>
  <c r="P199" i="1"/>
  <c r="L200" i="1"/>
  <c r="M200" i="1"/>
  <c r="N200" i="1"/>
  <c r="O200" i="1"/>
  <c r="P200" i="1"/>
  <c r="L201" i="1"/>
  <c r="M201" i="1"/>
  <c r="N201" i="1"/>
  <c r="O201" i="1"/>
  <c r="P201" i="1"/>
  <c r="L202" i="1"/>
  <c r="M202" i="1"/>
  <c r="N202" i="1"/>
  <c r="O202" i="1"/>
  <c r="P202" i="1"/>
  <c r="L203" i="1"/>
  <c r="M203" i="1"/>
  <c r="N203" i="1"/>
  <c r="O203" i="1"/>
  <c r="P203" i="1"/>
  <c r="L204" i="1"/>
  <c r="M204" i="1"/>
  <c r="N204" i="1"/>
  <c r="O204" i="1"/>
  <c r="P204" i="1"/>
  <c r="L205" i="1"/>
  <c r="M205" i="1"/>
  <c r="N205" i="1"/>
  <c r="O205" i="1"/>
  <c r="P205" i="1"/>
  <c r="L206" i="1"/>
  <c r="M206" i="1"/>
  <c r="N206" i="1"/>
  <c r="O206" i="1"/>
  <c r="P206" i="1"/>
  <c r="L207" i="1"/>
  <c r="M207" i="1"/>
  <c r="N207" i="1"/>
  <c r="O207" i="1"/>
  <c r="P207" i="1"/>
  <c r="L208" i="1"/>
  <c r="M208" i="1"/>
  <c r="N208" i="1"/>
  <c r="O208" i="1"/>
  <c r="P208" i="1"/>
  <c r="L209" i="1"/>
  <c r="M209" i="1"/>
  <c r="N209" i="1"/>
  <c r="O209" i="1"/>
  <c r="P209" i="1"/>
  <c r="L210" i="1"/>
  <c r="M210" i="1"/>
  <c r="N210" i="1"/>
  <c r="O210" i="1"/>
  <c r="P210" i="1"/>
  <c r="L211" i="1"/>
  <c r="M211" i="1"/>
  <c r="N211" i="1"/>
  <c r="O211" i="1"/>
  <c r="P211" i="1"/>
  <c r="L212" i="1"/>
  <c r="M212" i="1"/>
  <c r="N212" i="1"/>
  <c r="O212" i="1"/>
  <c r="P212" i="1"/>
  <c r="L213" i="1"/>
  <c r="M213" i="1"/>
  <c r="N213" i="1"/>
  <c r="O213" i="1"/>
  <c r="P213" i="1"/>
  <c r="L214" i="1"/>
  <c r="M214" i="1"/>
  <c r="N214" i="1"/>
  <c r="O214" i="1"/>
  <c r="P214" i="1"/>
  <c r="L215" i="1"/>
  <c r="M215" i="1"/>
  <c r="N215" i="1"/>
  <c r="O215" i="1"/>
  <c r="P215" i="1"/>
  <c r="L216" i="1"/>
  <c r="M216" i="1"/>
  <c r="N216" i="1"/>
  <c r="O216" i="1"/>
  <c r="P216" i="1"/>
  <c r="L217" i="1"/>
  <c r="M217" i="1"/>
  <c r="N217" i="1"/>
  <c r="O217" i="1"/>
  <c r="P217" i="1"/>
  <c r="L218" i="1"/>
  <c r="M218" i="1"/>
  <c r="N218" i="1"/>
  <c r="O218" i="1"/>
  <c r="P218" i="1"/>
  <c r="L219" i="1"/>
  <c r="M219" i="1"/>
  <c r="N219" i="1"/>
  <c r="O219" i="1"/>
  <c r="P219" i="1"/>
  <c r="L220" i="1"/>
  <c r="M220" i="1"/>
  <c r="N220" i="1"/>
  <c r="O220" i="1"/>
  <c r="P220" i="1"/>
  <c r="L221" i="1"/>
  <c r="M221" i="1"/>
  <c r="N221" i="1"/>
  <c r="O221" i="1"/>
  <c r="P221" i="1"/>
  <c r="L222" i="1"/>
  <c r="M222" i="1"/>
  <c r="N222" i="1"/>
  <c r="O222" i="1"/>
  <c r="P222" i="1"/>
  <c r="L223" i="1"/>
  <c r="M223" i="1"/>
  <c r="N223" i="1"/>
  <c r="O223" i="1"/>
  <c r="P223" i="1"/>
  <c r="L224" i="1"/>
  <c r="M224" i="1"/>
  <c r="N224" i="1"/>
  <c r="O224" i="1"/>
  <c r="P224" i="1"/>
  <c r="L225" i="1"/>
  <c r="M225" i="1"/>
  <c r="N225" i="1"/>
  <c r="O225" i="1"/>
  <c r="P225" i="1"/>
  <c r="L226" i="1"/>
  <c r="M226" i="1"/>
  <c r="N226" i="1"/>
  <c r="O226" i="1"/>
  <c r="P226" i="1"/>
  <c r="L227" i="1"/>
  <c r="M227" i="1"/>
  <c r="N227" i="1"/>
  <c r="O227" i="1"/>
  <c r="P227" i="1"/>
  <c r="L228" i="1"/>
  <c r="M228" i="1"/>
  <c r="N228" i="1"/>
  <c r="O228" i="1"/>
  <c r="P228" i="1"/>
  <c r="L229" i="1"/>
  <c r="M229" i="1"/>
  <c r="N229" i="1"/>
  <c r="O229" i="1"/>
  <c r="P229" i="1"/>
  <c r="L230" i="1"/>
  <c r="M230" i="1"/>
  <c r="N230" i="1"/>
  <c r="O230" i="1"/>
  <c r="P230" i="1"/>
  <c r="L231" i="1"/>
  <c r="M231" i="1"/>
  <c r="N231" i="1"/>
  <c r="O231" i="1"/>
  <c r="P231" i="1"/>
  <c r="L232" i="1"/>
  <c r="M232" i="1"/>
  <c r="N232" i="1"/>
  <c r="O232" i="1"/>
  <c r="P232" i="1"/>
  <c r="L233" i="1"/>
  <c r="M233" i="1"/>
  <c r="N233" i="1"/>
  <c r="O233" i="1"/>
  <c r="P233" i="1"/>
  <c r="L234" i="1"/>
  <c r="M234" i="1"/>
  <c r="N234" i="1"/>
  <c r="O234" i="1"/>
  <c r="P234" i="1"/>
  <c r="L235" i="1"/>
  <c r="M235" i="1"/>
  <c r="N235" i="1"/>
  <c r="O235" i="1"/>
  <c r="P235" i="1"/>
  <c r="L236" i="1"/>
  <c r="M236" i="1"/>
  <c r="N236" i="1"/>
  <c r="O236" i="1"/>
  <c r="P236" i="1"/>
  <c r="L237" i="1"/>
  <c r="M237" i="1"/>
  <c r="N237" i="1"/>
  <c r="O237" i="1"/>
  <c r="P237" i="1"/>
  <c r="L238" i="1"/>
  <c r="M238" i="1"/>
  <c r="N238" i="1"/>
  <c r="O238" i="1"/>
  <c r="P238" i="1"/>
  <c r="L239" i="1"/>
  <c r="M239" i="1"/>
  <c r="N239" i="1"/>
  <c r="O239" i="1"/>
  <c r="P239" i="1"/>
  <c r="L240" i="1"/>
  <c r="M240" i="1"/>
  <c r="N240" i="1"/>
  <c r="O240" i="1"/>
  <c r="P240" i="1"/>
  <c r="L241" i="1"/>
  <c r="M241" i="1"/>
  <c r="N241" i="1"/>
  <c r="O241" i="1"/>
  <c r="P241" i="1"/>
  <c r="L242" i="1"/>
  <c r="M242" i="1"/>
  <c r="N242" i="1"/>
  <c r="O242" i="1"/>
  <c r="P242" i="1"/>
  <c r="L243" i="1"/>
  <c r="M243" i="1"/>
  <c r="N243" i="1"/>
  <c r="O243" i="1"/>
  <c r="P243" i="1"/>
  <c r="L244" i="1"/>
  <c r="M244" i="1"/>
  <c r="N244" i="1"/>
  <c r="O244" i="1"/>
  <c r="P244" i="1"/>
  <c r="L245" i="1"/>
  <c r="M245" i="1"/>
  <c r="N245" i="1"/>
  <c r="O245" i="1"/>
  <c r="P245" i="1"/>
  <c r="L246" i="1"/>
  <c r="M246" i="1"/>
  <c r="N246" i="1"/>
  <c r="O246" i="1"/>
  <c r="P246" i="1"/>
  <c r="L247" i="1"/>
  <c r="M247" i="1"/>
  <c r="N247" i="1"/>
  <c r="O247" i="1"/>
  <c r="P247" i="1"/>
  <c r="L248" i="1"/>
  <c r="M248" i="1"/>
  <c r="N248" i="1"/>
  <c r="O248" i="1"/>
  <c r="P248" i="1"/>
  <c r="L249" i="1"/>
  <c r="M249" i="1"/>
  <c r="N249" i="1"/>
  <c r="O249" i="1"/>
  <c r="P249" i="1"/>
  <c r="L250" i="1"/>
  <c r="M250" i="1"/>
  <c r="N250" i="1"/>
  <c r="O250" i="1"/>
  <c r="P250" i="1"/>
  <c r="L251" i="1"/>
  <c r="M251" i="1"/>
  <c r="N251" i="1"/>
  <c r="O251" i="1"/>
  <c r="P251" i="1"/>
  <c r="L252" i="1"/>
  <c r="M252" i="1"/>
  <c r="N252" i="1"/>
  <c r="O252" i="1"/>
  <c r="P252" i="1"/>
  <c r="L253" i="1"/>
  <c r="M253" i="1"/>
  <c r="N253" i="1"/>
  <c r="O253" i="1"/>
  <c r="P253" i="1"/>
  <c r="L254" i="1"/>
  <c r="M254" i="1"/>
  <c r="N254" i="1"/>
  <c r="O254" i="1"/>
  <c r="P254" i="1"/>
  <c r="L255" i="1"/>
  <c r="M255" i="1"/>
  <c r="N255" i="1"/>
  <c r="O255" i="1"/>
  <c r="P255" i="1"/>
  <c r="L256" i="1"/>
  <c r="M256" i="1"/>
  <c r="N256" i="1"/>
  <c r="O256" i="1"/>
  <c r="P256" i="1"/>
  <c r="L257" i="1"/>
  <c r="M257" i="1"/>
  <c r="N257" i="1"/>
  <c r="O257" i="1"/>
  <c r="P257" i="1"/>
  <c r="L258" i="1"/>
  <c r="M258" i="1"/>
  <c r="N258" i="1"/>
  <c r="O258" i="1"/>
  <c r="P258" i="1"/>
  <c r="L259" i="1"/>
  <c r="M259" i="1"/>
  <c r="N259" i="1"/>
  <c r="O259" i="1"/>
  <c r="P259" i="1"/>
  <c r="L260" i="1"/>
  <c r="M260" i="1"/>
  <c r="N260" i="1"/>
  <c r="O260" i="1"/>
  <c r="P260" i="1"/>
  <c r="L261" i="1"/>
  <c r="M261" i="1"/>
  <c r="N261" i="1"/>
  <c r="O261" i="1"/>
  <c r="P261" i="1"/>
  <c r="L262" i="1"/>
  <c r="M262" i="1"/>
  <c r="N262" i="1"/>
  <c r="O262" i="1"/>
  <c r="P262" i="1"/>
  <c r="L263" i="1"/>
  <c r="M263" i="1"/>
  <c r="N263" i="1"/>
  <c r="O263" i="1"/>
  <c r="P263" i="1"/>
  <c r="L264" i="1"/>
  <c r="M264" i="1"/>
  <c r="N264" i="1"/>
  <c r="O264" i="1"/>
  <c r="P264" i="1"/>
  <c r="L265" i="1"/>
  <c r="M265" i="1"/>
  <c r="N265" i="1"/>
  <c r="O265" i="1"/>
  <c r="P265" i="1"/>
  <c r="L266" i="1"/>
  <c r="M266" i="1"/>
  <c r="N266" i="1"/>
  <c r="O266" i="1"/>
  <c r="P266" i="1"/>
  <c r="L267" i="1"/>
  <c r="M267" i="1"/>
  <c r="N267" i="1"/>
  <c r="O267" i="1"/>
  <c r="P267" i="1"/>
  <c r="L268" i="1"/>
  <c r="M268" i="1"/>
  <c r="N268" i="1"/>
  <c r="O268" i="1"/>
  <c r="P268" i="1"/>
  <c r="L269" i="1"/>
  <c r="M269" i="1"/>
  <c r="N269" i="1"/>
  <c r="O269" i="1"/>
  <c r="P269" i="1"/>
  <c r="L270" i="1"/>
  <c r="M270" i="1"/>
  <c r="N270" i="1"/>
  <c r="O270" i="1"/>
  <c r="P270" i="1"/>
  <c r="L271" i="1"/>
  <c r="M271" i="1"/>
  <c r="N271" i="1"/>
  <c r="O271" i="1"/>
  <c r="P271" i="1"/>
  <c r="L272" i="1"/>
  <c r="M272" i="1"/>
  <c r="N272" i="1"/>
  <c r="O272" i="1"/>
  <c r="P272" i="1"/>
  <c r="L273" i="1"/>
  <c r="M273" i="1"/>
  <c r="N273" i="1"/>
  <c r="O273" i="1"/>
  <c r="P273" i="1"/>
  <c r="L274" i="1"/>
  <c r="M274" i="1"/>
  <c r="N274" i="1"/>
  <c r="O274" i="1"/>
  <c r="P274" i="1"/>
  <c r="L275" i="1"/>
  <c r="M275" i="1"/>
  <c r="N275" i="1"/>
  <c r="O275" i="1"/>
  <c r="P275" i="1"/>
  <c r="L276" i="1"/>
  <c r="M276" i="1"/>
  <c r="N276" i="1"/>
  <c r="O276" i="1"/>
  <c r="P276" i="1"/>
  <c r="L277" i="1"/>
  <c r="M277" i="1"/>
  <c r="N277" i="1"/>
  <c r="O277" i="1"/>
  <c r="P277" i="1"/>
  <c r="L278" i="1"/>
  <c r="M278" i="1"/>
  <c r="N278" i="1"/>
  <c r="O278" i="1"/>
  <c r="P278" i="1"/>
  <c r="L279" i="1"/>
  <c r="M279" i="1"/>
  <c r="N279" i="1"/>
  <c r="O279" i="1"/>
  <c r="P279" i="1"/>
  <c r="L280" i="1"/>
  <c r="M280" i="1"/>
  <c r="N280" i="1"/>
  <c r="O280" i="1"/>
  <c r="P280" i="1"/>
  <c r="L281" i="1"/>
  <c r="M281" i="1"/>
  <c r="N281" i="1"/>
  <c r="O281" i="1"/>
  <c r="P281" i="1"/>
  <c r="L282" i="1"/>
  <c r="M282" i="1"/>
  <c r="N282" i="1"/>
  <c r="O282" i="1"/>
  <c r="P282" i="1"/>
  <c r="L283" i="1"/>
  <c r="M283" i="1"/>
  <c r="N283" i="1"/>
  <c r="O283" i="1"/>
  <c r="P283" i="1"/>
  <c r="L284" i="1"/>
  <c r="M284" i="1"/>
  <c r="N284" i="1"/>
  <c r="O284" i="1"/>
  <c r="P284" i="1"/>
  <c r="L285" i="1"/>
  <c r="M285" i="1"/>
  <c r="N285" i="1"/>
  <c r="O285" i="1"/>
  <c r="P285" i="1"/>
  <c r="L286" i="1"/>
  <c r="M286" i="1"/>
  <c r="N286" i="1"/>
  <c r="O286" i="1"/>
  <c r="P286" i="1"/>
  <c r="L287" i="1"/>
  <c r="M287" i="1"/>
  <c r="N287" i="1"/>
  <c r="O287" i="1"/>
  <c r="P287" i="1"/>
  <c r="L288" i="1"/>
  <c r="M288" i="1"/>
  <c r="N288" i="1"/>
  <c r="O288" i="1"/>
  <c r="P288" i="1"/>
  <c r="L289" i="1"/>
  <c r="M289" i="1"/>
  <c r="N289" i="1"/>
  <c r="O289" i="1"/>
  <c r="P289" i="1"/>
  <c r="L290" i="1"/>
  <c r="M290" i="1"/>
  <c r="N290" i="1"/>
  <c r="O290" i="1"/>
  <c r="P290" i="1"/>
  <c r="L291" i="1"/>
  <c r="M291" i="1"/>
  <c r="N291" i="1"/>
  <c r="O291" i="1"/>
  <c r="P291" i="1"/>
  <c r="L292" i="1"/>
  <c r="M292" i="1"/>
  <c r="N292" i="1"/>
  <c r="O292" i="1"/>
  <c r="P292" i="1"/>
  <c r="L293" i="1"/>
  <c r="M293" i="1"/>
  <c r="N293" i="1"/>
  <c r="O293" i="1"/>
  <c r="P293" i="1"/>
  <c r="L294" i="1"/>
  <c r="M294" i="1"/>
  <c r="N294" i="1"/>
  <c r="O294" i="1"/>
  <c r="P294" i="1"/>
  <c r="L295" i="1"/>
  <c r="M295" i="1"/>
  <c r="N295" i="1"/>
  <c r="O295" i="1"/>
  <c r="P295" i="1"/>
  <c r="L296" i="1"/>
  <c r="M296" i="1"/>
  <c r="N296" i="1"/>
  <c r="O296" i="1"/>
  <c r="P296" i="1"/>
  <c r="L297" i="1"/>
  <c r="M297" i="1"/>
  <c r="N297" i="1"/>
  <c r="O297" i="1"/>
  <c r="P297" i="1"/>
  <c r="L298" i="1"/>
  <c r="M298" i="1"/>
  <c r="N298" i="1"/>
  <c r="O298" i="1"/>
  <c r="P298" i="1"/>
  <c r="L299" i="1"/>
  <c r="M299" i="1"/>
  <c r="N299" i="1"/>
  <c r="O299" i="1"/>
  <c r="P299" i="1"/>
  <c r="L300" i="1"/>
  <c r="M300" i="1"/>
  <c r="N300" i="1"/>
  <c r="O300" i="1"/>
  <c r="P300" i="1"/>
  <c r="L301" i="1"/>
  <c r="M301" i="1"/>
  <c r="N301" i="1"/>
  <c r="O301" i="1"/>
  <c r="P301" i="1"/>
  <c r="L302" i="1"/>
  <c r="M302" i="1"/>
  <c r="N302" i="1"/>
  <c r="O302" i="1"/>
  <c r="P302" i="1"/>
  <c r="L303" i="1"/>
  <c r="M303" i="1"/>
  <c r="N303" i="1"/>
  <c r="O303" i="1"/>
  <c r="P303" i="1"/>
  <c r="B5" i="1" l="1"/>
  <c r="B7" i="1" s="1"/>
  <c r="AC9" i="4" l="1"/>
  <c r="C15" i="7" l="1"/>
  <c r="E4" i="1" s="1"/>
  <c r="C18" i="7"/>
  <c r="BO33" i="2" l="1"/>
  <c r="BP33" i="2"/>
  <c r="BQ33" i="2"/>
  <c r="BR33" i="2"/>
  <c r="BO34" i="2"/>
  <c r="BP34" i="2"/>
  <c r="BQ34" i="2"/>
  <c r="BR34" i="2"/>
  <c r="BO35" i="2"/>
  <c r="BP35" i="2"/>
  <c r="BQ35" i="2"/>
  <c r="BR35" i="2"/>
  <c r="BO36" i="2"/>
  <c r="BP36" i="2"/>
  <c r="BQ36" i="2"/>
  <c r="BR36" i="2"/>
  <c r="BO37" i="2"/>
  <c r="BP37" i="2"/>
  <c r="BQ37" i="2"/>
  <c r="BR37" i="2"/>
  <c r="BO38" i="2"/>
  <c r="BP38" i="2"/>
  <c r="BQ38" i="2"/>
  <c r="BR38" i="2"/>
  <c r="BO39" i="2"/>
  <c r="BP39" i="2"/>
  <c r="BQ39" i="2"/>
  <c r="BR39" i="2"/>
  <c r="BO40" i="2"/>
  <c r="BP40" i="2"/>
  <c r="BQ40" i="2"/>
  <c r="BR40" i="2"/>
  <c r="BO41" i="2"/>
  <c r="BP41" i="2"/>
  <c r="BQ41" i="2"/>
  <c r="BR41" i="2"/>
  <c r="BO42" i="2"/>
  <c r="BP42" i="2"/>
  <c r="BQ42" i="2"/>
  <c r="BR42" i="2"/>
  <c r="BO43" i="2"/>
  <c r="BP43" i="2"/>
  <c r="BQ43" i="2"/>
  <c r="BR43" i="2"/>
  <c r="BO44" i="2"/>
  <c r="BP44" i="2"/>
  <c r="BQ44" i="2"/>
  <c r="BR44" i="2"/>
  <c r="BO45" i="2"/>
  <c r="BP45" i="2"/>
  <c r="BQ45" i="2"/>
  <c r="BR45" i="2"/>
  <c r="BO46" i="2"/>
  <c r="BP46" i="2"/>
  <c r="BQ46" i="2"/>
  <c r="BR46" i="2"/>
  <c r="B78" i="2" l="1"/>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R32" i="2"/>
  <c r="BQ32" i="2"/>
  <c r="BP32" i="2"/>
  <c r="BO32" i="2"/>
  <c r="B32" i="2"/>
  <c r="BR31" i="2"/>
  <c r="BQ31" i="2"/>
  <c r="BP31" i="2"/>
  <c r="BO31" i="2"/>
  <c r="B31" i="2"/>
  <c r="BR30" i="2"/>
  <c r="BQ30" i="2"/>
  <c r="BP30" i="2"/>
  <c r="BO30" i="2"/>
  <c r="B30" i="2"/>
  <c r="BR29" i="2"/>
  <c r="BQ29" i="2"/>
  <c r="BP29" i="2"/>
  <c r="BO29" i="2"/>
  <c r="B29" i="2"/>
  <c r="BR28" i="2"/>
  <c r="BQ28" i="2"/>
  <c r="BP28" i="2"/>
  <c r="BO28" i="2"/>
  <c r="B28" i="2"/>
  <c r="BR27" i="2"/>
  <c r="BQ27" i="2"/>
  <c r="BP27" i="2"/>
  <c r="BO27" i="2"/>
  <c r="B27" i="2"/>
  <c r="BR26" i="2"/>
  <c r="BQ26" i="2"/>
  <c r="BP26" i="2"/>
  <c r="BO26" i="2"/>
  <c r="B26" i="2"/>
  <c r="BR25" i="2"/>
  <c r="BQ25" i="2"/>
  <c r="BP25" i="2"/>
  <c r="BO25" i="2"/>
  <c r="B25" i="2"/>
  <c r="BR24" i="2"/>
  <c r="BQ24" i="2"/>
  <c r="BP24" i="2"/>
  <c r="BO24" i="2"/>
  <c r="B24" i="2"/>
  <c r="BR23" i="2"/>
  <c r="BQ23" i="2"/>
  <c r="BP23" i="2"/>
  <c r="BO23" i="2"/>
  <c r="B23" i="2"/>
  <c r="BR22" i="2"/>
  <c r="BQ22" i="2"/>
  <c r="BP22" i="2"/>
  <c r="BO22" i="2"/>
  <c r="B22" i="2"/>
  <c r="BR21" i="2"/>
  <c r="BQ21" i="2"/>
  <c r="BP21" i="2"/>
  <c r="BO21" i="2"/>
  <c r="B21" i="2"/>
  <c r="BR20" i="2"/>
  <c r="BQ20" i="2"/>
  <c r="BP20" i="2"/>
  <c r="BO20" i="2"/>
  <c r="B20" i="2"/>
  <c r="BR19" i="2"/>
  <c r="BQ19" i="2"/>
  <c r="BP19" i="2"/>
  <c r="BO19" i="2"/>
  <c r="B19" i="2"/>
  <c r="BR18" i="2"/>
  <c r="BQ18" i="2"/>
  <c r="BP18" i="2"/>
  <c r="BO18" i="2"/>
  <c r="B18" i="2"/>
  <c r="BP17" i="2"/>
  <c r="BO17" i="2"/>
  <c r="BN17" i="2"/>
  <c r="BM17" i="2"/>
  <c r="B17" i="2"/>
  <c r="BR16" i="2"/>
  <c r="BQ16" i="2"/>
  <c r="BP16" i="2"/>
  <c r="BO16" i="2"/>
  <c r="B16" i="2"/>
  <c r="BR15" i="2"/>
  <c r="BQ15" i="2"/>
  <c r="BP15" i="2"/>
  <c r="BO15" i="2"/>
  <c r="B15" i="2"/>
  <c r="BR14" i="2"/>
  <c r="BQ14" i="2"/>
  <c r="BP14" i="2"/>
  <c r="BO14" i="2"/>
  <c r="B14" i="2"/>
  <c r="BR13" i="2"/>
  <c r="BQ13" i="2"/>
  <c r="BP13" i="2"/>
  <c r="BO13" i="2"/>
  <c r="B13" i="2"/>
  <c r="BR12" i="2"/>
  <c r="BQ12" i="2"/>
  <c r="BP12" i="2"/>
  <c r="BO12" i="2"/>
  <c r="B12" i="2"/>
  <c r="BR11" i="2"/>
  <c r="BQ11" i="2"/>
  <c r="BP11" i="2"/>
  <c r="BO11" i="2"/>
  <c r="B11" i="2"/>
  <c r="BR10" i="2"/>
  <c r="BQ10" i="2"/>
  <c r="BP10" i="2"/>
  <c r="BO10" i="2"/>
  <c r="B10" i="2"/>
  <c r="BR9" i="2"/>
  <c r="BQ9" i="2"/>
  <c r="BP9" i="2"/>
  <c r="BO9" i="2"/>
  <c r="B9" i="2"/>
  <c r="BR8" i="2"/>
  <c r="BQ8" i="2"/>
  <c r="BP8" i="2"/>
  <c r="BO8" i="2"/>
  <c r="B8" i="2"/>
  <c r="BR7" i="2"/>
  <c r="BQ7" i="2"/>
  <c r="BP7" i="2"/>
  <c r="BO7" i="2"/>
  <c r="B7" i="2"/>
  <c r="BR6" i="2"/>
  <c r="BQ6" i="2"/>
  <c r="BP6" i="2"/>
  <c r="BO6" i="2"/>
  <c r="B6" i="2"/>
  <c r="BR5" i="2"/>
  <c r="BQ5" i="2"/>
  <c r="BP5" i="2"/>
  <c r="BO5" i="2"/>
  <c r="B5" i="2"/>
  <c r="BR4" i="2"/>
  <c r="BQ4" i="2"/>
  <c r="BP4" i="2"/>
  <c r="BO4" i="2"/>
  <c r="B4" i="2"/>
  <c r="BR3" i="2"/>
  <c r="BQ3" i="2"/>
  <c r="BP3" i="2"/>
  <c r="BO3" i="2"/>
  <c r="B3" i="2"/>
  <c r="B77" i="4"/>
  <c r="B76" i="4"/>
  <c r="B75" i="4"/>
  <c r="B74" i="4"/>
  <c r="B73" i="4"/>
  <c r="B72" i="4"/>
  <c r="B71" i="4"/>
  <c r="AC8" i="4" s="1"/>
  <c r="B70" i="4"/>
  <c r="AC7" i="4" s="1"/>
  <c r="B68" i="4"/>
  <c r="B67" i="4"/>
  <c r="B66" i="4"/>
  <c r="B65" i="4"/>
  <c r="B64" i="4"/>
  <c r="B63" i="4"/>
  <c r="B62" i="4"/>
  <c r="AC5" i="4" s="1"/>
  <c r="B61" i="4"/>
  <c r="AC4" i="4" s="1"/>
  <c r="V15" i="4"/>
  <c r="O15" i="4"/>
  <c r="P15" i="4" s="1"/>
  <c r="V14" i="4"/>
  <c r="W14" i="4" s="1"/>
  <c r="O14" i="4"/>
  <c r="R14" i="4" s="1"/>
  <c r="AC13" i="4"/>
  <c r="V13" i="4"/>
  <c r="W13" i="4" s="1"/>
  <c r="O13" i="4"/>
  <c r="R13" i="4" s="1"/>
  <c r="AC12" i="4"/>
  <c r="V12" i="4"/>
  <c r="W12" i="4" s="1"/>
  <c r="O12" i="4"/>
  <c r="R12" i="4" s="1"/>
  <c r="AC11" i="4"/>
  <c r="V11" i="4"/>
  <c r="W11" i="4" s="1"/>
  <c r="O11" i="4"/>
  <c r="R11" i="4" s="1"/>
  <c r="AC10" i="4"/>
  <c r="V10" i="4"/>
  <c r="W10" i="4" s="1"/>
  <c r="O10" i="4"/>
  <c r="R10" i="4" s="1"/>
  <c r="V9" i="4"/>
  <c r="Y9" i="4" s="1"/>
  <c r="O9" i="4"/>
  <c r="V8" i="4"/>
  <c r="Y8" i="4" s="1"/>
  <c r="O8" i="4"/>
  <c r="R8" i="4" s="1"/>
  <c r="V7" i="4"/>
  <c r="Y7" i="4" s="1"/>
  <c r="O7" i="4"/>
  <c r="V6" i="4"/>
  <c r="Y6" i="4" s="1"/>
  <c r="O6" i="4"/>
  <c r="V5" i="4"/>
  <c r="Y5" i="4" s="1"/>
  <c r="O5" i="4"/>
  <c r="R5" i="4" s="1"/>
  <c r="V4" i="4"/>
  <c r="Y4" i="4" s="1"/>
  <c r="O4" i="4"/>
  <c r="V3" i="4"/>
  <c r="Y3" i="4" s="1"/>
  <c r="O3" i="4"/>
  <c r="U8" i="1"/>
  <c r="T8" i="1"/>
  <c r="S8" i="1"/>
  <c r="R8" i="1"/>
  <c r="C8" i="1"/>
  <c r="T7" i="1"/>
  <c r="R7" i="1"/>
  <c r="P12" i="4" l="1"/>
  <c r="P10" i="4"/>
  <c r="Y11" i="4"/>
  <c r="Y13" i="4"/>
  <c r="P14" i="4"/>
  <c r="R15" i="4"/>
  <c r="P8" i="4"/>
  <c r="W8" i="4"/>
  <c r="W3" i="4"/>
  <c r="P5" i="4"/>
  <c r="W5" i="4"/>
  <c r="W9" i="4"/>
  <c r="W4" i="4"/>
  <c r="W6" i="4"/>
  <c r="W7" i="4"/>
  <c r="Y10" i="4"/>
  <c r="P11" i="4"/>
  <c r="Y12" i="4"/>
  <c r="P13" i="4"/>
  <c r="Y14" i="4"/>
  <c r="W15" i="4"/>
  <c r="Y15" i="4"/>
  <c r="R7" i="4"/>
  <c r="P7" i="4"/>
  <c r="R3" i="4"/>
  <c r="P3" i="4"/>
  <c r="R4" i="4"/>
  <c r="P4" i="4"/>
  <c r="R6" i="4"/>
  <c r="P6" i="4"/>
  <c r="R9" i="4"/>
  <c r="P9" i="4"/>
  <c r="B9" i="1" l="1"/>
  <c r="B64" i="1"/>
  <c r="B31" i="1"/>
  <c r="B11" i="1"/>
  <c r="B45" i="1"/>
  <c r="B42" i="1"/>
  <c r="B47" i="1"/>
  <c r="B21" i="1"/>
  <c r="B63" i="1"/>
  <c r="B30" i="1"/>
  <c r="B44" i="1"/>
  <c r="B15" i="1"/>
  <c r="B10" i="1"/>
  <c r="B37" i="1"/>
  <c r="B36" i="1"/>
  <c r="B35" i="1"/>
  <c r="B20" i="1"/>
  <c r="B12" i="1"/>
  <c r="B17" i="1"/>
  <c r="B13" i="1"/>
  <c r="B52" i="1"/>
  <c r="B26" i="1"/>
  <c r="B19" i="1"/>
  <c r="B23" i="1"/>
  <c r="B28" i="1"/>
  <c r="B49" i="1"/>
  <c r="B51" i="1"/>
  <c r="B53" i="1"/>
  <c r="B48" i="1"/>
  <c r="B32" i="1"/>
  <c r="B61" i="1"/>
  <c r="B41" i="1"/>
  <c r="B29" i="1"/>
  <c r="B62" i="1"/>
  <c r="B33" i="1"/>
  <c r="B54" i="1"/>
  <c r="B39" i="1"/>
  <c r="B55" i="1"/>
  <c r="B18" i="1"/>
  <c r="B40" i="1"/>
  <c r="B50" i="1"/>
  <c r="B25" i="1"/>
  <c r="B57" i="1"/>
  <c r="B24" i="1"/>
  <c r="B56" i="1"/>
  <c r="B46" i="1"/>
  <c r="B34" i="1"/>
  <c r="B22" i="1"/>
  <c r="B38" i="1"/>
  <c r="B60" i="1"/>
  <c r="B43" i="1"/>
  <c r="B59" i="1"/>
  <c r="B58" i="1"/>
  <c r="B14" i="1"/>
  <c r="B16" i="1"/>
  <c r="B27" i="1"/>
  <c r="B161" i="1"/>
  <c r="B94" i="1"/>
  <c r="B83" i="1"/>
  <c r="B150" i="1"/>
  <c r="B92" i="1"/>
  <c r="B102" i="1"/>
  <c r="B101" i="1"/>
  <c r="B95" i="1"/>
  <c r="B113" i="1"/>
  <c r="B140" i="1"/>
  <c r="B169" i="1"/>
  <c r="B82" i="1"/>
  <c r="B136" i="1"/>
  <c r="B128" i="1"/>
  <c r="B124" i="1"/>
  <c r="B121" i="1"/>
  <c r="B135" i="1"/>
  <c r="B73" i="1"/>
  <c r="B160" i="1"/>
  <c r="B151" i="1"/>
  <c r="B153" i="1"/>
  <c r="B134" i="1"/>
  <c r="B148" i="1"/>
  <c r="B68" i="1"/>
  <c r="B66" i="1"/>
  <c r="B69" i="1"/>
  <c r="B122" i="1"/>
  <c r="B65" i="1"/>
  <c r="B80" i="1"/>
  <c r="B85" i="1"/>
  <c r="B105" i="1"/>
  <c r="B77" i="1"/>
  <c r="B129" i="1"/>
  <c r="B79" i="1"/>
  <c r="B87" i="1"/>
  <c r="B123" i="1"/>
  <c r="B90" i="1"/>
  <c r="B106" i="1"/>
  <c r="B162" i="1"/>
  <c r="B75" i="1"/>
  <c r="B96" i="1"/>
  <c r="B120" i="1"/>
  <c r="B143" i="1"/>
  <c r="B81" i="1"/>
  <c r="B97" i="1"/>
  <c r="B127" i="1"/>
  <c r="B152" i="1"/>
  <c r="B172" i="1"/>
  <c r="B111" i="1"/>
  <c r="B119" i="1"/>
  <c r="B133" i="1"/>
  <c r="B149" i="1"/>
  <c r="B159" i="1"/>
  <c r="B167" i="1"/>
  <c r="B137" i="1"/>
  <c r="B164" i="1"/>
  <c r="B72" i="1"/>
  <c r="B99" i="1"/>
  <c r="B139" i="1"/>
  <c r="B104" i="1"/>
  <c r="B138" i="1"/>
  <c r="B70" i="1"/>
  <c r="B98" i="1"/>
  <c r="B130" i="1"/>
  <c r="B67" i="1"/>
  <c r="B86" i="1"/>
  <c r="B103" i="1"/>
  <c r="B132" i="1"/>
  <c r="B154" i="1"/>
  <c r="B89" i="1"/>
  <c r="B108" i="1"/>
  <c r="B146" i="1"/>
  <c r="B156" i="1"/>
  <c r="B107" i="1"/>
  <c r="B115" i="1"/>
  <c r="B125" i="1"/>
  <c r="B141" i="1"/>
  <c r="B155" i="1"/>
  <c r="B163" i="1"/>
  <c r="B171" i="1"/>
  <c r="B110" i="1"/>
  <c r="B88" i="1"/>
  <c r="B131" i="1"/>
  <c r="B166" i="1"/>
  <c r="B144" i="1"/>
  <c r="B74" i="1"/>
  <c r="B118" i="1"/>
  <c r="B78" i="1"/>
  <c r="B84" i="1"/>
  <c r="B112" i="1"/>
  <c r="B158" i="1"/>
  <c r="B76" i="1"/>
  <c r="B100" i="1"/>
  <c r="B145" i="1"/>
  <c r="B71" i="1"/>
  <c r="B91" i="1"/>
  <c r="B114" i="1"/>
  <c r="B168" i="1"/>
  <c r="B93" i="1"/>
  <c r="B116" i="1"/>
  <c r="B147" i="1"/>
  <c r="B170" i="1"/>
  <c r="B109" i="1"/>
  <c r="B117" i="1"/>
  <c r="B126" i="1"/>
  <c r="B142" i="1"/>
  <c r="B157" i="1"/>
  <c r="B165" i="1"/>
  <c r="B173" i="1"/>
  <c r="I157" i="1" l="1"/>
  <c r="E157" i="1"/>
  <c r="I158" i="1"/>
  <c r="E158" i="1"/>
  <c r="I115" i="1"/>
  <c r="E115" i="1"/>
  <c r="I139" i="1"/>
  <c r="E139" i="1"/>
  <c r="I165" i="1"/>
  <c r="E165" i="1"/>
  <c r="I117" i="1"/>
  <c r="E117" i="1"/>
  <c r="I116" i="1"/>
  <c r="E116" i="1"/>
  <c r="I91" i="1"/>
  <c r="E91" i="1"/>
  <c r="I76" i="1"/>
  <c r="E76" i="1"/>
  <c r="I78" i="1"/>
  <c r="E78" i="1"/>
  <c r="I166" i="1"/>
  <c r="E166" i="1"/>
  <c r="I171" i="1"/>
  <c r="E171" i="1"/>
  <c r="I125" i="1"/>
  <c r="E125" i="1"/>
  <c r="I146" i="1"/>
  <c r="E146" i="1"/>
  <c r="I132" i="1"/>
  <c r="E132" i="1"/>
  <c r="I130" i="1"/>
  <c r="E130" i="1"/>
  <c r="I104" i="1"/>
  <c r="E104" i="1"/>
  <c r="I164" i="1"/>
  <c r="E164" i="1"/>
  <c r="I149" i="1"/>
  <c r="E149" i="1"/>
  <c r="I172" i="1"/>
  <c r="E172" i="1"/>
  <c r="I81" i="1"/>
  <c r="E81" i="1"/>
  <c r="I75" i="1"/>
  <c r="E75" i="1"/>
  <c r="I123" i="1"/>
  <c r="E123" i="1"/>
  <c r="I77" i="1"/>
  <c r="E77" i="1"/>
  <c r="I65" i="1"/>
  <c r="E65" i="1"/>
  <c r="I68" i="1"/>
  <c r="E68" i="1"/>
  <c r="I151" i="1"/>
  <c r="E151" i="1"/>
  <c r="I121" i="1"/>
  <c r="E121" i="1"/>
  <c r="I82" i="1"/>
  <c r="E82" i="1"/>
  <c r="I95" i="1"/>
  <c r="E95" i="1"/>
  <c r="I150" i="1"/>
  <c r="E150" i="1"/>
  <c r="F27" i="1"/>
  <c r="F59" i="1"/>
  <c r="J59" i="1"/>
  <c r="G59" i="1"/>
  <c r="F22" i="1"/>
  <c r="F24" i="1"/>
  <c r="F40" i="1"/>
  <c r="J40" i="1"/>
  <c r="G40" i="1"/>
  <c r="F54" i="1"/>
  <c r="J54" i="1"/>
  <c r="G54" i="1"/>
  <c r="F41" i="1"/>
  <c r="J41" i="1"/>
  <c r="G41" i="1"/>
  <c r="F53" i="1"/>
  <c r="G53" i="1"/>
  <c r="J53" i="1"/>
  <c r="F23" i="1"/>
  <c r="F35" i="1"/>
  <c r="F21" i="1"/>
  <c r="I71" i="1"/>
  <c r="E71" i="1"/>
  <c r="I163" i="1"/>
  <c r="E163" i="1"/>
  <c r="I103" i="1"/>
  <c r="E103" i="1"/>
  <c r="I133" i="1"/>
  <c r="E133" i="1"/>
  <c r="I162" i="1"/>
  <c r="E162" i="1"/>
  <c r="I122" i="1"/>
  <c r="E122" i="1"/>
  <c r="I124" i="1"/>
  <c r="E124" i="1"/>
  <c r="I101" i="1"/>
  <c r="E101" i="1"/>
  <c r="F34" i="1"/>
  <c r="F51" i="1"/>
  <c r="J51" i="1"/>
  <c r="G51" i="1"/>
  <c r="F44" i="1"/>
  <c r="J44" i="1"/>
  <c r="G44" i="1"/>
  <c r="F31" i="1"/>
  <c r="I168" i="1"/>
  <c r="E168" i="1"/>
  <c r="I112" i="1"/>
  <c r="E112" i="1"/>
  <c r="I155" i="1"/>
  <c r="E155" i="1"/>
  <c r="I86" i="1"/>
  <c r="E86" i="1"/>
  <c r="I99" i="1"/>
  <c r="E99" i="1"/>
  <c r="I167" i="1"/>
  <c r="E167" i="1"/>
  <c r="I119" i="1"/>
  <c r="E119" i="1"/>
  <c r="I127" i="1"/>
  <c r="E127" i="1"/>
  <c r="I120" i="1"/>
  <c r="E120" i="1"/>
  <c r="I106" i="1"/>
  <c r="E106" i="1"/>
  <c r="I79" i="1"/>
  <c r="E79" i="1"/>
  <c r="I85" i="1"/>
  <c r="E85" i="1"/>
  <c r="I69" i="1"/>
  <c r="E69" i="1"/>
  <c r="I134" i="1"/>
  <c r="E134" i="1"/>
  <c r="I73" i="1"/>
  <c r="E73" i="1"/>
  <c r="I128" i="1"/>
  <c r="E128" i="1"/>
  <c r="I140" i="1"/>
  <c r="E140" i="1"/>
  <c r="I102" i="1"/>
  <c r="E102" i="1"/>
  <c r="I94" i="1"/>
  <c r="E94" i="1"/>
  <c r="F60" i="1"/>
  <c r="J60" i="1"/>
  <c r="G60" i="1"/>
  <c r="F46" i="1"/>
  <c r="J46" i="1"/>
  <c r="G46" i="1"/>
  <c r="F25" i="1"/>
  <c r="F55" i="1"/>
  <c r="J55" i="1"/>
  <c r="G55" i="1"/>
  <c r="F62" i="1"/>
  <c r="J62" i="1"/>
  <c r="G62" i="1"/>
  <c r="F32" i="1"/>
  <c r="F49" i="1"/>
  <c r="G49" i="1"/>
  <c r="J49" i="1"/>
  <c r="F26" i="1"/>
  <c r="F37" i="1"/>
  <c r="J37" i="1"/>
  <c r="G37" i="1"/>
  <c r="F30" i="1"/>
  <c r="F42" i="1"/>
  <c r="G42" i="1"/>
  <c r="J42" i="1"/>
  <c r="I64" i="1"/>
  <c r="F64" i="1"/>
  <c r="E64" i="1"/>
  <c r="J64" i="1"/>
  <c r="G64" i="1"/>
  <c r="I109" i="1"/>
  <c r="E109" i="1"/>
  <c r="I93" i="1"/>
  <c r="E93" i="1"/>
  <c r="I118" i="1"/>
  <c r="E118" i="1"/>
  <c r="I131" i="1"/>
  <c r="E131" i="1"/>
  <c r="I108" i="1"/>
  <c r="E108" i="1"/>
  <c r="I98" i="1"/>
  <c r="E98" i="1"/>
  <c r="I137" i="1"/>
  <c r="E137" i="1"/>
  <c r="I152" i="1"/>
  <c r="E152" i="1"/>
  <c r="I143" i="1"/>
  <c r="E143" i="1"/>
  <c r="I87" i="1"/>
  <c r="E87" i="1"/>
  <c r="I105" i="1"/>
  <c r="E105" i="1"/>
  <c r="I148" i="1"/>
  <c r="E148" i="1"/>
  <c r="I160" i="1"/>
  <c r="E160" i="1"/>
  <c r="I169" i="1"/>
  <c r="E169" i="1"/>
  <c r="I83" i="1"/>
  <c r="E83" i="1"/>
  <c r="F43" i="1"/>
  <c r="J43" i="1"/>
  <c r="G43" i="1"/>
  <c r="F57" i="1"/>
  <c r="G57" i="1"/>
  <c r="J57" i="1"/>
  <c r="F33" i="1"/>
  <c r="F61" i="1"/>
  <c r="G61" i="1"/>
  <c r="J61" i="1"/>
  <c r="F36" i="1"/>
  <c r="F47" i="1"/>
  <c r="J47" i="1"/>
  <c r="G47" i="1"/>
  <c r="I142" i="1"/>
  <c r="E142" i="1"/>
  <c r="I170" i="1"/>
  <c r="E170" i="1"/>
  <c r="I145" i="1"/>
  <c r="E145" i="1"/>
  <c r="I74" i="1"/>
  <c r="E74" i="1"/>
  <c r="I88" i="1"/>
  <c r="E88" i="1"/>
  <c r="I107" i="1"/>
  <c r="E107" i="1"/>
  <c r="I89" i="1"/>
  <c r="E89" i="1"/>
  <c r="I70" i="1"/>
  <c r="E70" i="1"/>
  <c r="I173" i="1"/>
  <c r="E173" i="1"/>
  <c r="I126" i="1"/>
  <c r="E126" i="1"/>
  <c r="I147" i="1"/>
  <c r="E147" i="1"/>
  <c r="I114" i="1"/>
  <c r="E114" i="1"/>
  <c r="I100" i="1"/>
  <c r="E100" i="1"/>
  <c r="I84" i="1"/>
  <c r="E84" i="1"/>
  <c r="I144" i="1"/>
  <c r="E144" i="1"/>
  <c r="I110" i="1"/>
  <c r="E110" i="1"/>
  <c r="I141" i="1"/>
  <c r="E141" i="1"/>
  <c r="I156" i="1"/>
  <c r="E156" i="1"/>
  <c r="I154" i="1"/>
  <c r="E154" i="1"/>
  <c r="I67" i="1"/>
  <c r="E67" i="1"/>
  <c r="I138" i="1"/>
  <c r="E138" i="1"/>
  <c r="I72" i="1"/>
  <c r="E72" i="1"/>
  <c r="I159" i="1"/>
  <c r="E159" i="1"/>
  <c r="I111" i="1"/>
  <c r="E111" i="1"/>
  <c r="I97" i="1"/>
  <c r="E97" i="1"/>
  <c r="I96" i="1"/>
  <c r="E96" i="1"/>
  <c r="I90" i="1"/>
  <c r="E90" i="1"/>
  <c r="I129" i="1"/>
  <c r="E129" i="1"/>
  <c r="I80" i="1"/>
  <c r="E80" i="1"/>
  <c r="I66" i="1"/>
  <c r="E66" i="1"/>
  <c r="I153" i="1"/>
  <c r="E153" i="1"/>
  <c r="I135" i="1"/>
  <c r="E135" i="1"/>
  <c r="I136" i="1"/>
  <c r="E136" i="1"/>
  <c r="I113" i="1"/>
  <c r="E113" i="1"/>
  <c r="I92" i="1"/>
  <c r="E92" i="1"/>
  <c r="I161" i="1"/>
  <c r="E161" i="1"/>
  <c r="F58" i="1"/>
  <c r="J58" i="1"/>
  <c r="G58" i="1"/>
  <c r="F38" i="1"/>
  <c r="G38" i="1"/>
  <c r="J38" i="1"/>
  <c r="F56" i="1"/>
  <c r="J56" i="1"/>
  <c r="G56" i="1"/>
  <c r="F50" i="1"/>
  <c r="J50" i="1"/>
  <c r="G50" i="1"/>
  <c r="F39" i="1"/>
  <c r="J39" i="1"/>
  <c r="G39" i="1"/>
  <c r="F29" i="1"/>
  <c r="F48" i="1"/>
  <c r="J48" i="1"/>
  <c r="G48" i="1"/>
  <c r="F28" i="1"/>
  <c r="F52" i="1"/>
  <c r="J52" i="1"/>
  <c r="G52" i="1"/>
  <c r="F20" i="1"/>
  <c r="F63" i="1"/>
  <c r="J63" i="1"/>
  <c r="G63" i="1"/>
  <c r="F45" i="1"/>
  <c r="G45" i="1"/>
  <c r="J45" i="1"/>
  <c r="M116" i="1"/>
  <c r="P116" i="1"/>
  <c r="L116" i="1"/>
  <c r="O116" i="1"/>
  <c r="N116" i="1"/>
  <c r="O78" i="1"/>
  <c r="N78" i="1"/>
  <c r="M78" i="1"/>
  <c r="P78" i="1"/>
  <c r="L78" i="1"/>
  <c r="P125" i="1"/>
  <c r="L125" i="1"/>
  <c r="O125" i="1"/>
  <c r="N125" i="1"/>
  <c r="M125" i="1"/>
  <c r="O130" i="1"/>
  <c r="N130" i="1"/>
  <c r="M130" i="1"/>
  <c r="P130" i="1"/>
  <c r="L130" i="1"/>
  <c r="P149" i="1"/>
  <c r="L149" i="1"/>
  <c r="O149" i="1"/>
  <c r="N149" i="1"/>
  <c r="M149" i="1"/>
  <c r="N75" i="1"/>
  <c r="M75" i="1"/>
  <c r="P75" i="1"/>
  <c r="L75" i="1"/>
  <c r="O75" i="1"/>
  <c r="P65" i="1"/>
  <c r="L65" i="1"/>
  <c r="O65" i="1"/>
  <c r="N65" i="1"/>
  <c r="M65" i="1"/>
  <c r="P121" i="1"/>
  <c r="L121" i="1"/>
  <c r="O121" i="1"/>
  <c r="N121" i="1"/>
  <c r="M121" i="1"/>
  <c r="O150" i="1"/>
  <c r="N150" i="1"/>
  <c r="M150" i="1"/>
  <c r="P150" i="1"/>
  <c r="L150" i="1"/>
  <c r="P157" i="1"/>
  <c r="L157" i="1"/>
  <c r="O157" i="1"/>
  <c r="N157" i="1"/>
  <c r="M157" i="1"/>
  <c r="P109" i="1"/>
  <c r="L109" i="1"/>
  <c r="O109" i="1"/>
  <c r="N109" i="1"/>
  <c r="M109" i="1"/>
  <c r="P93" i="1"/>
  <c r="L93" i="1"/>
  <c r="O93" i="1"/>
  <c r="N93" i="1"/>
  <c r="M93" i="1"/>
  <c r="N71" i="1"/>
  <c r="M71" i="1"/>
  <c r="P71" i="1"/>
  <c r="L71" i="1"/>
  <c r="O71" i="1"/>
  <c r="O158" i="1"/>
  <c r="N158" i="1"/>
  <c r="M158" i="1"/>
  <c r="P158" i="1"/>
  <c r="L158" i="1"/>
  <c r="O118" i="1"/>
  <c r="N118" i="1"/>
  <c r="M118" i="1"/>
  <c r="P118" i="1"/>
  <c r="L118" i="1"/>
  <c r="N131" i="1"/>
  <c r="M131" i="1"/>
  <c r="P131" i="1"/>
  <c r="L131" i="1"/>
  <c r="O131" i="1"/>
  <c r="N163" i="1"/>
  <c r="M163" i="1"/>
  <c r="P163" i="1"/>
  <c r="L163" i="1"/>
  <c r="O163" i="1"/>
  <c r="N115" i="1"/>
  <c r="M115" i="1"/>
  <c r="P115" i="1"/>
  <c r="L115" i="1"/>
  <c r="O115" i="1"/>
  <c r="M108" i="1"/>
  <c r="P108" i="1"/>
  <c r="L108" i="1"/>
  <c r="O108" i="1"/>
  <c r="N108" i="1"/>
  <c r="N103" i="1"/>
  <c r="M103" i="1"/>
  <c r="P103" i="1"/>
  <c r="L103" i="1"/>
  <c r="O103" i="1"/>
  <c r="O98" i="1"/>
  <c r="N98" i="1"/>
  <c r="M98" i="1"/>
  <c r="P98" i="1"/>
  <c r="L98" i="1"/>
  <c r="N139" i="1"/>
  <c r="M139" i="1"/>
  <c r="P139" i="1"/>
  <c r="L139" i="1"/>
  <c r="O139" i="1"/>
  <c r="P137" i="1"/>
  <c r="L137" i="1"/>
  <c r="O137" i="1"/>
  <c r="N137" i="1"/>
  <c r="M137" i="1"/>
  <c r="P133" i="1"/>
  <c r="L133" i="1"/>
  <c r="O133" i="1"/>
  <c r="N133" i="1"/>
  <c r="M133" i="1"/>
  <c r="M152" i="1"/>
  <c r="P152" i="1"/>
  <c r="L152" i="1"/>
  <c r="O152" i="1"/>
  <c r="N152" i="1"/>
  <c r="N143" i="1"/>
  <c r="M143" i="1"/>
  <c r="P143" i="1"/>
  <c r="L143" i="1"/>
  <c r="O143" i="1"/>
  <c r="O162" i="1"/>
  <c r="N162" i="1"/>
  <c r="M162" i="1"/>
  <c r="P162" i="1"/>
  <c r="L162" i="1"/>
  <c r="N87" i="1"/>
  <c r="M87" i="1"/>
  <c r="P87" i="1"/>
  <c r="L87" i="1"/>
  <c r="O87" i="1"/>
  <c r="P105" i="1"/>
  <c r="L105" i="1"/>
  <c r="O105" i="1"/>
  <c r="N105" i="1"/>
  <c r="M105" i="1"/>
  <c r="O122" i="1"/>
  <c r="N122" i="1"/>
  <c r="M122" i="1"/>
  <c r="P122" i="1"/>
  <c r="L122" i="1"/>
  <c r="M148" i="1"/>
  <c r="P148" i="1"/>
  <c r="L148" i="1"/>
  <c r="O148" i="1"/>
  <c r="N148" i="1"/>
  <c r="M160" i="1"/>
  <c r="P160" i="1"/>
  <c r="L160" i="1"/>
  <c r="O160" i="1"/>
  <c r="N160" i="1"/>
  <c r="M124" i="1"/>
  <c r="P124" i="1"/>
  <c r="L124" i="1"/>
  <c r="O124" i="1"/>
  <c r="N124" i="1"/>
  <c r="P169" i="1"/>
  <c r="L169" i="1"/>
  <c r="O169" i="1"/>
  <c r="N169" i="1"/>
  <c r="M169" i="1"/>
  <c r="P101" i="1"/>
  <c r="L101" i="1"/>
  <c r="O101" i="1"/>
  <c r="N101" i="1"/>
  <c r="M101" i="1"/>
  <c r="N83" i="1"/>
  <c r="M83" i="1"/>
  <c r="P83" i="1"/>
  <c r="L83" i="1"/>
  <c r="O83" i="1"/>
  <c r="P165" i="1"/>
  <c r="L165" i="1"/>
  <c r="O165" i="1"/>
  <c r="N165" i="1"/>
  <c r="M165" i="1"/>
  <c r="M76" i="1"/>
  <c r="P76" i="1"/>
  <c r="L76" i="1"/>
  <c r="O76" i="1"/>
  <c r="N76" i="1"/>
  <c r="N171" i="1"/>
  <c r="M171" i="1"/>
  <c r="P171" i="1"/>
  <c r="L171" i="1"/>
  <c r="O171" i="1"/>
  <c r="M132" i="1"/>
  <c r="P132" i="1"/>
  <c r="L132" i="1"/>
  <c r="O132" i="1"/>
  <c r="N132" i="1"/>
  <c r="M104" i="1"/>
  <c r="P104" i="1"/>
  <c r="L104" i="1"/>
  <c r="O104" i="1"/>
  <c r="N104" i="1"/>
  <c r="P81" i="1"/>
  <c r="L81" i="1"/>
  <c r="O81" i="1"/>
  <c r="N81" i="1"/>
  <c r="M81" i="1"/>
  <c r="P77" i="1"/>
  <c r="L77" i="1"/>
  <c r="O77" i="1"/>
  <c r="N77" i="1"/>
  <c r="M77" i="1"/>
  <c r="N151" i="1"/>
  <c r="M151" i="1"/>
  <c r="P151" i="1"/>
  <c r="L151" i="1"/>
  <c r="O151" i="1"/>
  <c r="N95" i="1"/>
  <c r="M95" i="1"/>
  <c r="P95" i="1"/>
  <c r="L95" i="1"/>
  <c r="O95" i="1"/>
  <c r="O142" i="1"/>
  <c r="N142" i="1"/>
  <c r="M142" i="1"/>
  <c r="P142" i="1"/>
  <c r="L142" i="1"/>
  <c r="O170" i="1"/>
  <c r="N170" i="1"/>
  <c r="M170" i="1"/>
  <c r="P170" i="1"/>
  <c r="L170" i="1"/>
  <c r="M168" i="1"/>
  <c r="P168" i="1"/>
  <c r="L168" i="1"/>
  <c r="O168" i="1"/>
  <c r="N168" i="1"/>
  <c r="P145" i="1"/>
  <c r="L145" i="1"/>
  <c r="O145" i="1"/>
  <c r="N145" i="1"/>
  <c r="M145" i="1"/>
  <c r="M112" i="1"/>
  <c r="P112" i="1"/>
  <c r="L112" i="1"/>
  <c r="O112" i="1"/>
  <c r="N112" i="1"/>
  <c r="O74" i="1"/>
  <c r="N74" i="1"/>
  <c r="M74" i="1"/>
  <c r="P74" i="1"/>
  <c r="L74" i="1"/>
  <c r="M88" i="1"/>
  <c r="P88" i="1"/>
  <c r="L88" i="1"/>
  <c r="O88" i="1"/>
  <c r="N88" i="1"/>
  <c r="N155" i="1"/>
  <c r="M155" i="1"/>
  <c r="P155" i="1"/>
  <c r="L155" i="1"/>
  <c r="O155" i="1"/>
  <c r="N107" i="1"/>
  <c r="M107" i="1"/>
  <c r="P107" i="1"/>
  <c r="L107" i="1"/>
  <c r="O107" i="1"/>
  <c r="P89" i="1"/>
  <c r="L89" i="1"/>
  <c r="O89" i="1"/>
  <c r="N89" i="1"/>
  <c r="M89" i="1"/>
  <c r="O86" i="1"/>
  <c r="N86" i="1"/>
  <c r="M86" i="1"/>
  <c r="P86" i="1"/>
  <c r="L86" i="1"/>
  <c r="O70" i="1"/>
  <c r="N70" i="1"/>
  <c r="M70" i="1"/>
  <c r="P70" i="1"/>
  <c r="L70" i="1"/>
  <c r="N99" i="1"/>
  <c r="M99" i="1"/>
  <c r="P99" i="1"/>
  <c r="L99" i="1"/>
  <c r="O99" i="1"/>
  <c r="N167" i="1"/>
  <c r="M167" i="1"/>
  <c r="P167" i="1"/>
  <c r="L167" i="1"/>
  <c r="O167" i="1"/>
  <c r="N119" i="1"/>
  <c r="M119" i="1"/>
  <c r="P119" i="1"/>
  <c r="L119" i="1"/>
  <c r="O119" i="1"/>
  <c r="N127" i="1"/>
  <c r="M127" i="1"/>
  <c r="P127" i="1"/>
  <c r="L127" i="1"/>
  <c r="O127" i="1"/>
  <c r="M120" i="1"/>
  <c r="P120" i="1"/>
  <c r="L120" i="1"/>
  <c r="O120" i="1"/>
  <c r="N120" i="1"/>
  <c r="O106" i="1"/>
  <c r="N106" i="1"/>
  <c r="M106" i="1"/>
  <c r="P106" i="1"/>
  <c r="L106" i="1"/>
  <c r="N79" i="1"/>
  <c r="M79" i="1"/>
  <c r="P79" i="1"/>
  <c r="L79" i="1"/>
  <c r="O79" i="1"/>
  <c r="P85" i="1"/>
  <c r="L85" i="1"/>
  <c r="O85" i="1"/>
  <c r="N85" i="1"/>
  <c r="M85" i="1"/>
  <c r="P69" i="1"/>
  <c r="L69" i="1"/>
  <c r="O69" i="1"/>
  <c r="N69" i="1"/>
  <c r="M69" i="1"/>
  <c r="O134" i="1"/>
  <c r="N134" i="1"/>
  <c r="M134" i="1"/>
  <c r="P134" i="1"/>
  <c r="L134" i="1"/>
  <c r="P73" i="1"/>
  <c r="L73" i="1"/>
  <c r="O73" i="1"/>
  <c r="N73" i="1"/>
  <c r="M73" i="1"/>
  <c r="M128" i="1"/>
  <c r="P128" i="1"/>
  <c r="L128" i="1"/>
  <c r="O128" i="1"/>
  <c r="N128" i="1"/>
  <c r="M140" i="1"/>
  <c r="P140" i="1"/>
  <c r="L140" i="1"/>
  <c r="O140" i="1"/>
  <c r="N140" i="1"/>
  <c r="O102" i="1"/>
  <c r="N102" i="1"/>
  <c r="M102" i="1"/>
  <c r="P102" i="1"/>
  <c r="L102" i="1"/>
  <c r="O94" i="1"/>
  <c r="N94" i="1"/>
  <c r="M94" i="1"/>
  <c r="P94" i="1"/>
  <c r="L94" i="1"/>
  <c r="M64" i="1"/>
  <c r="P64" i="1"/>
  <c r="L64" i="1"/>
  <c r="O64" i="1"/>
  <c r="N64" i="1"/>
  <c r="P117" i="1"/>
  <c r="L117" i="1"/>
  <c r="O117" i="1"/>
  <c r="N117" i="1"/>
  <c r="M117" i="1"/>
  <c r="N91" i="1"/>
  <c r="M91" i="1"/>
  <c r="P91" i="1"/>
  <c r="L91" i="1"/>
  <c r="O91" i="1"/>
  <c r="O166" i="1"/>
  <c r="N166" i="1"/>
  <c r="M166" i="1"/>
  <c r="P166" i="1"/>
  <c r="L166" i="1"/>
  <c r="O146" i="1"/>
  <c r="N146" i="1"/>
  <c r="M146" i="1"/>
  <c r="P146" i="1"/>
  <c r="L146" i="1"/>
  <c r="M164" i="1"/>
  <c r="P164" i="1"/>
  <c r="L164" i="1"/>
  <c r="O164" i="1"/>
  <c r="N164" i="1"/>
  <c r="M172" i="1"/>
  <c r="P172" i="1"/>
  <c r="L172" i="1"/>
  <c r="O172" i="1"/>
  <c r="N172" i="1"/>
  <c r="N123" i="1"/>
  <c r="M123" i="1"/>
  <c r="P123" i="1"/>
  <c r="L123" i="1"/>
  <c r="O123" i="1"/>
  <c r="M68" i="1"/>
  <c r="P68" i="1"/>
  <c r="L68" i="1"/>
  <c r="O68" i="1"/>
  <c r="N68" i="1"/>
  <c r="O82" i="1"/>
  <c r="N82" i="1"/>
  <c r="M82" i="1"/>
  <c r="P82" i="1"/>
  <c r="L82" i="1"/>
  <c r="P173" i="1"/>
  <c r="L173" i="1"/>
  <c r="O173" i="1"/>
  <c r="N173" i="1"/>
  <c r="M173" i="1"/>
  <c r="O126" i="1"/>
  <c r="N126" i="1"/>
  <c r="M126" i="1"/>
  <c r="P126" i="1"/>
  <c r="L126" i="1"/>
  <c r="N147" i="1"/>
  <c r="M147" i="1"/>
  <c r="P147" i="1"/>
  <c r="L147" i="1"/>
  <c r="O147" i="1"/>
  <c r="O114" i="1"/>
  <c r="N114" i="1"/>
  <c r="M114" i="1"/>
  <c r="P114" i="1"/>
  <c r="L114" i="1"/>
  <c r="M100" i="1"/>
  <c r="P100" i="1"/>
  <c r="L100" i="1"/>
  <c r="O100" i="1"/>
  <c r="N100" i="1"/>
  <c r="M84" i="1"/>
  <c r="P84" i="1"/>
  <c r="L84" i="1"/>
  <c r="O84" i="1"/>
  <c r="N84" i="1"/>
  <c r="M144" i="1"/>
  <c r="P144" i="1"/>
  <c r="L144" i="1"/>
  <c r="O144" i="1"/>
  <c r="N144" i="1"/>
  <c r="O110" i="1"/>
  <c r="N110" i="1"/>
  <c r="M110" i="1"/>
  <c r="P110" i="1"/>
  <c r="L110" i="1"/>
  <c r="P141" i="1"/>
  <c r="L141" i="1"/>
  <c r="O141" i="1"/>
  <c r="N141" i="1"/>
  <c r="M141" i="1"/>
  <c r="M156" i="1"/>
  <c r="P156" i="1"/>
  <c r="L156" i="1"/>
  <c r="O156" i="1"/>
  <c r="N156" i="1"/>
  <c r="O154" i="1"/>
  <c r="N154" i="1"/>
  <c r="M154" i="1"/>
  <c r="P154" i="1"/>
  <c r="L154" i="1"/>
  <c r="N67" i="1"/>
  <c r="M67" i="1"/>
  <c r="P67" i="1"/>
  <c r="L67" i="1"/>
  <c r="O67" i="1"/>
  <c r="O138" i="1"/>
  <c r="N138" i="1"/>
  <c r="M138" i="1"/>
  <c r="P138" i="1"/>
  <c r="L138" i="1"/>
  <c r="M72" i="1"/>
  <c r="P72" i="1"/>
  <c r="L72" i="1"/>
  <c r="O72" i="1"/>
  <c r="N72" i="1"/>
  <c r="N159" i="1"/>
  <c r="M159" i="1"/>
  <c r="P159" i="1"/>
  <c r="L159" i="1"/>
  <c r="O159" i="1"/>
  <c r="N111" i="1"/>
  <c r="M111" i="1"/>
  <c r="P111" i="1"/>
  <c r="L111" i="1"/>
  <c r="O111" i="1"/>
  <c r="P97" i="1"/>
  <c r="L97" i="1"/>
  <c r="O97" i="1"/>
  <c r="N97" i="1"/>
  <c r="M97" i="1"/>
  <c r="M96" i="1"/>
  <c r="P96" i="1"/>
  <c r="L96" i="1"/>
  <c r="O96" i="1"/>
  <c r="N96" i="1"/>
  <c r="O90" i="1"/>
  <c r="N90" i="1"/>
  <c r="M90" i="1"/>
  <c r="P90" i="1"/>
  <c r="L90" i="1"/>
  <c r="P129" i="1"/>
  <c r="L129" i="1"/>
  <c r="O129" i="1"/>
  <c r="N129" i="1"/>
  <c r="M129" i="1"/>
  <c r="M80" i="1"/>
  <c r="P80" i="1"/>
  <c r="L80" i="1"/>
  <c r="O80" i="1"/>
  <c r="N80" i="1"/>
  <c r="O66" i="1"/>
  <c r="N66" i="1"/>
  <c r="M66" i="1"/>
  <c r="P66" i="1"/>
  <c r="L66" i="1"/>
  <c r="P153" i="1"/>
  <c r="L153" i="1"/>
  <c r="O153" i="1"/>
  <c r="N153" i="1"/>
  <c r="M153" i="1"/>
  <c r="N135" i="1"/>
  <c r="M135" i="1"/>
  <c r="P135" i="1"/>
  <c r="L135" i="1"/>
  <c r="O135" i="1"/>
  <c r="M136" i="1"/>
  <c r="P136" i="1"/>
  <c r="L136" i="1"/>
  <c r="O136" i="1"/>
  <c r="N136" i="1"/>
  <c r="P113" i="1"/>
  <c r="L113" i="1"/>
  <c r="O113" i="1"/>
  <c r="N113" i="1"/>
  <c r="M113" i="1"/>
  <c r="M92" i="1"/>
  <c r="P92" i="1"/>
  <c r="L92" i="1"/>
  <c r="O92" i="1"/>
  <c r="N92" i="1"/>
  <c r="P161" i="1"/>
  <c r="L161" i="1"/>
  <c r="O161" i="1"/>
  <c r="N161" i="1"/>
  <c r="M161" i="1"/>
  <c r="C15" i="1"/>
  <c r="I15" i="1" s="1"/>
  <c r="C17" i="1"/>
  <c r="S17" i="1" s="1"/>
  <c r="C20" i="1"/>
  <c r="I20" i="1" s="1"/>
  <c r="U63" i="1"/>
  <c r="T9" i="1"/>
  <c r="T56" i="1"/>
  <c r="R9" i="1"/>
  <c r="S59" i="1"/>
  <c r="U22" i="1"/>
  <c r="S24" i="1"/>
  <c r="S41" i="1"/>
  <c r="S23" i="1"/>
  <c r="C35" i="1"/>
  <c r="I35" i="1" s="1"/>
  <c r="R11" i="1"/>
  <c r="R33" i="1"/>
  <c r="U61" i="1"/>
  <c r="S36" i="1"/>
  <c r="T31" i="1"/>
  <c r="T55" i="1"/>
  <c r="S32" i="1"/>
  <c r="T49" i="1"/>
  <c r="R26" i="1"/>
  <c r="C37" i="1"/>
  <c r="I37" i="1" s="1"/>
  <c r="S42" i="1"/>
  <c r="T64" i="1"/>
  <c r="C129" i="1"/>
  <c r="C50" i="1"/>
  <c r="I50" i="1" s="1"/>
  <c r="S52" i="1"/>
  <c r="C45" i="1"/>
  <c r="I45" i="1" s="1"/>
  <c r="C9" i="1"/>
  <c r="I9" i="1" s="1"/>
  <c r="C55" i="1"/>
  <c r="I55" i="1" s="1"/>
  <c r="R64" i="1"/>
  <c r="U35" i="1"/>
  <c r="G145" i="1"/>
  <c r="C165" i="1"/>
  <c r="C117" i="1"/>
  <c r="G116" i="1"/>
  <c r="F125" i="1"/>
  <c r="C132" i="1"/>
  <c r="S64" i="1"/>
  <c r="G157" i="1"/>
  <c r="C158" i="1"/>
  <c r="F163" i="1"/>
  <c r="F115" i="1"/>
  <c r="G108" i="1"/>
  <c r="F139" i="1"/>
  <c r="C137" i="1"/>
  <c r="C143" i="1"/>
  <c r="C122" i="1"/>
  <c r="G148" i="1"/>
  <c r="F160" i="1"/>
  <c r="G124" i="1"/>
  <c r="G169" i="1"/>
  <c r="G142" i="1"/>
  <c r="C106" i="1"/>
  <c r="C134" i="1"/>
  <c r="F147" i="1"/>
  <c r="F114" i="1"/>
  <c r="G141" i="1"/>
  <c r="G154" i="1"/>
  <c r="G138" i="1"/>
  <c r="F159" i="1"/>
  <c r="G111" i="1"/>
  <c r="G136" i="1"/>
  <c r="G113" i="1"/>
  <c r="F161" i="1"/>
  <c r="U76" i="1"/>
  <c r="G95" i="1"/>
  <c r="R27" i="1"/>
  <c r="C22" i="1"/>
  <c r="I22" i="1" s="1"/>
  <c r="U40" i="1"/>
  <c r="U41" i="1"/>
  <c r="U23" i="1"/>
  <c r="T13" i="1"/>
  <c r="S35" i="1"/>
  <c r="T15" i="1"/>
  <c r="C21" i="1"/>
  <c r="I21" i="1" s="1"/>
  <c r="C11" i="1"/>
  <c r="I11" i="1" s="1"/>
  <c r="T75" i="1"/>
  <c r="F65" i="1"/>
  <c r="S82" i="1"/>
  <c r="C59" i="1"/>
  <c r="I59" i="1" s="1"/>
  <c r="C13" i="1"/>
  <c r="I13" i="1" s="1"/>
  <c r="S71" i="1"/>
  <c r="J98" i="1"/>
  <c r="C16" i="1"/>
  <c r="I16" i="1" s="1"/>
  <c r="R34" i="1"/>
  <c r="T18" i="1"/>
  <c r="T61" i="1"/>
  <c r="R19" i="1"/>
  <c r="R36" i="1"/>
  <c r="T44" i="1"/>
  <c r="R47" i="1"/>
  <c r="U31" i="1"/>
  <c r="U54" i="1"/>
  <c r="T35" i="1"/>
  <c r="R40" i="1"/>
  <c r="S27" i="1"/>
  <c r="T11" i="1"/>
  <c r="R74" i="1"/>
  <c r="T88" i="1"/>
  <c r="T86" i="1"/>
  <c r="C70" i="1"/>
  <c r="H99" i="1"/>
  <c r="S79" i="1"/>
  <c r="F85" i="1"/>
  <c r="H69" i="1"/>
  <c r="T102" i="1"/>
  <c r="T94" i="1"/>
  <c r="C14" i="1"/>
  <c r="I14" i="1" s="1"/>
  <c r="U60" i="1"/>
  <c r="U46" i="1"/>
  <c r="U25" i="1"/>
  <c r="S62" i="1"/>
  <c r="C32" i="1"/>
  <c r="I32" i="1" s="1"/>
  <c r="U26" i="1"/>
  <c r="C12" i="1"/>
  <c r="I12" i="1" s="1"/>
  <c r="S30" i="1"/>
  <c r="C42" i="1"/>
  <c r="I42" i="1" s="1"/>
  <c r="C64" i="1"/>
  <c r="C78" i="1"/>
  <c r="T54" i="1"/>
  <c r="U59" i="1"/>
  <c r="S87" i="1"/>
  <c r="T83" i="1"/>
  <c r="T57" i="1"/>
  <c r="T33" i="1"/>
  <c r="S51" i="1"/>
  <c r="T17" i="1"/>
  <c r="R54" i="1"/>
  <c r="T41" i="1"/>
  <c r="R21" i="1"/>
  <c r="S22" i="1"/>
  <c r="U24" i="1"/>
  <c r="G131" i="1"/>
  <c r="R13" i="1"/>
  <c r="R100" i="1"/>
  <c r="R84" i="1"/>
  <c r="U67" i="1"/>
  <c r="J72" i="1"/>
  <c r="F97" i="1"/>
  <c r="R96" i="1"/>
  <c r="R66" i="1"/>
  <c r="G92" i="1"/>
  <c r="C58" i="1"/>
  <c r="I58" i="1" s="1"/>
  <c r="R38" i="1"/>
  <c r="R56" i="1"/>
  <c r="R50" i="1"/>
  <c r="T28" i="1"/>
  <c r="C52" i="1"/>
  <c r="I52" i="1" s="1"/>
  <c r="R20" i="1"/>
  <c r="C10" i="1"/>
  <c r="I10" i="1" s="1"/>
  <c r="U45" i="1"/>
  <c r="C51" i="1"/>
  <c r="I51" i="1" s="1"/>
  <c r="R31" i="1"/>
  <c r="T34" i="1"/>
  <c r="T43" i="1"/>
  <c r="T32" i="1"/>
  <c r="T19" i="1"/>
  <c r="R42" i="1"/>
  <c r="U64" i="1"/>
  <c r="T12" i="1"/>
  <c r="T14" i="1"/>
  <c r="T46" i="1"/>
  <c r="U37" i="1"/>
  <c r="C61" i="1"/>
  <c r="I61" i="1" s="1"/>
  <c r="S47" i="1"/>
  <c r="U44" i="1"/>
  <c r="S25" i="1"/>
  <c r="S48" i="1"/>
  <c r="R17" i="1"/>
  <c r="S61" i="1"/>
  <c r="R18" i="1"/>
  <c r="T16" i="1"/>
  <c r="U33" i="1"/>
  <c r="U43" i="1"/>
  <c r="R57" i="1"/>
  <c r="C36" i="1"/>
  <c r="I36" i="1" s="1"/>
  <c r="S33" i="1"/>
  <c r="U51" i="1"/>
  <c r="R61" i="1"/>
  <c r="U47" i="1"/>
  <c r="R44" i="1"/>
  <c r="S57" i="1"/>
  <c r="T36" i="1"/>
  <c r="R43" i="1"/>
  <c r="U57" i="1"/>
  <c r="C34" i="1"/>
  <c r="I34" i="1" s="1"/>
  <c r="C47" i="1"/>
  <c r="I47" i="1" s="1"/>
  <c r="S31" i="1"/>
  <c r="C44" i="1"/>
  <c r="I44" i="1" s="1"/>
  <c r="U36" i="1"/>
  <c r="C19" i="1"/>
  <c r="I19" i="1" s="1"/>
  <c r="C18" i="1"/>
  <c r="I18" i="1" s="1"/>
  <c r="C33" i="1"/>
  <c r="I33" i="1" s="1"/>
  <c r="U34" i="1"/>
  <c r="R51" i="1"/>
  <c r="T51" i="1"/>
  <c r="C43" i="1"/>
  <c r="I43" i="1" s="1"/>
  <c r="S34" i="1"/>
  <c r="S43" i="1"/>
  <c r="T47" i="1"/>
  <c r="C31" i="1"/>
  <c r="I31" i="1" s="1"/>
  <c r="S44" i="1"/>
  <c r="C57" i="1"/>
  <c r="I57" i="1" s="1"/>
  <c r="R16" i="1"/>
  <c r="J92" i="1"/>
  <c r="T20" i="1"/>
  <c r="R29" i="1"/>
  <c r="T63" i="1"/>
  <c r="R63" i="1"/>
  <c r="U52" i="1"/>
  <c r="T45" i="1"/>
  <c r="T10" i="1"/>
  <c r="R39" i="1"/>
  <c r="U28" i="1"/>
  <c r="C161" i="1"/>
  <c r="S63" i="1"/>
  <c r="R92" i="1"/>
  <c r="U56" i="1"/>
  <c r="T52" i="1"/>
  <c r="G166" i="1"/>
  <c r="R45" i="1"/>
  <c r="F100" i="1"/>
  <c r="C63" i="1"/>
  <c r="I63" i="1" s="1"/>
  <c r="R52" i="1"/>
  <c r="R10" i="1"/>
  <c r="T58" i="1"/>
  <c r="S38" i="1"/>
  <c r="U58" i="1"/>
  <c r="S50" i="1"/>
  <c r="S45" i="1"/>
  <c r="R46" i="1"/>
  <c r="T37" i="1"/>
  <c r="S37" i="1"/>
  <c r="R60" i="1"/>
  <c r="T60" i="1"/>
  <c r="U42" i="1"/>
  <c r="C173" i="1"/>
  <c r="R55" i="1"/>
  <c r="U55" i="1"/>
  <c r="S46" i="1"/>
  <c r="R49" i="1"/>
  <c r="U49" i="1"/>
  <c r="T30" i="1"/>
  <c r="C30" i="1"/>
  <c r="I30" i="1" s="1"/>
  <c r="C60" i="1"/>
  <c r="I60" i="1" s="1"/>
  <c r="R32" i="1"/>
  <c r="T42" i="1"/>
  <c r="R12" i="1"/>
  <c r="R14" i="1"/>
  <c r="H88" i="1"/>
  <c r="S55" i="1"/>
  <c r="C46" i="1"/>
  <c r="I46" i="1" s="1"/>
  <c r="R37" i="1"/>
  <c r="H67" i="1"/>
  <c r="C49" i="1"/>
  <c r="I49" i="1" s="1"/>
  <c r="S49" i="1"/>
  <c r="U62" i="1"/>
  <c r="C62" i="1"/>
  <c r="I62" i="1" s="1"/>
  <c r="C72" i="1"/>
  <c r="U30" i="1"/>
  <c r="R30" i="1"/>
  <c r="J96" i="1"/>
  <c r="S60" i="1"/>
  <c r="U32" i="1"/>
  <c r="T26" i="1"/>
  <c r="S26" i="1"/>
  <c r="R25" i="1"/>
  <c r="C25" i="1"/>
  <c r="I25" i="1" s="1"/>
  <c r="T62" i="1"/>
  <c r="R62" i="1"/>
  <c r="R86" i="1"/>
  <c r="C26" i="1"/>
  <c r="I26" i="1" s="1"/>
  <c r="T25" i="1"/>
  <c r="R41" i="1"/>
  <c r="T22" i="1"/>
  <c r="C23" i="1"/>
  <c r="I23" i="1" s="1"/>
  <c r="T23" i="1"/>
  <c r="C24" i="1"/>
  <c r="I24" i="1" s="1"/>
  <c r="T24" i="1"/>
  <c r="T40" i="1"/>
  <c r="C27" i="1"/>
  <c r="I27" i="1" s="1"/>
  <c r="R15" i="1"/>
  <c r="U53" i="1"/>
  <c r="R35" i="1"/>
  <c r="C41" i="1"/>
  <c r="I41" i="1" s="1"/>
  <c r="R22" i="1"/>
  <c r="R24" i="1"/>
  <c r="C40" i="1"/>
  <c r="I40" i="1" s="1"/>
  <c r="C54" i="1"/>
  <c r="I54" i="1" s="1"/>
  <c r="T21" i="1"/>
  <c r="T59" i="1"/>
  <c r="R53" i="1"/>
  <c r="C53" i="1"/>
  <c r="I53" i="1" s="1"/>
  <c r="U27" i="1"/>
  <c r="S53" i="1"/>
  <c r="S54" i="1"/>
  <c r="R59" i="1"/>
  <c r="R23" i="1"/>
  <c r="S40" i="1"/>
  <c r="T53" i="1"/>
  <c r="T27" i="1"/>
  <c r="T39" i="1"/>
  <c r="C100" i="1"/>
  <c r="T67" i="1"/>
  <c r="C96" i="1"/>
  <c r="G161" i="1"/>
  <c r="F135" i="1"/>
  <c r="C66" i="1"/>
  <c r="C156" i="1"/>
  <c r="C28" i="1"/>
  <c r="I28" i="1" s="1"/>
  <c r="U29" i="1"/>
  <c r="T29" i="1"/>
  <c r="R97" i="1"/>
  <c r="U38" i="1"/>
  <c r="C113" i="1"/>
  <c r="H92" i="1"/>
  <c r="C92" i="1"/>
  <c r="S56" i="1"/>
  <c r="U48" i="1"/>
  <c r="R48" i="1"/>
  <c r="C135" i="1"/>
  <c r="S39" i="1"/>
  <c r="U39" i="1"/>
  <c r="S28" i="1"/>
  <c r="C29" i="1"/>
  <c r="I29" i="1" s="1"/>
  <c r="S29" i="1"/>
  <c r="C38" i="1"/>
  <c r="I38" i="1" s="1"/>
  <c r="J80" i="1"/>
  <c r="U92" i="1"/>
  <c r="C56" i="1"/>
  <c r="I56" i="1" s="1"/>
  <c r="C48" i="1"/>
  <c r="I48" i="1" s="1"/>
  <c r="T48" i="1"/>
  <c r="C126" i="1"/>
  <c r="C39" i="1"/>
  <c r="I39" i="1" s="1"/>
  <c r="T38" i="1"/>
  <c r="F113" i="1"/>
  <c r="T92" i="1"/>
  <c r="R58" i="1"/>
  <c r="S58" i="1"/>
  <c r="T50" i="1"/>
  <c r="R28" i="1"/>
  <c r="U50" i="1"/>
  <c r="C94" i="1"/>
  <c r="U99" i="1"/>
  <c r="U102" i="1"/>
  <c r="F140" i="1"/>
  <c r="F119" i="1"/>
  <c r="F88" i="1"/>
  <c r="T89" i="1"/>
  <c r="F70" i="1"/>
  <c r="C85" i="1"/>
  <c r="J94" i="1"/>
  <c r="C168" i="1"/>
  <c r="U74" i="1"/>
  <c r="C155" i="1"/>
  <c r="J89" i="1"/>
  <c r="H70" i="1"/>
  <c r="C73" i="1"/>
  <c r="F69" i="1"/>
  <c r="C74" i="1"/>
  <c r="T99" i="1"/>
  <c r="H73" i="1"/>
  <c r="G134" i="1"/>
  <c r="H94" i="1"/>
  <c r="C112" i="1"/>
  <c r="U79" i="1"/>
  <c r="G139" i="1"/>
  <c r="G70" i="1"/>
  <c r="F73" i="1"/>
  <c r="G128" i="1"/>
  <c r="S94" i="1"/>
  <c r="U94" i="1"/>
  <c r="J69" i="1"/>
  <c r="C142" i="1"/>
  <c r="F145" i="1"/>
  <c r="S89" i="1"/>
  <c r="H86" i="1"/>
  <c r="F106" i="1"/>
  <c r="T79" i="1"/>
  <c r="G85" i="1"/>
  <c r="G94" i="1"/>
  <c r="F94" i="1"/>
  <c r="R94" i="1"/>
  <c r="C167" i="1"/>
  <c r="G120" i="1"/>
  <c r="G144" i="1"/>
  <c r="J88" i="1"/>
  <c r="G133" i="1"/>
  <c r="G170" i="1"/>
  <c r="H74" i="1"/>
  <c r="F127" i="1"/>
  <c r="U100" i="1"/>
  <c r="U84" i="1"/>
  <c r="F67" i="1"/>
  <c r="J97" i="1"/>
  <c r="C154" i="1"/>
  <c r="S96" i="1"/>
  <c r="C153" i="1"/>
  <c r="U80" i="1"/>
  <c r="G114" i="1"/>
  <c r="T100" i="1"/>
  <c r="C84" i="1"/>
  <c r="S66" i="1"/>
  <c r="G97" i="1"/>
  <c r="R80" i="1"/>
  <c r="S92" i="1"/>
  <c r="F92" i="1"/>
  <c r="T90" i="1"/>
  <c r="C108" i="1"/>
  <c r="R77" i="1"/>
  <c r="R83" i="1"/>
  <c r="H71" i="1"/>
  <c r="C157" i="1"/>
  <c r="C109" i="1"/>
  <c r="C93" i="1"/>
  <c r="C163" i="1"/>
  <c r="H103" i="1"/>
  <c r="F101" i="1"/>
  <c r="F93" i="1"/>
  <c r="T103" i="1"/>
  <c r="R101" i="1"/>
  <c r="G122" i="1"/>
  <c r="C118" i="1"/>
  <c r="J68" i="1"/>
  <c r="R93" i="1"/>
  <c r="F71" i="1"/>
  <c r="F158" i="1"/>
  <c r="S103" i="1"/>
  <c r="C98" i="1"/>
  <c r="S101" i="1"/>
  <c r="R87" i="1"/>
  <c r="F87" i="1"/>
  <c r="R91" i="1"/>
  <c r="J93" i="1"/>
  <c r="C71" i="1"/>
  <c r="R98" i="1"/>
  <c r="J101" i="1"/>
  <c r="C124" i="1"/>
  <c r="C162" i="1"/>
  <c r="H87" i="1"/>
  <c r="C131" i="1"/>
  <c r="R76" i="1"/>
  <c r="J78" i="1"/>
  <c r="U75" i="1"/>
  <c r="G165" i="1"/>
  <c r="G117" i="1"/>
  <c r="J76" i="1"/>
  <c r="H68" i="1"/>
  <c r="G130" i="1"/>
  <c r="G91" i="1"/>
  <c r="C81" i="1"/>
  <c r="S91" i="1"/>
  <c r="U91" i="1"/>
  <c r="F91" i="1"/>
  <c r="C166" i="1"/>
  <c r="G132" i="1"/>
  <c r="G149" i="1"/>
  <c r="F149" i="1"/>
  <c r="C149" i="1"/>
  <c r="G123" i="1"/>
  <c r="F123" i="1"/>
  <c r="C123" i="1"/>
  <c r="R65" i="1"/>
  <c r="S65" i="1"/>
  <c r="U65" i="1"/>
  <c r="J65" i="1"/>
  <c r="T65" i="1"/>
  <c r="C65" i="1"/>
  <c r="C121" i="1"/>
  <c r="G121" i="1"/>
  <c r="F121" i="1"/>
  <c r="T95" i="1"/>
  <c r="U95" i="1"/>
  <c r="S95" i="1"/>
  <c r="J95" i="1"/>
  <c r="R95" i="1"/>
  <c r="C130" i="1"/>
  <c r="C95" i="1"/>
  <c r="G65" i="1"/>
  <c r="R81" i="1"/>
  <c r="H82" i="1"/>
  <c r="F166" i="1"/>
  <c r="C116" i="1"/>
  <c r="F171" i="1"/>
  <c r="G146" i="1"/>
  <c r="F146" i="1"/>
  <c r="F104" i="1"/>
  <c r="G164" i="1"/>
  <c r="F164" i="1"/>
  <c r="F172" i="1"/>
  <c r="C172" i="1"/>
  <c r="H75" i="1"/>
  <c r="R75" i="1"/>
  <c r="C75" i="1"/>
  <c r="G75" i="1"/>
  <c r="F75" i="1"/>
  <c r="S75" i="1"/>
  <c r="H77" i="1"/>
  <c r="F77" i="1"/>
  <c r="J77" i="1"/>
  <c r="U77" i="1"/>
  <c r="S77" i="1"/>
  <c r="T77" i="1"/>
  <c r="C77" i="1"/>
  <c r="U68" i="1"/>
  <c r="G151" i="1"/>
  <c r="C151" i="1"/>
  <c r="U82" i="1"/>
  <c r="R82" i="1"/>
  <c r="T82" i="1"/>
  <c r="F82" i="1"/>
  <c r="G82" i="1"/>
  <c r="C150" i="1"/>
  <c r="G150" i="1"/>
  <c r="F150" i="1"/>
  <c r="F165" i="1"/>
  <c r="F117" i="1"/>
  <c r="T91" i="1"/>
  <c r="H76" i="1"/>
  <c r="G76" i="1"/>
  <c r="T76" i="1"/>
  <c r="H78" i="1"/>
  <c r="T78" i="1"/>
  <c r="S68" i="1"/>
  <c r="T68" i="1"/>
  <c r="C171" i="1"/>
  <c r="F116" i="1"/>
  <c r="J91" i="1"/>
  <c r="C76" i="1"/>
  <c r="S78" i="1"/>
  <c r="U78" i="1"/>
  <c r="R78" i="1"/>
  <c r="F68" i="1"/>
  <c r="R68" i="1"/>
  <c r="C164" i="1"/>
  <c r="G171" i="1"/>
  <c r="G104" i="1"/>
  <c r="F151" i="1"/>
  <c r="H95" i="1"/>
  <c r="H65" i="1"/>
  <c r="G172" i="1"/>
  <c r="J75" i="1"/>
  <c r="J82" i="1"/>
  <c r="G125" i="1"/>
  <c r="F130" i="1"/>
  <c r="U81" i="1"/>
  <c r="T81" i="1"/>
  <c r="S81" i="1"/>
  <c r="J81" i="1"/>
  <c r="G81" i="1"/>
  <c r="H81" i="1"/>
  <c r="C91" i="1"/>
  <c r="H91" i="1"/>
  <c r="S76" i="1"/>
  <c r="F76" i="1"/>
  <c r="F78" i="1"/>
  <c r="G78" i="1"/>
  <c r="C68" i="1"/>
  <c r="G68" i="1"/>
  <c r="C125" i="1"/>
  <c r="C146" i="1"/>
  <c r="F132" i="1"/>
  <c r="C104" i="1"/>
  <c r="G77" i="1"/>
  <c r="F95" i="1"/>
  <c r="F81" i="1"/>
  <c r="C82" i="1"/>
  <c r="F157" i="1"/>
  <c r="G109" i="1"/>
  <c r="T93" i="1"/>
  <c r="J71" i="1"/>
  <c r="G118" i="1"/>
  <c r="G115" i="1"/>
  <c r="U103" i="1"/>
  <c r="C103" i="1"/>
  <c r="F103" i="1"/>
  <c r="J103" i="1"/>
  <c r="C152" i="1"/>
  <c r="F109" i="1"/>
  <c r="H93" i="1"/>
  <c r="S93" i="1"/>
  <c r="U93" i="1"/>
  <c r="R71" i="1"/>
  <c r="T71" i="1"/>
  <c r="U71" i="1"/>
  <c r="G158" i="1"/>
  <c r="F118" i="1"/>
  <c r="F108" i="1"/>
  <c r="G103" i="1"/>
  <c r="H98" i="1"/>
  <c r="S98" i="1"/>
  <c r="T98" i="1"/>
  <c r="C139" i="1"/>
  <c r="C133" i="1"/>
  <c r="G152" i="1"/>
  <c r="G143" i="1"/>
  <c r="F169" i="1"/>
  <c r="G105" i="1"/>
  <c r="G101" i="1"/>
  <c r="U101" i="1"/>
  <c r="F124" i="1"/>
  <c r="G160" i="1"/>
  <c r="G162" i="1"/>
  <c r="J87" i="1"/>
  <c r="U87" i="1"/>
  <c r="S83" i="1"/>
  <c r="F83" i="1"/>
  <c r="G71" i="1"/>
  <c r="G163" i="1"/>
  <c r="C115" i="1"/>
  <c r="R103" i="1"/>
  <c r="U98" i="1"/>
  <c r="G98" i="1"/>
  <c r="F98" i="1"/>
  <c r="F133" i="1"/>
  <c r="F152" i="1"/>
  <c r="F143" i="1"/>
  <c r="C169" i="1"/>
  <c r="C105" i="1"/>
  <c r="F105" i="1"/>
  <c r="T101" i="1"/>
  <c r="C101" i="1"/>
  <c r="F122" i="1"/>
  <c r="C160" i="1"/>
  <c r="G87" i="1"/>
  <c r="C87" i="1"/>
  <c r="J83" i="1"/>
  <c r="F137" i="1"/>
  <c r="G83" i="1"/>
  <c r="G93" i="1"/>
  <c r="H101" i="1"/>
  <c r="F162" i="1"/>
  <c r="T87" i="1"/>
  <c r="F131" i="1"/>
  <c r="U83" i="1"/>
  <c r="F148" i="1"/>
  <c r="H83" i="1"/>
  <c r="C83" i="1"/>
  <c r="C148" i="1"/>
  <c r="G137" i="1"/>
  <c r="F170" i="1"/>
  <c r="G168" i="1"/>
  <c r="G112" i="1"/>
  <c r="G155" i="1"/>
  <c r="C107" i="1"/>
  <c r="G89" i="1"/>
  <c r="R89" i="1"/>
  <c r="U89" i="1"/>
  <c r="S86" i="1"/>
  <c r="G86" i="1"/>
  <c r="J86" i="1"/>
  <c r="F134" i="1"/>
  <c r="C140" i="1"/>
  <c r="R85" i="1"/>
  <c r="H85" i="1"/>
  <c r="F102" i="1"/>
  <c r="C102" i="1"/>
  <c r="J102" i="1"/>
  <c r="C128" i="1"/>
  <c r="S69" i="1"/>
  <c r="G167" i="1"/>
  <c r="C119" i="1"/>
  <c r="C127" i="1"/>
  <c r="C120" i="1"/>
  <c r="U88" i="1"/>
  <c r="F142" i="1"/>
  <c r="S74" i="1"/>
  <c r="T74" i="1"/>
  <c r="G74" i="1"/>
  <c r="G99" i="1"/>
  <c r="F99" i="1"/>
  <c r="R99" i="1"/>
  <c r="S99" i="1"/>
  <c r="U73" i="1"/>
  <c r="G79" i="1"/>
  <c r="C79" i="1"/>
  <c r="H79" i="1"/>
  <c r="C170" i="1"/>
  <c r="C145" i="1"/>
  <c r="F74" i="1"/>
  <c r="J74" i="1"/>
  <c r="F155" i="1"/>
  <c r="G107" i="1"/>
  <c r="F107" i="1"/>
  <c r="C89" i="1"/>
  <c r="F89" i="1"/>
  <c r="C86" i="1"/>
  <c r="T70" i="1"/>
  <c r="J70" i="1"/>
  <c r="U70" i="1"/>
  <c r="R70" i="1"/>
  <c r="C99" i="1"/>
  <c r="J73" i="1"/>
  <c r="G73" i="1"/>
  <c r="R73" i="1"/>
  <c r="S73" i="1"/>
  <c r="G106" i="1"/>
  <c r="R79" i="1"/>
  <c r="J79" i="1"/>
  <c r="G140" i="1"/>
  <c r="J85" i="1"/>
  <c r="U85" i="1"/>
  <c r="R102" i="1"/>
  <c r="G102" i="1"/>
  <c r="F128" i="1"/>
  <c r="G69" i="1"/>
  <c r="U69" i="1"/>
  <c r="F167" i="1"/>
  <c r="G119" i="1"/>
  <c r="G127" i="1"/>
  <c r="G88" i="1"/>
  <c r="C88" i="1"/>
  <c r="R88" i="1"/>
  <c r="F168" i="1"/>
  <c r="F112" i="1"/>
  <c r="H89" i="1"/>
  <c r="F86" i="1"/>
  <c r="U86" i="1"/>
  <c r="S70" i="1"/>
  <c r="J99" i="1"/>
  <c r="T73" i="1"/>
  <c r="F79" i="1"/>
  <c r="T85" i="1"/>
  <c r="S85" i="1"/>
  <c r="H102" i="1"/>
  <c r="S102" i="1"/>
  <c r="R69" i="1"/>
  <c r="T69" i="1"/>
  <c r="C69" i="1"/>
  <c r="F120" i="1"/>
  <c r="S88" i="1"/>
  <c r="G173" i="1"/>
  <c r="C147" i="1"/>
  <c r="C114" i="1"/>
  <c r="H100" i="1"/>
  <c r="G100" i="1"/>
  <c r="J66" i="1"/>
  <c r="F66" i="1"/>
  <c r="G66" i="1"/>
  <c r="G156" i="1"/>
  <c r="G67" i="1"/>
  <c r="R67" i="1"/>
  <c r="F153" i="1"/>
  <c r="G153" i="1"/>
  <c r="S80" i="1"/>
  <c r="C80" i="1"/>
  <c r="F136" i="1"/>
  <c r="U90" i="1"/>
  <c r="S90" i="1"/>
  <c r="F129" i="1"/>
  <c r="G129" i="1"/>
  <c r="F144" i="1"/>
  <c r="C110" i="1"/>
  <c r="G126" i="1"/>
  <c r="G135" i="1"/>
  <c r="H84" i="1"/>
  <c r="T84" i="1"/>
  <c r="G84" i="1"/>
  <c r="F138" i="1"/>
  <c r="S72" i="1"/>
  <c r="T72" i="1"/>
  <c r="C159" i="1"/>
  <c r="C111" i="1"/>
  <c r="F111" i="1"/>
  <c r="H97" i="1"/>
  <c r="S97" i="1"/>
  <c r="T96" i="1"/>
  <c r="H96" i="1"/>
  <c r="G96" i="1"/>
  <c r="F173" i="1"/>
  <c r="F126" i="1"/>
  <c r="G147" i="1"/>
  <c r="S100" i="1"/>
  <c r="J100" i="1"/>
  <c r="S84" i="1"/>
  <c r="J84" i="1"/>
  <c r="U66" i="1"/>
  <c r="C141" i="1"/>
  <c r="F154" i="1"/>
  <c r="C67" i="1"/>
  <c r="C138" i="1"/>
  <c r="H72" i="1"/>
  <c r="U72" i="1"/>
  <c r="G159" i="1"/>
  <c r="T97" i="1"/>
  <c r="U97" i="1"/>
  <c r="T80" i="1"/>
  <c r="H80" i="1"/>
  <c r="G80" i="1"/>
  <c r="C136" i="1"/>
  <c r="F90" i="1"/>
  <c r="G90" i="1"/>
  <c r="C90" i="1"/>
  <c r="J90" i="1"/>
  <c r="C144" i="1"/>
  <c r="F84" i="1"/>
  <c r="H66" i="1"/>
  <c r="T66" i="1"/>
  <c r="F141" i="1"/>
  <c r="F156" i="1"/>
  <c r="J67" i="1"/>
  <c r="S67" i="1"/>
  <c r="G72" i="1"/>
  <c r="R72" i="1"/>
  <c r="F72" i="1"/>
  <c r="C97" i="1"/>
  <c r="F96" i="1"/>
  <c r="U96" i="1"/>
  <c r="F80" i="1"/>
  <c r="R90" i="1"/>
  <c r="H90" i="1"/>
  <c r="F110" i="1"/>
  <c r="G110" i="1"/>
  <c r="S10" i="1" l="1"/>
  <c r="E13" i="1"/>
  <c r="F13" i="1" s="1"/>
  <c r="G13" i="1" s="1"/>
  <c r="E24" i="1"/>
  <c r="E28" i="1"/>
  <c r="E27" i="1"/>
  <c r="E20" i="1"/>
  <c r="E26" i="1"/>
  <c r="E25" i="1"/>
  <c r="E23" i="1"/>
  <c r="E22" i="1"/>
  <c r="E21" i="1"/>
  <c r="E10" i="1"/>
  <c r="F10" i="1" s="1"/>
  <c r="G10" i="1" s="1"/>
  <c r="E19" i="1"/>
  <c r="F19" i="1" s="1"/>
  <c r="G19" i="1" s="1"/>
  <c r="E9" i="1"/>
  <c r="F9" i="1" s="1"/>
  <c r="G9" i="1" s="1"/>
  <c r="E14" i="1"/>
  <c r="F14" i="1" s="1"/>
  <c r="G14" i="1" s="1"/>
  <c r="E17" i="1"/>
  <c r="F17" i="1" s="1"/>
  <c r="G17" i="1" s="1"/>
  <c r="E16" i="1"/>
  <c r="F16" i="1" s="1"/>
  <c r="G16" i="1" s="1"/>
  <c r="E18" i="1"/>
  <c r="F18" i="1" s="1"/>
  <c r="G18" i="1" s="1"/>
  <c r="E12" i="1"/>
  <c r="F12" i="1" s="1"/>
  <c r="G12" i="1" s="1"/>
  <c r="E11" i="1"/>
  <c r="F11" i="1" s="1"/>
  <c r="G11" i="1" s="1"/>
  <c r="E15" i="1"/>
  <c r="F15" i="1" s="1"/>
  <c r="G15" i="1" s="1"/>
  <c r="E52" i="1"/>
  <c r="G34" i="1"/>
  <c r="G22" i="1"/>
  <c r="J30" i="1"/>
  <c r="J26" i="1"/>
  <c r="E32" i="1"/>
  <c r="E62" i="1"/>
  <c r="E55" i="1"/>
  <c r="G25" i="1"/>
  <c r="E46" i="1"/>
  <c r="J31" i="1"/>
  <c r="J35" i="1"/>
  <c r="J23" i="1"/>
  <c r="E41" i="1"/>
  <c r="J24" i="1"/>
  <c r="J27" i="1"/>
  <c r="E63" i="1"/>
  <c r="G29" i="1"/>
  <c r="E39" i="1"/>
  <c r="E50" i="1"/>
  <c r="E58" i="1"/>
  <c r="E47" i="1"/>
  <c r="E36" i="1"/>
  <c r="G33" i="1"/>
  <c r="E43" i="1"/>
  <c r="E42" i="1"/>
  <c r="E30" i="1"/>
  <c r="E49" i="1"/>
  <c r="G32" i="1"/>
  <c r="J25" i="1"/>
  <c r="E45" i="1"/>
  <c r="G20" i="1"/>
  <c r="G28" i="1"/>
  <c r="J29" i="1"/>
  <c r="E38" i="1"/>
  <c r="G36" i="1"/>
  <c r="E61" i="1"/>
  <c r="J33" i="1"/>
  <c r="E57" i="1"/>
  <c r="G30" i="1"/>
  <c r="E37" i="1"/>
  <c r="G26" i="1"/>
  <c r="J32" i="1"/>
  <c r="E60" i="1"/>
  <c r="E31" i="1"/>
  <c r="E44" i="1"/>
  <c r="E51" i="1"/>
  <c r="J34" i="1"/>
  <c r="G21" i="1"/>
  <c r="E35" i="1"/>
  <c r="E54" i="1"/>
  <c r="E40" i="1"/>
  <c r="J22" i="1"/>
  <c r="E59" i="1"/>
  <c r="J28" i="1"/>
  <c r="E48" i="1"/>
  <c r="E29" i="1"/>
  <c r="E56" i="1"/>
  <c r="J36" i="1"/>
  <c r="E33" i="1"/>
  <c r="G31" i="1"/>
  <c r="E34" i="1"/>
  <c r="G35" i="1"/>
  <c r="G23" i="1"/>
  <c r="E53" i="1"/>
  <c r="G24" i="1"/>
  <c r="G27" i="1"/>
  <c r="H9" i="1"/>
  <c r="P9" i="1" s="1"/>
  <c r="I17" i="1"/>
  <c r="U20" i="1"/>
  <c r="U17" i="1"/>
  <c r="M20" i="1"/>
  <c r="S20" i="1"/>
  <c r="H15" i="1"/>
  <c r="P15" i="1" s="1"/>
  <c r="H20" i="1"/>
  <c r="P20" i="1" s="1"/>
  <c r="H17" i="1"/>
  <c r="S14" i="1"/>
  <c r="S15" i="1"/>
  <c r="U15" i="1"/>
  <c r="H56" i="1"/>
  <c r="P56" i="1" s="1"/>
  <c r="H49" i="1"/>
  <c r="O49" i="1" s="1"/>
  <c r="H10" i="1"/>
  <c r="P10" i="1" s="1"/>
  <c r="H58" i="1"/>
  <c r="O58" i="1" s="1"/>
  <c r="H42" i="1"/>
  <c r="H32" i="1"/>
  <c r="P32" i="1" s="1"/>
  <c r="H21" i="1"/>
  <c r="P21" i="1" s="1"/>
  <c r="H50" i="1"/>
  <c r="P50" i="1" s="1"/>
  <c r="H53" i="1"/>
  <c r="O53" i="1" s="1"/>
  <c r="H41" i="1"/>
  <c r="P41" i="1" s="1"/>
  <c r="H62" i="1"/>
  <c r="O62" i="1" s="1"/>
  <c r="U19" i="1"/>
  <c r="H61" i="1"/>
  <c r="O61" i="1" s="1"/>
  <c r="U14" i="1"/>
  <c r="S16" i="1"/>
  <c r="S21" i="1"/>
  <c r="H34" i="1"/>
  <c r="P34" i="1" s="1"/>
  <c r="H45" i="1"/>
  <c r="O45" i="1" s="1"/>
  <c r="U16" i="1"/>
  <c r="H48" i="1"/>
  <c r="O48" i="1" s="1"/>
  <c r="H38" i="1"/>
  <c r="P38" i="1" s="1"/>
  <c r="H43" i="1"/>
  <c r="P43" i="1" s="1"/>
  <c r="H52" i="1"/>
  <c r="O52" i="1" s="1"/>
  <c r="H64" i="1"/>
  <c r="H13" i="1"/>
  <c r="P13" i="1" s="1"/>
  <c r="H11" i="1"/>
  <c r="H55" i="1"/>
  <c r="P55" i="1" s="1"/>
  <c r="S19" i="1"/>
  <c r="U12" i="1"/>
  <c r="U18" i="1"/>
  <c r="S18" i="1"/>
  <c r="U21" i="1"/>
  <c r="U10" i="1"/>
  <c r="S9" i="1"/>
  <c r="U11" i="1"/>
  <c r="U9" i="1"/>
  <c r="S12" i="1"/>
  <c r="U13" i="1"/>
  <c r="S13" i="1"/>
  <c r="S11" i="1"/>
  <c r="H57" i="1"/>
  <c r="P57" i="1" s="1"/>
  <c r="H47" i="1"/>
  <c r="P47" i="1" s="1"/>
  <c r="H35" i="1"/>
  <c r="P35" i="1" s="1"/>
  <c r="H44" i="1"/>
  <c r="P44" i="1" s="1"/>
  <c r="H26" i="1"/>
  <c r="P26" i="1" s="1"/>
  <c r="H59" i="1"/>
  <c r="P59" i="1" s="1"/>
  <c r="H40" i="1"/>
  <c r="P40" i="1" s="1"/>
  <c r="H39" i="1"/>
  <c r="P39" i="1" s="1"/>
  <c r="H51" i="1"/>
  <c r="P51" i="1" s="1"/>
  <c r="H37" i="1"/>
  <c r="P37" i="1" s="1"/>
  <c r="H33" i="1"/>
  <c r="P33" i="1" s="1"/>
  <c r="H23" i="1"/>
  <c r="P23" i="1" s="1"/>
  <c r="H22" i="1"/>
  <c r="H30" i="1"/>
  <c r="P30" i="1" s="1"/>
  <c r="H27" i="1"/>
  <c r="P27" i="1" s="1"/>
  <c r="H24" i="1"/>
  <c r="P24" i="1" s="1"/>
  <c r="H29" i="1"/>
  <c r="P29" i="1" s="1"/>
  <c r="H25" i="1"/>
  <c r="P25" i="1" s="1"/>
  <c r="H28" i="1"/>
  <c r="H46" i="1"/>
  <c r="P46" i="1" s="1"/>
  <c r="H12" i="1"/>
  <c r="J12" i="1" s="1"/>
  <c r="H16" i="1"/>
  <c r="P16" i="1" s="1"/>
  <c r="H63" i="1"/>
  <c r="P63" i="1" s="1"/>
  <c r="H36" i="1"/>
  <c r="P36" i="1" s="1"/>
  <c r="H54" i="1"/>
  <c r="P54" i="1" s="1"/>
  <c r="H31" i="1"/>
  <c r="P31" i="1" s="1"/>
  <c r="H60" i="1"/>
  <c r="P60" i="1" s="1"/>
  <c r="H18" i="1"/>
  <c r="H19" i="1"/>
  <c r="P19" i="1" s="1"/>
  <c r="H14" i="1"/>
  <c r="P14" i="1" s="1"/>
  <c r="L27" i="1" l="1"/>
  <c r="O22" i="1"/>
  <c r="J19" i="1"/>
  <c r="O19" i="1" s="1"/>
  <c r="J16" i="1"/>
  <c r="O16" i="1" s="1"/>
  <c r="J21" i="1"/>
  <c r="O21" i="1" s="1"/>
  <c r="J20" i="1"/>
  <c r="O20" i="1" s="1"/>
  <c r="J14" i="1"/>
  <c r="O14" i="1" s="1"/>
  <c r="P17" i="1"/>
  <c r="J17" i="1"/>
  <c r="O17" i="1" s="1"/>
  <c r="J13" i="1"/>
  <c r="O13" i="1" s="1"/>
  <c r="J18" i="1"/>
  <c r="O18" i="1" s="1"/>
  <c r="J10" i="1"/>
  <c r="O10" i="1" s="1"/>
  <c r="J15" i="1"/>
  <c r="O15" i="1" s="1"/>
  <c r="J11" i="1"/>
  <c r="O11" i="1" s="1"/>
  <c r="J9" i="1"/>
  <c r="O9" i="1" s="1"/>
  <c r="L41" i="1"/>
  <c r="L52" i="1"/>
  <c r="L43" i="1"/>
  <c r="L48" i="1"/>
  <c r="L34" i="1"/>
  <c r="L56" i="1"/>
  <c r="L55" i="1"/>
  <c r="L38" i="1"/>
  <c r="L42" i="1"/>
  <c r="L21" i="1"/>
  <c r="L15" i="1"/>
  <c r="P62" i="1"/>
  <c r="L32" i="1"/>
  <c r="P49" i="1"/>
  <c r="L45" i="1"/>
  <c r="L61" i="1"/>
  <c r="L11" i="1"/>
  <c r="L62" i="1"/>
  <c r="L36" i="1"/>
  <c r="L50" i="1"/>
  <c r="L58" i="1"/>
  <c r="L49" i="1"/>
  <c r="L33" i="1"/>
  <c r="L26" i="1"/>
  <c r="L60" i="1"/>
  <c r="L57" i="1"/>
  <c r="L39" i="1"/>
  <c r="L17" i="1"/>
  <c r="P11" i="1"/>
  <c r="L59" i="1"/>
  <c r="L10" i="1"/>
  <c r="L24" i="1"/>
  <c r="L23" i="1"/>
  <c r="L40" i="1"/>
  <c r="L35" i="1"/>
  <c r="L63" i="1"/>
  <c r="P58" i="1"/>
  <c r="P45" i="1"/>
  <c r="P52" i="1"/>
  <c r="L14" i="1"/>
  <c r="O12" i="1"/>
  <c r="P12" i="1"/>
  <c r="L16" i="1"/>
  <c r="L18" i="1"/>
  <c r="L25" i="1"/>
  <c r="L37" i="1"/>
  <c r="L30" i="1"/>
  <c r="L51" i="1"/>
  <c r="L47" i="1"/>
  <c r="O42" i="1"/>
  <c r="P42" i="1"/>
  <c r="L20" i="1"/>
  <c r="P22" i="1"/>
  <c r="P18" i="1"/>
  <c r="P53" i="1"/>
  <c r="O28" i="1"/>
  <c r="P28" i="1"/>
  <c r="L13" i="1"/>
  <c r="L12" i="1"/>
  <c r="L19" i="1"/>
  <c r="L53" i="1"/>
  <c r="L31" i="1"/>
  <c r="L29" i="1"/>
  <c r="L22" i="1"/>
  <c r="L28" i="1"/>
  <c r="L44" i="1"/>
  <c r="L46" i="1"/>
  <c r="L54" i="1"/>
  <c r="P61" i="1"/>
  <c r="P48" i="1"/>
  <c r="M9" i="1"/>
  <c r="L9" i="1"/>
  <c r="O55" i="1"/>
  <c r="O56" i="1"/>
  <c r="O43" i="1"/>
  <c r="M15" i="1"/>
  <c r="M17" i="1"/>
  <c r="M28" i="1"/>
  <c r="M44" i="1"/>
  <c r="M46" i="1"/>
  <c r="O34" i="1"/>
  <c r="M54" i="1"/>
  <c r="M25" i="1"/>
  <c r="M37" i="1"/>
  <c r="M33" i="1"/>
  <c r="M26" i="1"/>
  <c r="M60" i="1"/>
  <c r="M57" i="1"/>
  <c r="M59" i="1"/>
  <c r="M39" i="1"/>
  <c r="M31" i="1"/>
  <c r="M29" i="1"/>
  <c r="M22" i="1"/>
  <c r="M23" i="1"/>
  <c r="M40" i="1"/>
  <c r="M35" i="1"/>
  <c r="M63" i="1"/>
  <c r="O32" i="1"/>
  <c r="M36" i="1"/>
  <c r="M27" i="1"/>
  <c r="M30" i="1"/>
  <c r="O38" i="1"/>
  <c r="M51" i="1"/>
  <c r="M47" i="1"/>
  <c r="O41" i="1"/>
  <c r="O50" i="1"/>
  <c r="M14" i="1"/>
  <c r="M16" i="1"/>
  <c r="M18" i="1"/>
  <c r="M12" i="1"/>
  <c r="M19" i="1"/>
  <c r="O26" i="1"/>
  <c r="N20" i="1"/>
  <c r="O23" i="1"/>
  <c r="O27" i="1"/>
  <c r="M10" i="1"/>
  <c r="O31" i="1"/>
  <c r="O46" i="1"/>
  <c r="M53" i="1"/>
  <c r="M48" i="1"/>
  <c r="M38" i="1"/>
  <c r="M43" i="1"/>
  <c r="M42" i="1"/>
  <c r="O39" i="1"/>
  <c r="O30" i="1"/>
  <c r="O54" i="1"/>
  <c r="M21" i="1"/>
  <c r="M62" i="1"/>
  <c r="M50" i="1"/>
  <c r="M41" i="1"/>
  <c r="M52" i="1"/>
  <c r="O57" i="1"/>
  <c r="O60" i="1"/>
  <c r="O29" i="1"/>
  <c r="M56" i="1"/>
  <c r="M55" i="1"/>
  <c r="M45" i="1"/>
  <c r="M61" i="1"/>
  <c r="O33" i="1"/>
  <c r="O40" i="1"/>
  <c r="O25" i="1"/>
  <c r="O63" i="1"/>
  <c r="M13" i="1"/>
  <c r="M34" i="1"/>
  <c r="M32" i="1"/>
  <c r="O35" i="1"/>
  <c r="M24" i="1"/>
  <c r="M58" i="1"/>
  <c r="M49" i="1"/>
  <c r="O51" i="1"/>
  <c r="O59" i="1"/>
  <c r="O44" i="1"/>
  <c r="O47" i="1"/>
  <c r="M11" i="1"/>
  <c r="O24" i="1"/>
  <c r="O37" i="1"/>
  <c r="O36" i="1"/>
  <c r="N9" i="1" l="1"/>
  <c r="N27" i="1"/>
  <c r="N37" i="1"/>
  <c r="N17" i="1"/>
  <c r="N15" i="1"/>
  <c r="N31" i="1"/>
  <c r="N36" i="1"/>
  <c r="N47" i="1"/>
  <c r="N35" i="1"/>
  <c r="N23" i="1"/>
  <c r="N29" i="1"/>
  <c r="N59" i="1"/>
  <c r="N60" i="1"/>
  <c r="N33" i="1"/>
  <c r="N44" i="1"/>
  <c r="N22" i="1"/>
  <c r="N25" i="1"/>
  <c r="N51" i="1"/>
  <c r="N30" i="1"/>
  <c r="N63" i="1"/>
  <c r="N40" i="1"/>
  <c r="N39" i="1"/>
  <c r="N57" i="1"/>
  <c r="N26" i="1"/>
  <c r="N54" i="1"/>
  <c r="N46" i="1"/>
  <c r="N28" i="1"/>
  <c r="N19" i="1"/>
  <c r="N12" i="1"/>
  <c r="N18" i="1"/>
  <c r="N16" i="1"/>
  <c r="N14" i="1"/>
  <c r="N10" i="1"/>
  <c r="N32" i="1"/>
  <c r="N42" i="1"/>
  <c r="N38" i="1"/>
  <c r="N49" i="1"/>
  <c r="N24" i="1"/>
  <c r="N61" i="1"/>
  <c r="N56" i="1"/>
  <c r="N41" i="1"/>
  <c r="N50" i="1"/>
  <c r="N21" i="1"/>
  <c r="N53" i="1"/>
  <c r="N34" i="1"/>
  <c r="N43" i="1"/>
  <c r="N13" i="1"/>
  <c r="N11" i="1"/>
  <c r="N58" i="1"/>
  <c r="N45" i="1"/>
  <c r="N55" i="1"/>
  <c r="N52" i="1"/>
  <c r="N62" i="1"/>
  <c r="N48" i="1"/>
</calcChain>
</file>

<file path=xl/sharedStrings.xml><?xml version="1.0" encoding="utf-8"?>
<sst xmlns="http://schemas.openxmlformats.org/spreadsheetml/2006/main" count="190" uniqueCount="92">
  <si>
    <t>Spine Point</t>
  </si>
  <si>
    <t>Salary</t>
  </si>
  <si>
    <t>CPAS</t>
  </si>
  <si>
    <t>CRSP</t>
  </si>
  <si>
    <t>USS</t>
  </si>
  <si>
    <t>NHS</t>
  </si>
  <si>
    <t>Level 7 Spine Points</t>
  </si>
  <si>
    <t>Grade Number</t>
  </si>
  <si>
    <t>No of Points</t>
  </si>
  <si>
    <t>Minimum</t>
  </si>
  <si>
    <t>Standard Max</t>
  </si>
  <si>
    <t>Super Max</t>
  </si>
  <si>
    <t>Match</t>
  </si>
  <si>
    <t>CLCONS - NEW</t>
  </si>
  <si>
    <t>CLLECT / CLCONS OLD</t>
  </si>
  <si>
    <t>APM Level 1</t>
  </si>
  <si>
    <t>APM Level 2</t>
  </si>
  <si>
    <t>APM Level 3</t>
  </si>
  <si>
    <t>APM Level 4</t>
  </si>
  <si>
    <t>APM Level 4 Training Grade</t>
  </si>
  <si>
    <t>Pension Schemes</t>
  </si>
  <si>
    <t>APM Level 5</t>
  </si>
  <si>
    <t>APM Level 6</t>
  </si>
  <si>
    <t>APM Level 7</t>
  </si>
  <si>
    <t>Child Care Services Level 1</t>
  </si>
  <si>
    <t>Child Care Services Level 2</t>
  </si>
  <si>
    <t>New Consultant Contract</t>
  </si>
  <si>
    <t>Clinical Consultant - Old Contract (GP)</t>
  </si>
  <si>
    <t>Clinical Lecturer / Medical Research Fellow</t>
  </si>
  <si>
    <t>O&amp;F Level 2</t>
  </si>
  <si>
    <t>O&amp;F Level 3</t>
  </si>
  <si>
    <t>R&amp;T Level 4</t>
  </si>
  <si>
    <t>R&amp;T Level 4a</t>
  </si>
  <si>
    <t>R&amp;T Level 4 Res Career Training Grade</t>
  </si>
  <si>
    <t>R&amp;T Level 5</t>
  </si>
  <si>
    <t>R&amp;T Extended Level 5</t>
  </si>
  <si>
    <t>R&amp;T Level 5 - Clinical Lecturers (Vet School)</t>
  </si>
  <si>
    <t>R&amp;T Level 6</t>
  </si>
  <si>
    <t>R&amp;T Level 6 - Clinical Associate Professors and Clinical Readers (Vet School)</t>
  </si>
  <si>
    <t>R&amp;T Level 7</t>
  </si>
  <si>
    <t>Technical Services Trainee</t>
  </si>
  <si>
    <t>Technical Services Level 1</t>
  </si>
  <si>
    <t>Technical Services Level 2</t>
  </si>
  <si>
    <t>Technical Services Level 3</t>
  </si>
  <si>
    <t>Technical Services Level 4</t>
  </si>
  <si>
    <t>Technical Services Level 5</t>
  </si>
  <si>
    <t>A rate stops</t>
  </si>
  <si>
    <t>TOTALS</t>
  </si>
  <si>
    <t>Salary + AVA</t>
  </si>
  <si>
    <t>AVA%</t>
  </si>
  <si>
    <t>Clinical Supplement %</t>
  </si>
  <si>
    <t>Clinical Supplement  Amount</t>
  </si>
  <si>
    <t>Select From Drop-Down</t>
  </si>
  <si>
    <t>Not Contributing to a Pension</t>
  </si>
  <si>
    <t>Apprenticeship</t>
  </si>
  <si>
    <t>Point Relates To</t>
  </si>
  <si>
    <t>LEL to ST</t>
  </si>
  <si>
    <t>Above UEL</t>
  </si>
  <si>
    <t>Lower Earnings Level (LEL)</t>
  </si>
  <si>
    <t>Secondary Threshold (ST)</t>
  </si>
  <si>
    <t>Upper Accrual Point (UAP)</t>
  </si>
  <si>
    <t>Primary Threshold (PT)</t>
  </si>
  <si>
    <t>ST to UAP</t>
  </si>
  <si>
    <t>NI THRESHOLDS &amp; RATES</t>
  </si>
  <si>
    <t>* Update the values of these cells to reflect the current NI Thresholds &amp; Rates</t>
  </si>
  <si>
    <t>UCEA point 2</t>
  </si>
  <si>
    <t>O&amp;F1-A</t>
  </si>
  <si>
    <t>O&amp;F1-B</t>
  </si>
  <si>
    <t>O&amp;F1-C</t>
  </si>
  <si>
    <t>O&amp;F1-D</t>
  </si>
  <si>
    <t>O&amp;F1-E</t>
  </si>
  <si>
    <t>O&amp;F2-A</t>
  </si>
  <si>
    <t>O&amp;F2-B</t>
  </si>
  <si>
    <t>O&amp;F3-A</t>
  </si>
  <si>
    <t>O&amp;F3-B</t>
  </si>
  <si>
    <t>Ers National Insurance</t>
  </si>
  <si>
    <t>USS Pens Cost</t>
  </si>
  <si>
    <t>NHS Pens Cost</t>
  </si>
  <si>
    <t>CPAS Pens Cost</t>
  </si>
  <si>
    <t>CRSP Pens Cost</t>
  </si>
  <si>
    <t>D Rate from / USS Start</t>
  </si>
  <si>
    <t>USS Rate</t>
  </si>
  <si>
    <t>NHS Rate</t>
  </si>
  <si>
    <t>CPAS Rate</t>
  </si>
  <si>
    <t>CRSP Rate</t>
  </si>
  <si>
    <t>ERS Rates</t>
  </si>
  <si>
    <t>Salary Points 3 to 57</t>
  </si>
  <si>
    <t>Point 3 Topup?</t>
  </si>
  <si>
    <t>Y</t>
  </si>
  <si>
    <t>Apprenticeship Levy</t>
  </si>
  <si>
    <t>NB: CPAS is not available to new employees
Since 1st April 2016, there has only been one single rate of NI, which applies to all employees.
From 06 April 2017, an apprenticeship levy is payable to HMRC which applies to all employees.</t>
  </si>
  <si>
    <r>
      <t xml:space="preserve">The Scale is currently 100% but can be altered using the + &amp; - buttons in the bottom right corner
Depending on your screen size &amp; resolution not all the Columns &amp; Rows may be visible so scroll down or across as required
Print Preview is automatically set but changes can be made if required
Please read the 'Notes &amp; Guidance' tab for further information
Any queries with the spreadsheet contact HR Systems Team on 15574
</t>
    </r>
    <r>
      <rPr>
        <b/>
        <i/>
        <sz val="10"/>
        <color rgb="FFFF0000"/>
        <rFont val="Calibri"/>
        <family val="2"/>
      </rPr>
      <t xml:space="preserve">Since 1st April 2017, there are no employers NIC payable for workers under 21 who earn less than £45000 (Upper Secondary Threshold).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</si>
</sst>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
  </numFmts>
  <fonts count="22" x14ac:knownFonts="1">
    <font>
      <sz val="11"/>
      <color theme="1"/>
      <name val="Calibri"/>
    </font>
    <font>
      <sz val="11"/>
      <color theme="1"/>
      <name val="Calibri"/>
      <family val="2"/>
      <scheme val="minor"/>
    </font>
    <font>
      <sz val="10"/>
      <name val="Arial"/>
      <family val="2"/>
    </font>
    <font>
      <sz val="14"/>
      <color theme="1"/>
      <name val="Calibri"/>
      <family val="2"/>
    </font>
    <font>
      <b/>
      <sz val="14"/>
      <color theme="1"/>
      <name val="Calibri"/>
      <family val="2"/>
    </font>
    <font>
      <sz val="10"/>
      <color indexed="8"/>
      <name val="Arial"/>
      <family val="2"/>
    </font>
    <font>
      <b/>
      <i/>
      <sz val="11"/>
      <color theme="1"/>
      <name val="Calibri"/>
      <family val="2"/>
    </font>
    <font>
      <b/>
      <sz val="12"/>
      <color theme="1"/>
      <name val="Calibri"/>
      <family val="2"/>
    </font>
    <font>
      <b/>
      <i/>
      <sz val="10"/>
      <color theme="1"/>
      <name val="Calibri"/>
      <family val="2"/>
    </font>
    <font>
      <sz val="11"/>
      <color theme="0"/>
      <name val="Calibri"/>
      <family val="2"/>
    </font>
    <font>
      <sz val="14"/>
      <color rgb="FF000000"/>
      <name val="Calibri"/>
      <family val="2"/>
    </font>
    <font>
      <sz val="11"/>
      <color rgb="FFFF0000"/>
      <name val="Calibri"/>
      <family val="2"/>
    </font>
    <font>
      <b/>
      <i/>
      <sz val="10"/>
      <color rgb="FFFF0000"/>
      <name val="Calibri"/>
      <family val="2"/>
    </font>
    <font>
      <b/>
      <sz val="11"/>
      <color rgb="FFFF0000"/>
      <name val="Calibri"/>
      <family val="2"/>
    </font>
    <font>
      <b/>
      <sz val="16"/>
      <color theme="0"/>
      <name val="Calibri"/>
      <family val="2"/>
    </font>
    <font>
      <b/>
      <sz val="11"/>
      <color theme="1" tint="0.14999847407452621"/>
      <name val="Calibri"/>
      <family val="2"/>
    </font>
    <font>
      <b/>
      <sz val="14"/>
      <color theme="1" tint="0.14999847407452621"/>
      <name val="Calibri"/>
      <family val="2"/>
    </font>
    <font>
      <sz val="11"/>
      <color theme="1"/>
      <name val="Calibri"/>
      <family val="2"/>
    </font>
    <font>
      <sz val="14"/>
      <color rgb="FFFF0000"/>
      <name val="Calibri"/>
      <family val="2"/>
    </font>
    <font>
      <b/>
      <sz val="14"/>
      <color theme="0"/>
      <name val="Calibri"/>
      <family val="2"/>
    </font>
    <font>
      <b/>
      <sz val="11"/>
      <color theme="0"/>
      <name val="Calibri"/>
      <family val="2"/>
    </font>
    <font>
      <sz val="11"/>
      <color theme="1"/>
      <name val="Calibri"/>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2" fillId="0" borderId="0"/>
    <xf numFmtId="0" fontId="2" fillId="0" borderId="0"/>
    <xf numFmtId="0" fontId="2" fillId="0" borderId="0"/>
    <xf numFmtId="0" fontId="1" fillId="0" borderId="0"/>
    <xf numFmtId="9" fontId="21" fillId="0" borderId="0" applyFont="0" applyFill="0" applyBorder="0" applyAlignment="0" applyProtection="0"/>
  </cellStyleXfs>
  <cellXfs count="82">
    <xf numFmtId="0" fontId="0" fillId="0" borderId="0" xfId="0"/>
    <xf numFmtId="0" fontId="0" fillId="0" borderId="0" xfId="0"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164" fontId="0" fillId="0" borderId="0" xfId="0" applyNumberFormat="1" applyAlignment="1" applyProtection="1">
      <alignment horizontal="center" vertical="center"/>
      <protection hidden="1"/>
    </xf>
    <xf numFmtId="164" fontId="0" fillId="0" borderId="0" xfId="0" applyNumberFormat="1" applyFill="1" applyBorder="1" applyAlignment="1" applyProtection="1">
      <alignment horizontal="center" vertical="center"/>
      <protection hidden="1"/>
    </xf>
    <xf numFmtId="0" fontId="3" fillId="0" borderId="0" xfId="0" applyFont="1" applyFill="1" applyAlignment="1" applyProtection="1">
      <alignment horizontal="center" vertical="center"/>
      <protection hidden="1"/>
    </xf>
    <xf numFmtId="0" fontId="0" fillId="0" borderId="0" xfId="0" applyAlignment="1" applyProtection="1">
      <alignment vertical="center"/>
      <protection hidden="1"/>
    </xf>
    <xf numFmtId="0" fontId="3" fillId="0" borderId="0" xfId="0" applyFont="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1" fontId="3" fillId="0" borderId="1" xfId="0" applyNumberFormat="1" applyFont="1" applyBorder="1" applyAlignment="1" applyProtection="1">
      <alignment horizontal="center" vertical="center"/>
      <protection hidden="1"/>
    </xf>
    <xf numFmtId="0" fontId="0" fillId="0" borderId="0" xfId="0" applyFont="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0" xfId="0" applyFill="1" applyAlignment="1" applyProtection="1">
      <alignment horizontal="center" vertical="center"/>
      <protection hidden="1"/>
    </xf>
    <xf numFmtId="0" fontId="5" fillId="0" borderId="0" xfId="1"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0" fontId="0" fillId="0" borderId="0" xfId="0" applyProtection="1">
      <protection hidden="1"/>
    </xf>
    <xf numFmtId="0" fontId="5" fillId="0" borderId="0" xfId="1" applyFont="1" applyFill="1" applyBorder="1" applyAlignment="1" applyProtection="1">
      <alignment horizontal="left" vertical="top"/>
      <protection hidden="1"/>
    </xf>
    <xf numFmtId="0" fontId="5" fillId="0" borderId="0" xfId="1" applyFont="1" applyFill="1" applyBorder="1" applyAlignment="1" applyProtection="1">
      <alignment horizontal="center" vertical="top"/>
      <protection hidden="1"/>
    </xf>
    <xf numFmtId="0" fontId="5" fillId="0" borderId="0" xfId="3" applyFont="1" applyFill="1" applyBorder="1" applyAlignment="1" applyProtection="1">
      <alignment horizontal="left" vertical="center"/>
      <protection hidden="1"/>
    </xf>
    <xf numFmtId="1" fontId="3"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9" fontId="3" fillId="0" borderId="1" xfId="0" applyNumberFormat="1" applyFont="1" applyBorder="1" applyAlignment="1" applyProtection="1">
      <alignment horizontal="center" vertical="center"/>
      <protection hidden="1"/>
    </xf>
    <xf numFmtId="9" fontId="3" fillId="0" borderId="0" xfId="0" applyNumberFormat="1" applyFont="1" applyAlignment="1" applyProtection="1">
      <alignment horizontal="center" vertical="center" wrapText="1"/>
      <protection hidden="1"/>
    </xf>
    <xf numFmtId="1" fontId="3" fillId="0" borderId="0" xfId="0" applyNumberFormat="1" applyFont="1" applyAlignment="1" applyProtection="1">
      <alignment horizontal="center" vertical="center" wrapText="1"/>
      <protection hidden="1"/>
    </xf>
    <xf numFmtId="164" fontId="0" fillId="0" borderId="0" xfId="0" applyNumberFormat="1" applyAlignment="1" applyProtection="1">
      <alignment horizontal="left" vertical="center"/>
      <protection hidden="1"/>
    </xf>
    <xf numFmtId="164" fontId="0" fillId="0" borderId="0" xfId="0" applyNumberFormat="1" applyFill="1" applyBorder="1" applyAlignment="1" applyProtection="1">
      <alignment horizontal="left" vertical="center"/>
      <protection hidden="1"/>
    </xf>
    <xf numFmtId="0" fontId="5" fillId="0" borderId="0" xfId="1" applyFont="1" applyFill="1" applyBorder="1" applyAlignment="1" applyProtection="1">
      <alignment horizontal="left" vertical="center" wrapText="1"/>
      <protection hidden="1"/>
    </xf>
    <xf numFmtId="0" fontId="0" fillId="0" borderId="0" xfId="0" applyNumberFormat="1" applyFill="1" applyBorder="1" applyAlignment="1" applyProtection="1">
      <alignment horizontal="center"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vertical="center" wrapText="1"/>
      <protection hidden="1"/>
    </xf>
    <xf numFmtId="1" fontId="3" fillId="0" borderId="0"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65" fontId="0" fillId="0" borderId="0" xfId="0" applyNumberFormat="1" applyAlignment="1">
      <alignment horizontal="center" vertical="center"/>
    </xf>
    <xf numFmtId="0" fontId="9" fillId="5" borderId="0" xfId="0" applyFont="1" applyFill="1"/>
    <xf numFmtId="0" fontId="0" fillId="0" borderId="1" xfId="0" applyBorder="1"/>
    <xf numFmtId="0" fontId="0" fillId="0" borderId="0" xfId="0" applyAlignment="1">
      <alignment horizontal="center" vertical="center"/>
    </xf>
    <xf numFmtId="165" fontId="0" fillId="3" borderId="1" xfId="0" applyNumberFormat="1" applyFill="1" applyBorder="1" applyAlignment="1">
      <alignment horizontal="center" vertical="center"/>
    </xf>
    <xf numFmtId="0" fontId="3" fillId="0" borderId="0" xfId="0" applyFont="1" applyAlignment="1" applyProtection="1">
      <alignment horizontal="left" vertical="center"/>
      <protection hidden="1"/>
    </xf>
    <xf numFmtId="0" fontId="0" fillId="0" borderId="0" xfId="0" applyFont="1" applyAlignment="1" applyProtection="1">
      <alignment horizontal="right" vertical="center"/>
      <protection hidden="1"/>
    </xf>
    <xf numFmtId="0" fontId="0" fillId="0" borderId="0" xfId="0" applyAlignment="1" applyProtection="1">
      <alignment horizontal="left" vertical="center"/>
      <protection hidden="1"/>
    </xf>
    <xf numFmtId="0" fontId="10" fillId="0" borderId="1" xfId="0" applyFont="1" applyBorder="1" applyAlignment="1">
      <alignment horizontal="center" vertical="center"/>
    </xf>
    <xf numFmtId="0" fontId="4" fillId="2" borderId="4" xfId="0" applyFont="1" applyFill="1" applyBorder="1" applyAlignment="1" applyProtection="1">
      <alignment horizontal="center" vertical="center" wrapText="1"/>
      <protection hidden="1"/>
    </xf>
    <xf numFmtId="0" fontId="11" fillId="3" borderId="1" xfId="0" applyFont="1" applyFill="1" applyBorder="1" applyAlignment="1">
      <alignment horizontal="center" vertical="center"/>
    </xf>
    <xf numFmtId="3" fontId="11" fillId="0" borderId="0" xfId="0" applyNumberFormat="1" applyFont="1" applyAlignment="1">
      <alignment horizontal="center" vertical="center"/>
    </xf>
    <xf numFmtId="3" fontId="11" fillId="3" borderId="1" xfId="0" applyNumberFormat="1" applyFont="1" applyFill="1" applyBorder="1" applyAlignment="1">
      <alignment horizontal="center" vertical="center"/>
    </xf>
    <xf numFmtId="0" fontId="4" fillId="6" borderId="1"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center" vertical="center" wrapText="1"/>
      <protection hidden="1"/>
    </xf>
    <xf numFmtId="0" fontId="4" fillId="7" borderId="1" xfId="0" applyFont="1" applyFill="1" applyBorder="1" applyAlignment="1" applyProtection="1">
      <alignment horizontal="center" vertical="center" wrapText="1"/>
      <protection hidden="1"/>
    </xf>
    <xf numFmtId="0" fontId="4" fillId="8" borderId="1" xfId="0" applyFont="1" applyFill="1" applyBorder="1" applyAlignment="1" applyProtection="1">
      <alignment horizontal="center" vertical="center" wrapText="1"/>
      <protection hidden="1"/>
    </xf>
    <xf numFmtId="0" fontId="0" fillId="2" borderId="8" xfId="0" applyNumberFormat="1" applyFill="1" applyBorder="1" applyAlignment="1" applyProtection="1">
      <alignment horizontal="center" vertical="center"/>
      <protection hidden="1"/>
    </xf>
    <xf numFmtId="0" fontId="17" fillId="2" borderId="8" xfId="0" applyNumberFormat="1" applyFont="1" applyFill="1" applyBorder="1" applyAlignment="1" applyProtection="1">
      <alignment horizontal="center" vertical="center"/>
      <protection hidden="1"/>
    </xf>
    <xf numFmtId="0" fontId="0" fillId="3" borderId="8" xfId="0" applyNumberFormat="1" applyFill="1" applyBorder="1" applyAlignment="1" applyProtection="1">
      <alignment horizontal="center" vertical="center"/>
      <protection hidden="1"/>
    </xf>
    <xf numFmtId="1" fontId="0" fillId="0" borderId="1" xfId="0" applyNumberFormat="1" applyBorder="1" applyAlignment="1">
      <alignment horizontal="center"/>
    </xf>
    <xf numFmtId="0" fontId="0" fillId="0" borderId="1" xfId="0" applyBorder="1" applyAlignment="1">
      <alignment horizontal="center"/>
    </xf>
    <xf numFmtId="0" fontId="0" fillId="4" borderId="0" xfId="0" applyFill="1" applyProtection="1">
      <protection hidden="1"/>
    </xf>
    <xf numFmtId="0" fontId="17" fillId="4" borderId="0" xfId="0" applyFont="1" applyFill="1" applyAlignment="1" applyProtection="1">
      <alignment horizontal="center"/>
      <protection hidden="1"/>
    </xf>
    <xf numFmtId="0" fontId="17" fillId="4" borderId="0" xfId="0" applyFont="1" applyFill="1" applyAlignment="1" applyProtection="1">
      <alignment horizontal="center" wrapText="1"/>
      <protection hidden="1"/>
    </xf>
    <xf numFmtId="0" fontId="17" fillId="4" borderId="0" xfId="0" applyFont="1" applyFill="1" applyProtection="1">
      <protection hidden="1"/>
    </xf>
    <xf numFmtId="0" fontId="19" fillId="0" borderId="0" xfId="0" applyFont="1" applyFill="1" applyBorder="1" applyAlignment="1" applyProtection="1">
      <alignment horizontal="center" vertical="center" wrapText="1"/>
      <protection hidden="1"/>
    </xf>
    <xf numFmtId="165" fontId="0" fillId="2" borderId="8" xfId="5" applyNumberFormat="1" applyFont="1" applyFill="1" applyBorder="1" applyAlignment="1" applyProtection="1">
      <alignment horizontal="center" vertical="center"/>
      <protection hidden="1"/>
    </xf>
    <xf numFmtId="0" fontId="11" fillId="2" borderId="1" xfId="0" applyFont="1" applyFill="1" applyBorder="1" applyAlignment="1">
      <alignment horizontal="center"/>
    </xf>
    <xf numFmtId="0" fontId="18" fillId="2" borderId="1" xfId="0" applyFont="1" applyFill="1" applyBorder="1" applyAlignment="1" applyProtection="1">
      <alignment horizontal="center" vertical="center"/>
      <protection hidden="1"/>
    </xf>
    <xf numFmtId="0" fontId="8"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0" fontId="16" fillId="9" borderId="1" xfId="0" applyFont="1" applyFill="1" applyBorder="1" applyAlignment="1" applyProtection="1">
      <alignment horizontal="center" vertical="center" wrapText="1"/>
      <protection hidden="1"/>
    </xf>
    <xf numFmtId="0" fontId="15" fillId="9" borderId="5" xfId="0" applyFont="1" applyFill="1" applyBorder="1" applyAlignment="1" applyProtection="1">
      <alignment horizontal="left" vertical="center" wrapText="1"/>
      <protection hidden="1"/>
    </xf>
    <xf numFmtId="0" fontId="15" fillId="9" borderId="6" xfId="0" applyFont="1" applyFill="1" applyBorder="1" applyAlignment="1" applyProtection="1">
      <alignment horizontal="left" vertical="center"/>
      <protection hidden="1"/>
    </xf>
    <xf numFmtId="0" fontId="15" fillId="9" borderId="7" xfId="0" applyFont="1" applyFill="1" applyBorder="1" applyAlignment="1" applyProtection="1">
      <alignment horizontal="left" vertical="center"/>
      <protection hidden="1"/>
    </xf>
    <xf numFmtId="0" fontId="14" fillId="10" borderId="5" xfId="0" applyFont="1" applyFill="1" applyBorder="1" applyAlignment="1" applyProtection="1">
      <alignment horizontal="center" vertical="center" wrapText="1"/>
      <protection locked="0" hidden="1"/>
    </xf>
    <xf numFmtId="0" fontId="14" fillId="10" borderId="7" xfId="0" applyFont="1" applyFill="1" applyBorder="1" applyAlignment="1" applyProtection="1">
      <alignment horizontal="center" vertical="center" wrapText="1"/>
      <protection locked="0" hidden="1"/>
    </xf>
    <xf numFmtId="0" fontId="13" fillId="0" borderId="0" xfId="0" applyFont="1" applyFill="1" applyBorder="1" applyAlignment="1" applyProtection="1">
      <alignment horizontal="left" vertical="center" wrapText="1"/>
      <protection hidden="1"/>
    </xf>
    <xf numFmtId="0" fontId="13" fillId="0" borderId="0" xfId="0" applyFont="1" applyFill="1" applyBorder="1" applyAlignment="1" applyProtection="1">
      <alignment horizontal="left" vertical="center"/>
      <protection hidden="1"/>
    </xf>
    <xf numFmtId="0" fontId="20" fillId="0" borderId="3" xfId="0" applyFont="1" applyBorder="1" applyAlignment="1" applyProtection="1">
      <alignment horizontal="center" vertical="center" wrapText="1"/>
      <protection hidden="1"/>
    </xf>
    <xf numFmtId="0" fontId="4" fillId="4" borderId="2" xfId="0" applyFont="1" applyFill="1" applyBorder="1" applyAlignment="1" applyProtection="1">
      <alignment horizontal="center" vertical="center" wrapText="1"/>
      <protection hidden="1"/>
    </xf>
    <xf numFmtId="0" fontId="4" fillId="4" borderId="0" xfId="0" applyFont="1" applyFill="1" applyBorder="1" applyAlignment="1" applyProtection="1">
      <alignment horizontal="center" vertical="center" wrapText="1"/>
      <protection hidden="1"/>
    </xf>
    <xf numFmtId="0" fontId="5" fillId="0" borderId="0" xfId="1" applyFont="1" applyFill="1" applyBorder="1" applyAlignment="1" applyProtection="1">
      <alignment horizontal="center" vertical="center" wrapText="1"/>
      <protection hidden="1"/>
    </xf>
  </cellXfs>
  <cellStyles count="6">
    <cellStyle name="Normal" xfId="0" builtinId="0"/>
    <cellStyle name="Normal 2" xfId="1"/>
    <cellStyle name="Normal 2 2" xfId="2"/>
    <cellStyle name="Normal 3" xfId="3"/>
    <cellStyle name="Normal 4" xfId="4"/>
    <cellStyle name="Percent" xfId="5" builtinId="5"/>
  </cellStyles>
  <dxfs count="6">
    <dxf>
      <font>
        <b/>
        <i val="0"/>
      </font>
      <fill>
        <patternFill>
          <bgColor rgb="FFFFC000"/>
        </patternFill>
      </fill>
    </dxf>
    <dxf>
      <numFmt numFmtId="0" formatCode="General"/>
      <fill>
        <patternFill patternType="none">
          <bgColor auto="1"/>
        </patternFill>
      </fill>
      <border>
        <left/>
        <right/>
        <top/>
        <bottom/>
        <vertical/>
        <horizontal/>
      </border>
    </dxf>
    <dxf>
      <font>
        <b/>
        <i val="0"/>
      </font>
      <fill>
        <patternFill>
          <bgColor rgb="FFFFC000"/>
        </patternFill>
      </fill>
      <border>
        <left/>
        <right/>
        <top/>
        <bottom/>
        <vertical/>
        <horizontal/>
      </border>
    </dxf>
    <dxf>
      <fill>
        <patternFill>
          <bgColor rgb="FFFF0000"/>
        </patternFill>
      </fill>
    </dxf>
    <dxf>
      <font>
        <color theme="0"/>
      </font>
      <fill>
        <patternFill>
          <bgColor rgb="FFFF0000"/>
        </patternFill>
      </fill>
    </dxf>
    <dxf>
      <font>
        <b/>
        <i val="0"/>
      </font>
      <fill>
        <patternFill>
          <bgColor theme="0" tint="-0.24994659260841701"/>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CE32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303"/>
  <sheetViews>
    <sheetView showGridLines="0" showRowColHeaders="0" tabSelected="1" zoomScaleNormal="100" workbookViewId="0">
      <selection activeCell="B4" sqref="B4:C4"/>
    </sheetView>
  </sheetViews>
  <sheetFormatPr defaultColWidth="9.140625" defaultRowHeight="18.75" x14ac:dyDescent="0.25"/>
  <cols>
    <col min="1" max="1" width="2.140625" style="1" customWidth="1"/>
    <col min="2" max="2" width="16.7109375" style="1" customWidth="1"/>
    <col min="3" max="3" width="26.140625" style="1" customWidth="1"/>
    <col min="4" max="4" width="4.7109375" style="2" customWidth="1"/>
    <col min="5" max="8" width="15.5703125" style="1" customWidth="1"/>
    <col min="9" max="9" width="19.5703125" style="1" customWidth="1"/>
    <col min="10" max="10" width="15.5703125" style="1" customWidth="1"/>
    <col min="11" max="11" width="6.7109375" style="1" bestFit="1" customWidth="1"/>
    <col min="12" max="15" width="13.140625" style="1" customWidth="1"/>
    <col min="16" max="16" width="14.28515625" style="1" customWidth="1"/>
    <col min="17" max="17" width="9.140625" style="1" customWidth="1"/>
    <col min="18" max="21" width="15.7109375" style="4" customWidth="1"/>
    <col min="22" max="24" width="9.140625" style="5" customWidth="1"/>
    <col min="25" max="25" width="6.140625" style="26" customWidth="1"/>
    <col min="26" max="26" width="11.42578125" style="26" customWidth="1"/>
    <col min="27" max="31" width="6.140625" style="26" customWidth="1"/>
    <col min="32" max="39" width="9.140625" style="5" customWidth="1"/>
    <col min="40" max="40" width="9.140625" style="1" customWidth="1"/>
    <col min="41" max="16384" width="9.140625" style="1"/>
  </cols>
  <sheetData>
    <row r="1" spans="2:54" ht="34.5" customHeight="1" x14ac:dyDescent="0.25">
      <c r="B1" s="68" t="s">
        <v>91</v>
      </c>
      <c r="C1" s="68"/>
      <c r="D1" s="68"/>
      <c r="E1" s="68"/>
      <c r="F1" s="68"/>
      <c r="G1" s="68"/>
      <c r="H1" s="68"/>
      <c r="I1" s="68"/>
      <c r="J1" s="68"/>
      <c r="K1" s="35"/>
      <c r="L1" s="34"/>
      <c r="AF1" s="5" t="s">
        <v>29</v>
      </c>
    </row>
    <row r="2" spans="2:54" ht="43.5" customHeight="1" x14ac:dyDescent="0.25">
      <c r="B2" s="68"/>
      <c r="C2" s="68"/>
      <c r="D2" s="68"/>
      <c r="E2" s="68"/>
      <c r="F2" s="68"/>
      <c r="G2" s="68"/>
      <c r="H2" s="68"/>
      <c r="I2" s="68"/>
      <c r="J2" s="68"/>
      <c r="K2" s="35"/>
      <c r="L2" s="76"/>
      <c r="M2" s="77"/>
      <c r="N2" s="77"/>
      <c r="O2" s="77"/>
      <c r="P2" s="77"/>
      <c r="Q2" s="77"/>
      <c r="AF2" s="5" t="s">
        <v>30</v>
      </c>
    </row>
    <row r="3" spans="2:54" ht="11.25" customHeight="1" x14ac:dyDescent="0.25"/>
    <row r="4" spans="2:54" ht="61.5" customHeight="1" x14ac:dyDescent="0.25">
      <c r="B4" s="74" t="s">
        <v>86</v>
      </c>
      <c r="C4" s="75"/>
      <c r="E4" s="79" t="str">
        <f>IF(OR($B$4="O&amp;F1-A",$B$4="O&amp;F1-B",$B$4="O&amp;F1-C",$B$4="O&amp;F1-D",$B$4="O&amp;F1-E",$B$4="O&amp;F2-A",$B$4="O&amp;F2-B"),"O&amp;F Shift Extended Hours = £3,636.44
O&amp;F Shift 24/7 = £4,848.71
-where applicable-",IF(Thresholds_Rates!C15=0,"","STANDARD MAXIMUM"))</f>
        <v/>
      </c>
      <c r="F4" s="80"/>
      <c r="G4" s="80"/>
      <c r="H4" s="80"/>
      <c r="I4" s="80"/>
      <c r="J4" s="10"/>
      <c r="K4" s="10"/>
      <c r="AF4" s="30" t="s">
        <v>36</v>
      </c>
      <c r="AN4" s="26"/>
      <c r="AO4" s="26"/>
      <c r="AP4" s="26"/>
      <c r="AQ4" s="26"/>
      <c r="AR4" s="26"/>
      <c r="AS4" s="26"/>
      <c r="AT4" s="26"/>
      <c r="AU4" s="26"/>
      <c r="AV4" s="26"/>
      <c r="AW4" s="26"/>
      <c r="AX4" s="26"/>
      <c r="AY4" s="26"/>
      <c r="AZ4" s="26"/>
      <c r="BA4" s="26"/>
      <c r="BB4" s="26"/>
    </row>
    <row r="5" spans="2:54" s="2" customFormat="1" ht="8.25" customHeight="1" x14ac:dyDescent="0.25">
      <c r="B5" s="64" t="str">
        <f>VLOOKUP($B$4,Grades!$A:$BS,71,0)</f>
        <v>Y</v>
      </c>
      <c r="C5" s="10"/>
      <c r="D5" s="10"/>
      <c r="F5" s="10"/>
      <c r="G5" s="10"/>
      <c r="H5" s="10"/>
      <c r="I5" s="10"/>
      <c r="J5" s="10"/>
      <c r="K5" s="10"/>
      <c r="R5" s="14"/>
      <c r="S5" s="14"/>
      <c r="T5" s="14"/>
      <c r="U5" s="14"/>
      <c r="V5" s="6"/>
      <c r="W5" s="6"/>
      <c r="X5" s="6"/>
      <c r="Y5" s="33"/>
      <c r="Z5" s="33"/>
      <c r="AA5" s="33"/>
      <c r="AB5" s="33"/>
      <c r="AC5" s="33"/>
      <c r="AD5" s="33"/>
      <c r="AE5" s="33"/>
      <c r="AF5" s="31"/>
      <c r="AG5" s="6"/>
      <c r="AH5" s="6"/>
      <c r="AI5" s="6"/>
      <c r="AJ5" s="6"/>
      <c r="AK5" s="6"/>
      <c r="AL5" s="6"/>
      <c r="AM5" s="6"/>
      <c r="AN5" s="33"/>
      <c r="AO5" s="33"/>
      <c r="AP5" s="33"/>
      <c r="AQ5" s="33"/>
      <c r="AR5" s="33"/>
      <c r="AS5" s="33"/>
      <c r="AT5" s="33"/>
      <c r="AU5" s="33"/>
      <c r="AV5" s="33"/>
      <c r="AW5" s="33"/>
      <c r="AX5" s="33"/>
      <c r="AY5" s="33"/>
      <c r="AZ5" s="33"/>
      <c r="BA5" s="33"/>
      <c r="BB5" s="33"/>
    </row>
    <row r="6" spans="2:54" s="2" customFormat="1" ht="8.25" customHeight="1" x14ac:dyDescent="0.25">
      <c r="B6" s="10"/>
      <c r="C6" s="10"/>
      <c r="D6" s="10"/>
      <c r="F6" s="10"/>
      <c r="G6" s="10"/>
      <c r="H6" s="10"/>
      <c r="I6" s="10"/>
      <c r="J6" s="10"/>
      <c r="K6" s="10"/>
      <c r="R6" s="14"/>
      <c r="S6" s="14"/>
      <c r="T6" s="14"/>
      <c r="U6" s="14"/>
      <c r="V6" s="6"/>
      <c r="W6" s="6"/>
      <c r="X6" s="6"/>
      <c r="Y6" s="33"/>
      <c r="Z6" s="33"/>
      <c r="AA6" s="33"/>
      <c r="AB6" s="33"/>
      <c r="AC6" s="33"/>
      <c r="AD6" s="33"/>
      <c r="AE6" s="33"/>
      <c r="AF6" s="31"/>
      <c r="AG6" s="6"/>
      <c r="AH6" s="6"/>
      <c r="AI6" s="6"/>
      <c r="AJ6" s="6"/>
      <c r="AK6" s="6"/>
      <c r="AL6" s="6"/>
      <c r="AM6" s="6"/>
      <c r="AN6" s="33"/>
      <c r="AO6" s="33"/>
      <c r="AP6" s="33"/>
      <c r="AQ6" s="33"/>
      <c r="AR6" s="33"/>
      <c r="AS6" s="33"/>
      <c r="AT6" s="33"/>
      <c r="AU6" s="33"/>
      <c r="AV6" s="33"/>
      <c r="AW6" s="33"/>
      <c r="AX6" s="33"/>
      <c r="AY6" s="33"/>
      <c r="AZ6" s="33"/>
      <c r="BA6" s="33"/>
      <c r="BB6" s="33"/>
    </row>
    <row r="7" spans="2:54" s="2" customFormat="1" ht="69" customHeight="1" x14ac:dyDescent="0.25">
      <c r="B7" s="78" t="e">
        <f>IF(B5="Y",#REF!,"")</f>
        <v>#REF!</v>
      </c>
      <c r="C7" s="78"/>
      <c r="E7" s="71" t="s">
        <v>90</v>
      </c>
      <c r="F7" s="72"/>
      <c r="G7" s="72"/>
      <c r="H7" s="72"/>
      <c r="I7" s="72"/>
      <c r="J7" s="73"/>
      <c r="K7" s="18"/>
      <c r="L7" s="70" t="s">
        <v>47</v>
      </c>
      <c r="M7" s="70"/>
      <c r="N7" s="70"/>
      <c r="O7" s="70"/>
      <c r="P7" s="70"/>
      <c r="Q7" s="1"/>
      <c r="R7" s="69" t="str">
        <f>IF(OR($B$4="R&amp;T Level 5 - Clinical Lecturers (Vet School)",$B$4="R&amp;T Level 6 - Clinical Associate Professors and Clinical Readers (Vet School)"),"AVA Details","")</f>
        <v/>
      </c>
      <c r="S7" s="69"/>
      <c r="T7" s="69" t="str">
        <f>IF($B$4="R&amp;T Level 5 - Clinical Lecturers (Vet School)","Clinical Supplement
Can earn up to 15%
(Maximum Shown Below)",IF($B$4="R&amp;T Level 6 - Clinical Associate Professors and Clinical Readers (Vet School)","Clinical Supplement
Can earn up to 20%
(Maximum Shown Below)",""))</f>
        <v/>
      </c>
      <c r="U7" s="69"/>
      <c r="V7" s="5"/>
      <c r="W7" s="26"/>
      <c r="X7" s="5"/>
      <c r="Y7" s="26"/>
      <c r="Z7" s="33"/>
      <c r="AA7" s="33"/>
      <c r="AB7" s="33"/>
      <c r="AC7" s="33"/>
      <c r="AD7" s="33"/>
      <c r="AE7" s="33"/>
      <c r="AF7" s="31" t="s">
        <v>38</v>
      </c>
      <c r="AG7" s="6"/>
      <c r="AH7" s="6"/>
      <c r="AI7" s="6"/>
      <c r="AJ7" s="6"/>
      <c r="AK7" s="6"/>
      <c r="AL7" s="6"/>
      <c r="AM7" s="6"/>
      <c r="AN7" s="33"/>
      <c r="AO7" s="33"/>
      <c r="AP7" s="33"/>
      <c r="AQ7" s="33"/>
      <c r="AR7" s="33"/>
      <c r="AS7" s="33"/>
      <c r="AT7" s="33"/>
      <c r="AU7" s="33"/>
      <c r="AV7" s="33"/>
      <c r="AW7" s="33"/>
      <c r="AX7" s="33"/>
      <c r="AY7" s="33"/>
      <c r="AZ7" s="33"/>
      <c r="BA7" s="33"/>
      <c r="BB7" s="33"/>
    </row>
    <row r="8" spans="2:54" ht="57" customHeight="1" x14ac:dyDescent="0.25">
      <c r="B8" s="54" t="s">
        <v>0</v>
      </c>
      <c r="C8" s="54" t="str">
        <f>IF(OR($B$4=$AF$4,$B$4=$AF$7),"Salary + AVA
(for further details scroll right)","Salary")</f>
        <v>Salary</v>
      </c>
      <c r="D8" s="10"/>
      <c r="E8" s="53" t="s">
        <v>76</v>
      </c>
      <c r="F8" s="53" t="s">
        <v>77</v>
      </c>
      <c r="G8" s="53" t="s">
        <v>78</v>
      </c>
      <c r="H8" s="51" t="s">
        <v>75</v>
      </c>
      <c r="I8" s="51" t="s">
        <v>89</v>
      </c>
      <c r="J8" s="53" t="s">
        <v>79</v>
      </c>
      <c r="K8" s="10"/>
      <c r="L8" s="51" t="s">
        <v>4</v>
      </c>
      <c r="M8" s="51" t="s">
        <v>5</v>
      </c>
      <c r="N8" s="51" t="s">
        <v>2</v>
      </c>
      <c r="O8" s="51" t="s">
        <v>3</v>
      </c>
      <c r="P8" s="52" t="s">
        <v>53</v>
      </c>
      <c r="R8" s="9" t="str">
        <f>IF(OR($B$4="R&amp;T Level 5 - Clinical Lecturers (Vet School)",$B$4="R&amp;T Level 6 - Clinical Associate Professors and Clinical Readers (Vet School)"),"AVA %","")</f>
        <v/>
      </c>
      <c r="S8" s="9" t="str">
        <f>IF(OR($B$4="R&amp;T Level 5 - Clinical Lecturers (Vet School)",$B$4="R&amp;T Level 6 - Clinical Associate Professors and Clinical Readers (Vet School)"),"AVA Amount","")</f>
        <v/>
      </c>
      <c r="T8" s="9" t="str">
        <f>IF(OR($B$4="R&amp;T Level 5 - Clinical Lecturers (Vet School)",$B$4="R&amp;T Level 6 - Clinical Associate Professors and Clinical Readers (Vet School)"),"Clinical Supplement %","")</f>
        <v/>
      </c>
      <c r="U8" s="9" t="str">
        <f>IF(OR($B$4="R&amp;T Level 5 - Clinical Lecturers (Vet School)",$B$4="R&amp;T Level 6 - Clinical Associate Professors and Clinical Readers (Vet School)"),"Clinical Supplement Amount","")</f>
        <v/>
      </c>
      <c r="V8" s="11"/>
      <c r="W8" s="26"/>
      <c r="AN8" s="5"/>
    </row>
    <row r="9" spans="2:54" x14ac:dyDescent="0.25">
      <c r="B9" s="4">
        <f ca="1">IFERROR(INDEX(Points_Lookup!$A:$A,MATCH($Z9,Points_Lookup!$AE:$AE,0)),"")</f>
        <v>3</v>
      </c>
      <c r="C9" s="25">
        <f ca="1">IF(B9="","",IF($B$4="Apprenticeship",SUMIF(Points_Lookup!$AA:$AA,B9,Points_Lookup!$AC:$AC),IF(AND(OR($B$4="New Consultant Contract"),$B9&lt;&gt;""),INDEX(Points_Lookup!$K:$K,MATCH($B9,Points_Lookup!$J:$J,0)),IF(AND(OR($B$4="Clinical Lecturer / Medical Research Fellow",$B$4="Clinical Consultant - Old Contract (GP)"),$B9&lt;&gt;""),INDEX(Points_Lookup!$H:$H,MATCH($B9,Points_Lookup!$G:$G,0)),IF(AND(OR($B$4="APM Level 7",$B$4="R&amp;T Level 7",$B$4="APM Level 8"),B9&lt;&gt;""),INDEX(Points_Lookup!$E:$E,MATCH($Z9,Points_Lookup!$AE:$AE,0)),IF($B$4="R&amp;T Level 5 - Clinical Lecturers (Vet School)",SUMIF(Points_Lookup!$M:$M,$B9,Points_Lookup!$P:$P),IF($B$4="R&amp;T Level 6 - Clinical Associate Professors and Clinical Readers (Vet School)",SUMIF(Points_Lookup!$T:$T,$B9,Points_Lookup!$W:$W),IFERROR(INDEX(Points_Lookup!$B:$B,MATCH($Z9,Points_Lookup!$AE:$AE,0)),""))))))))</f>
        <v>15356</v>
      </c>
      <c r="D9" s="36"/>
      <c r="E9" s="25" t="str">
        <f ca="1">IF($B9="","",IF(AND($B$4="Salary Points 3 to 57",B9&lt;Thresholds_Rates!$C$16),"-",IF(SUMIF(Grades!$A:$A,$B$4,Grades!$BO:$BO)=0,"-",IF(AND($B$4="Salary Points 3 to 57",B9&gt;=Thresholds_Rates!$C$16),$C9*Thresholds_Rates!$F$15,IF(AND(OR($B$4="New Consultant Contract"),$B9&lt;&gt;""),$C9*Thresholds_Rates!$F$15,IF(AND(OR($B$4="Clinical Lecturer / Medical Research Fellow",$B$4="Clinical Consultant - Old Contract (GP)"),$B9&lt;&gt;""),$C9*Thresholds_Rates!$F$15,IF(OR($B$4="APM Level 7",$B$4="R&amp;T Level 7"),$C9*Thresholds_Rates!$F$15,IF(SUMIF(Grades!$A:$A,$B$4,Grades!$BO:$BO)=1,$C9*Thresholds_Rates!$F$15,""))))))))</f>
        <v>-</v>
      </c>
      <c r="F9" s="25" t="str">
        <f ca="1">IF(B9="","",IF($B$4="Salary Points 3 to 57","-",IF(SUMIF(Grades!$A:$A,$B$4,Grades!$BP:$BP)=0,"-",IF(AND(OR($B$4="New Consultant Contract"),$B9&lt;&gt;""),$C9*Thresholds_Rates!$F$16,IF(AND(OR($B$4="Clinical Lecturer / Medical Research Fellow",$B$4="Clinical Consultant - Old Contract (GP)"),$B9&lt;&gt;""),$C9*Thresholds_Rates!$F$16,IF(AND(OR($B$4="APM Level 7",$B$4="R&amp;T Level 7"),E9&lt;&gt;""),$C9*Thresholds_Rates!$F$16,IF(SUMIF(Grades!$A:$A,$B$4,Grades!$BP:$BP)=1,$C9*Thresholds_Rates!$F$16,"")))))))</f>
        <v>-</v>
      </c>
      <c r="G9" s="25">
        <f ca="1">IF($B$4="Apprenticeship","-",IF(B9="","",IF(SUMIF(Grades!$A:$A,$B$4,Grades!$BQ:$BQ)=0,"-",IF(AND($B$4="Salary Points 3 to 57",B9&gt;Thresholds_Rates!$C$17),"-",IF(AND($B$4="Salary Points 3 to 57",B9&lt;=Thresholds_Rates!$C$17),$C9*Thresholds_Rates!$F$17,IF(AND(OR($B$4="New Consultant Contract"),$B9&lt;&gt;""),$C9*Thresholds_Rates!$F$17,IF(AND(OR($B$4="Clinical Lecturer / Medical Research Fellow",$B$4="Clinical Consultant - Old Contract (GP)"),$B9&lt;&gt;""),$C9*Thresholds_Rates!$F$17,IF(AND(OR($B$4="APM Level 7",$B$4="R&amp;T Level 7"),F9&lt;&gt;""),$C9*Thresholds_Rates!$F$17,IF(SUMIF(Grades!$A:$A,$B$4,Grades!$BQ:$BQ)=1,$C9*Thresholds_Rates!$F$17,"")))))))))</f>
        <v>5988.84</v>
      </c>
      <c r="H9" s="25">
        <f ca="1">IF($B9="","",ROUND(($C9-(Thresholds_Rates!$C$5*12))*Thresholds_Rates!$C$10,0))</f>
        <v>993</v>
      </c>
      <c r="I9" s="25">
        <f ca="1">IF(B9="","",(C9*Thresholds_Rates!$C$12))</f>
        <v>76.78</v>
      </c>
      <c r="J9" s="25">
        <f ca="1">IF(B9="","",IF(AND($B$4="Salary Points 3 to 57",B9&gt;Thresholds_Rates!$C$17),"-",IF(SUMIF(Grades!$A:$A,$B$4,Grades!$BR:$BR)=0,"-",IF(AND($B$4="Salary Points 3 to 57",B9&lt;=Thresholds_Rates!$C$17),$C9*Thresholds_Rates!$F$18,IF(AND(OR($B$4="New Consultant Contract"),$B9&lt;&gt;""),$C9*Thresholds_Rates!$F$18,IF(AND(OR($B$4="Clinical Lecturer / Medical Research Fellow",$B$4="Clinical Consultant - Old Contract (GP)"),$B9&lt;&gt;""),$C9*Thresholds_Rates!$F$18,IF(AND(OR($B$4="APM Level 7",$B$4="R&amp;T Level 7"),H9&lt;&gt;""),$C9*Thresholds_Rates!$F$18,IF(SUMIF(Grades!$A:$A,$B$4,Grades!$BQ:$BQ)=1,$C9*Thresholds_Rates!$F$18,""))))))))</f>
        <v>1535.6000000000001</v>
      </c>
      <c r="K9" s="4"/>
      <c r="L9" s="25" t="str">
        <f ca="1">IF(B9="","",IF(E9="-","-",$C9+$H9+E9+I9))</f>
        <v>-</v>
      </c>
      <c r="M9" s="25" t="str">
        <f ca="1">IF(B9="","",IF(F9="-","-",$C9+$H9+F9+I9))</f>
        <v>-</v>
      </c>
      <c r="N9" s="25">
        <f ca="1">IF(B9="","",IF(G9="-","-",$C9+$H9+G9+I9))</f>
        <v>22414.62</v>
      </c>
      <c r="O9" s="25">
        <f ca="1">IF(B9="","",IF(J9="-","-",$C9+$H9+J9+I9))</f>
        <v>17961.379999999997</v>
      </c>
      <c r="P9" s="25">
        <f ca="1">IF(B9="","",C9+H9+I9)</f>
        <v>16425.78</v>
      </c>
      <c r="Q9" s="4"/>
      <c r="R9" s="28" t="str">
        <f ca="1">IF(B9="","",IF($B$4="R&amp;T Level 5 - Clinical Lecturers (Vet School)",SUMIF(Points_Lookup!$M:$M,$B9,Points_Lookup!$N:$N),IF($B$4="R&amp;T Level 6 - Clinical Associate Professors and Clinical Readers (Vet School)",SUMIF(Points_Lookup!$T:$T,$B9,Points_Lookup!$U:$U),"")))</f>
        <v/>
      </c>
      <c r="S9" s="29" t="str">
        <f ca="1">IF(B9="","",IF($B$4="R&amp;T Level 5 - Clinical Lecturers (Vet School)",$C9-SUMIF(Points_Lookup!$M:$M,$B9,Points_Lookup!$O:$O),IF($B$4="R&amp;T Level 6 - Clinical Associate Professors and Clinical Readers (Vet School)",$C9-SUMIF(Points_Lookup!$T:$T,$B9,Points_Lookup!$V:$V),"")))</f>
        <v/>
      </c>
      <c r="T9" s="28" t="str">
        <f ca="1">IF(B9="","",IF($B$4="R&amp;T Level 5 - Clinical Lecturers (Vet School)",SUMIF(Points_Lookup!$M:$M,$B9,Points_Lookup!$Q:$Q),IF($B$4="R&amp;T Level 6 - Clinical Associate Professors and Clinical Readers (Vet School)",SUMIF(Points_Lookup!$T:$T,$B9,Points_Lookup!$X:$X),"")))</f>
        <v/>
      </c>
      <c r="U9" s="29" t="str">
        <f t="shared" ref="U9:U40" ca="1" si="0">IF(B9="","",IF($B$4="R&amp;T Level 5 - Clinical Lecturers (Vet School)",ROUND(C9*T9,0),IF($B$4="R&amp;T Level 6 - Clinical Associate Professors and Clinical Readers (Vet School)",ROUND(C9*T9,0),"")))</f>
        <v/>
      </c>
      <c r="W9" s="26"/>
      <c r="Z9" s="26">
        <v>1</v>
      </c>
      <c r="AN9" s="5"/>
    </row>
    <row r="10" spans="2:54" ht="18.75" customHeight="1" x14ac:dyDescent="0.25">
      <c r="B10" s="4">
        <f ca="1">IFERROR(INDEX(Points_Lookup!$A:$A,MATCH($Z10,Points_Lookup!$AE:$AE,0)),"")</f>
        <v>4</v>
      </c>
      <c r="C10" s="25">
        <f ca="1">IF(B10="","",IF($B$4="Apprenticeship",SUMIF(Points_Lookup!$AA:$AA,B10,Points_Lookup!$AC:$AC),IF(AND(OR($B$4="New Consultant Contract"),$B10&lt;&gt;""),INDEX(Points_Lookup!$K:$K,MATCH($B10,Points_Lookup!$J:$J,0)),IF(AND(OR($B$4="Clinical Lecturer / Medical Research Fellow",$B$4="Clinical Consultant - Old Contract (GP)"),$B10&lt;&gt;""),INDEX(Points_Lookup!$H:$H,MATCH($B10,Points_Lookup!$G:$G,0)),IF(AND(OR($B$4="APM Level 7",$B$4="R&amp;T Level 7",$B$4="APM Level 8"),B10&lt;&gt;""),INDEX(Points_Lookup!$E:$E,MATCH($Z10,Points_Lookup!$AE:$AE,0)),IF($B$4="R&amp;T Level 5 - Clinical Lecturers (Vet School)",SUMIF(Points_Lookup!$M:$M,$B10,Points_Lookup!$P:$P),IF($B$4="R&amp;T Level 6 - Clinical Associate Professors and Clinical Readers (Vet School)",SUMIF(Points_Lookup!$T:$T,$B10,Points_Lookup!$W:$W),IFERROR(INDEX(Points_Lookup!$B:$B,MATCH($Z10,Points_Lookup!$AE:$AE,0)),""))))))))</f>
        <v>15670</v>
      </c>
      <c r="D10" s="36"/>
      <c r="E10" s="25" t="str">
        <f ca="1">IF($B10="","",IF(AND($B$4="Salary Points 3 to 57",B10&lt;Thresholds_Rates!$C$16),"-",IF(SUMIF(Grades!$A:$A,$B$4,Grades!$BO:$BO)=0,"-",IF(AND($B$4="Salary Points 3 to 57",B10&gt;=Thresholds_Rates!$C$16),$C10*Thresholds_Rates!$F$15,IF(AND(OR($B$4="New Consultant Contract"),$B10&lt;&gt;""),$C10*Thresholds_Rates!$F$15,IF(AND(OR($B$4="Clinical Lecturer / Medical Research Fellow",$B$4="Clinical Consultant - Old Contract (GP)"),$B10&lt;&gt;""),$C10*Thresholds_Rates!$F$15,IF(OR($B$4="APM Level 7",$B$4="R&amp;T Level 7"),$C10*Thresholds_Rates!$F$15,IF(SUMIF(Grades!$A:$A,$B$4,Grades!$BO:$BO)=1,$C10*Thresholds_Rates!$F$15,""))))))))</f>
        <v>-</v>
      </c>
      <c r="F10" s="25" t="str">
        <f ca="1">IF(B10="","",IF($B$4="Salary Points 3 to 57","-",IF(SUMIF(Grades!$A:$A,$B$4,Grades!$BP:$BP)=0,"-",IF(AND(OR($B$4="New Consultant Contract"),$B10&lt;&gt;""),$C10*Thresholds_Rates!$F$16,IF(AND(OR($B$4="Clinical Lecturer / Medical Research Fellow",$B$4="Clinical Consultant - Old Contract (GP)"),$B10&lt;&gt;""),$C10*Thresholds_Rates!$F$16,IF(AND(OR($B$4="APM Level 7",$B$4="R&amp;T Level 7"),E10&lt;&gt;""),$C10*Thresholds_Rates!$F$16,IF(SUMIF(Grades!$A:$A,$B$4,Grades!$BP:$BP)=1,$C10*Thresholds_Rates!$F$16,"")))))))</f>
        <v>-</v>
      </c>
      <c r="G10" s="25">
        <f ca="1">IF($B$4="Apprenticeship","-",IF(B10="","",IF(SUMIF(Grades!$A:$A,$B$4,Grades!$BQ:$BQ)=0,"-",IF(AND($B$4="Salary Points 3 to 57",B10&gt;Thresholds_Rates!$C$17),"-",IF(AND($B$4="Salary Points 3 to 57",B10&lt;=Thresholds_Rates!$C$17),$C10*Thresholds_Rates!$F$17,IF(AND(OR($B$4="New Consultant Contract"),$B10&lt;&gt;""),$C10*Thresholds_Rates!$F$17,IF(AND(OR($B$4="Clinical Lecturer / Medical Research Fellow",$B$4="Clinical Consultant - Old Contract (GP)"),$B10&lt;&gt;""),$C10*Thresholds_Rates!$F$17,IF(AND(OR($B$4="APM Level 7",$B$4="R&amp;T Level 7"),F10&lt;&gt;""),$C10*Thresholds_Rates!$F$17,IF(SUMIF(Grades!$A:$A,$B$4,Grades!$BQ:$BQ)=1,$C10*Thresholds_Rates!$F$17,"")))))))))</f>
        <v>6111.3</v>
      </c>
      <c r="H10" s="25">
        <f ca="1">IF($B10="","",ROUND(($C10-(Thresholds_Rates!$C$5*12))*Thresholds_Rates!$C$10,0))</f>
        <v>1036</v>
      </c>
      <c r="I10" s="25">
        <f ca="1">IF(B10="","",(C10*Thresholds_Rates!$C$12))</f>
        <v>78.350000000000009</v>
      </c>
      <c r="J10" s="25">
        <f ca="1">IF(B10="","",IF(AND($B$4="Salary Points 3 to 57",B10&gt;Thresholds_Rates!$C$17),"-",IF(SUMIF(Grades!$A:$A,$B$4,Grades!$BR:$BR)=0,"-",IF(AND($B$4="Salary Points 3 to 57",B10&lt;=Thresholds_Rates!$C$17),$C10*Thresholds_Rates!$F$18,IF(AND(OR($B$4="New Consultant Contract"),$B10&lt;&gt;""),$C10*Thresholds_Rates!$F$18,IF(AND(OR($B$4="Clinical Lecturer / Medical Research Fellow",$B$4="Clinical Consultant - Old Contract (GP)"),$B10&lt;&gt;""),$C10*Thresholds_Rates!$F$18,IF(AND(OR($B$4="APM Level 7",$B$4="R&amp;T Level 7"),H10&lt;&gt;""),$C10*Thresholds_Rates!$F$18,IF(SUMIF(Grades!$A:$A,$B$4,Grades!$BQ:$BQ)=1,$C10*Thresholds_Rates!$F$18,""))))))))</f>
        <v>1567</v>
      </c>
      <c r="K10" s="4"/>
      <c r="L10" s="25" t="str">
        <f t="shared" ref="L10:L73" ca="1" si="1">IF(B10="","",IF(E10="-","-",$C10+$H10+E10+I10))</f>
        <v>-</v>
      </c>
      <c r="M10" s="25" t="str">
        <f t="shared" ref="M10:M73" ca="1" si="2">IF(B10="","",IF(F10="-","-",$C10+$H10+F10+I10))</f>
        <v>-</v>
      </c>
      <c r="N10" s="25">
        <f t="shared" ref="N10:N73" ca="1" si="3">IF(B10="","",IF(G10="-","-",$C10+$H10+G10+I10))</f>
        <v>22895.649999999998</v>
      </c>
      <c r="O10" s="25">
        <f t="shared" ref="O10:O73" ca="1" si="4">IF(B10="","",IF(J10="-","-",$C10+$H10+J10+I10))</f>
        <v>18351.349999999999</v>
      </c>
      <c r="P10" s="25">
        <f t="shared" ref="P10:P73" ca="1" si="5">IF(B10="","",C10+H10+I10)</f>
        <v>16784.349999999999</v>
      </c>
      <c r="Q10" s="4"/>
      <c r="R10" s="28" t="str">
        <f ca="1">IF(B10="","",IF($B$4="R&amp;T Level 5 - Clinical Lecturers (Vet School)",SUMIF(Points_Lookup!$M:$M,$B10,Points_Lookup!$N:$N),IF($B$4="R&amp;T Level 6 - Clinical Associate Professors and Clinical Readers (Vet School)",SUMIF(Points_Lookup!$T:$T,$B10,Points_Lookup!$U:$U),"")))</f>
        <v/>
      </c>
      <c r="S10" s="29" t="str">
        <f ca="1">IF(B10="","",IF($B$4="R&amp;T Level 5 - Clinical Lecturers (Vet School)",$C10-SUMIF(Points_Lookup!$M:$M,$B10,Points_Lookup!$O:$O),IF($B$4="R&amp;T Level 6 - Clinical Associate Professors and Clinical Readers (Vet School)",$C10-SUMIF(Points_Lookup!$T:$T,$B10,Points_Lookup!$V:$V),"")))</f>
        <v/>
      </c>
      <c r="T10" s="28" t="str">
        <f ca="1">IF(B10="","",IF($B$4="R&amp;T Level 5 - Clinical Lecturers (Vet School)",SUMIF(Points_Lookup!$M:$M,$B10,Points_Lookup!$Q:$Q),IF($B$4="R&amp;T Level 6 - Clinical Associate Professors and Clinical Readers (Vet School)",SUMIF(Points_Lookup!$T:$T,$B10,Points_Lookup!$X:$X),"")))</f>
        <v/>
      </c>
      <c r="U10" s="29" t="str">
        <f t="shared" ca="1" si="0"/>
        <v/>
      </c>
      <c r="W10" s="26"/>
      <c r="Z10" s="26">
        <v>2</v>
      </c>
    </row>
    <row r="11" spans="2:54" x14ac:dyDescent="0.25">
      <c r="B11" s="4">
        <f ca="1">IFERROR(INDEX(Points_Lookup!$A:$A,MATCH($Z11,Points_Lookup!$AE:$AE,0)),"")</f>
        <v>5</v>
      </c>
      <c r="C11" s="25">
        <f ca="1">IF(B11="","",IF($B$4="Apprenticeship",SUMIF(Points_Lookup!$AA:$AA,B11,Points_Lookup!$AC:$AC),IF(AND(OR($B$4="New Consultant Contract"),$B11&lt;&gt;""),INDEX(Points_Lookup!$K:$K,MATCH($B11,Points_Lookup!$J:$J,0)),IF(AND(OR($B$4="Clinical Lecturer / Medical Research Fellow",$B$4="Clinical Consultant - Old Contract (GP)"),$B11&lt;&gt;""),INDEX(Points_Lookup!$H:$H,MATCH($B11,Points_Lookup!$G:$G,0)),IF(AND(OR($B$4="APM Level 7",$B$4="R&amp;T Level 7",$B$4="APM Level 8"),B11&lt;&gt;""),INDEX(Points_Lookup!$E:$E,MATCH($Z11,Points_Lookup!$AE:$AE,0)),IF($B$4="R&amp;T Level 5 - Clinical Lecturers (Vet School)",SUMIF(Points_Lookup!$M:$M,$B11,Points_Lookup!$P:$P),IF($B$4="R&amp;T Level 6 - Clinical Associate Professors and Clinical Readers (Vet School)",SUMIF(Points_Lookup!$T:$T,$B11,Points_Lookup!$W:$W),IFERROR(INDEX(Points_Lookup!$B:$B,MATCH($Z11,Points_Lookup!$AE:$AE,0)),""))))))))</f>
        <v>15976</v>
      </c>
      <c r="D11" s="36"/>
      <c r="E11" s="25" t="str">
        <f ca="1">IF($B11="","",IF(AND($B$4="Salary Points 3 to 57",B11&lt;Thresholds_Rates!$C$16),"-",IF(SUMIF(Grades!$A:$A,$B$4,Grades!$BO:$BO)=0,"-",IF(AND($B$4="Salary Points 3 to 57",B11&gt;=Thresholds_Rates!$C$16),$C11*Thresholds_Rates!$F$15,IF(AND(OR($B$4="New Consultant Contract"),$B11&lt;&gt;""),$C11*Thresholds_Rates!$F$15,IF(AND(OR($B$4="Clinical Lecturer / Medical Research Fellow",$B$4="Clinical Consultant - Old Contract (GP)"),$B11&lt;&gt;""),$C11*Thresholds_Rates!$F$15,IF(OR($B$4="APM Level 7",$B$4="R&amp;T Level 7"),$C11*Thresholds_Rates!$F$15,IF(SUMIF(Grades!$A:$A,$B$4,Grades!$BO:$BO)=1,$C11*Thresholds_Rates!$F$15,""))))))))</f>
        <v>-</v>
      </c>
      <c r="F11" s="25" t="str">
        <f ca="1">IF(B11="","",IF($B$4="Salary Points 3 to 57","-",IF(SUMIF(Grades!$A:$A,$B$4,Grades!$BP:$BP)=0,"-",IF(AND(OR($B$4="New Consultant Contract"),$B11&lt;&gt;""),$C11*Thresholds_Rates!$F$16,IF(AND(OR($B$4="Clinical Lecturer / Medical Research Fellow",$B$4="Clinical Consultant - Old Contract (GP)"),$B11&lt;&gt;""),$C11*Thresholds_Rates!$F$16,IF(AND(OR($B$4="APM Level 7",$B$4="R&amp;T Level 7"),E11&lt;&gt;""),$C11*Thresholds_Rates!$F$16,IF(SUMIF(Grades!$A:$A,$B$4,Grades!$BP:$BP)=1,$C11*Thresholds_Rates!$F$16,"")))))))</f>
        <v>-</v>
      </c>
      <c r="G11" s="25">
        <f ca="1">IF($B$4="Apprenticeship","-",IF(B11="","",IF(SUMIF(Grades!$A:$A,$B$4,Grades!$BQ:$BQ)=0,"-",IF(AND($B$4="Salary Points 3 to 57",B11&gt;Thresholds_Rates!$C$17),"-",IF(AND($B$4="Salary Points 3 to 57",B11&lt;=Thresholds_Rates!$C$17),$C11*Thresholds_Rates!$F$17,IF(AND(OR($B$4="New Consultant Contract"),$B11&lt;&gt;""),$C11*Thresholds_Rates!$F$17,IF(AND(OR($B$4="Clinical Lecturer / Medical Research Fellow",$B$4="Clinical Consultant - Old Contract (GP)"),$B11&lt;&gt;""),$C11*Thresholds_Rates!$F$17,IF(AND(OR($B$4="APM Level 7",$B$4="R&amp;T Level 7"),F11&lt;&gt;""),$C11*Thresholds_Rates!$F$17,IF(SUMIF(Grades!$A:$A,$B$4,Grades!$BQ:$BQ)=1,$C11*Thresholds_Rates!$F$17,"")))))))))</f>
        <v>6230.64</v>
      </c>
      <c r="H11" s="25">
        <f ca="1">IF($B11="","",ROUND(($C11-(Thresholds_Rates!$C$5*12))*Thresholds_Rates!$C$10,0))</f>
        <v>1079</v>
      </c>
      <c r="I11" s="25">
        <f ca="1">IF(B11="","",(C11*Thresholds_Rates!$C$12))</f>
        <v>79.88</v>
      </c>
      <c r="J11" s="25">
        <f ca="1">IF(B11="","",IF(AND($B$4="Salary Points 3 to 57",B11&gt;Thresholds_Rates!$C$17),"-",IF(SUMIF(Grades!$A:$A,$B$4,Grades!$BR:$BR)=0,"-",IF(AND($B$4="Salary Points 3 to 57",B11&lt;=Thresholds_Rates!$C$17),$C11*Thresholds_Rates!$F$18,IF(AND(OR($B$4="New Consultant Contract"),$B11&lt;&gt;""),$C11*Thresholds_Rates!$F$18,IF(AND(OR($B$4="Clinical Lecturer / Medical Research Fellow",$B$4="Clinical Consultant - Old Contract (GP)"),$B11&lt;&gt;""),$C11*Thresholds_Rates!$F$18,IF(AND(OR($B$4="APM Level 7",$B$4="R&amp;T Level 7"),H11&lt;&gt;""),$C11*Thresholds_Rates!$F$18,IF(SUMIF(Grades!$A:$A,$B$4,Grades!$BQ:$BQ)=1,$C11*Thresholds_Rates!$F$18,""))))))))</f>
        <v>1597.6000000000001</v>
      </c>
      <c r="K11" s="4"/>
      <c r="L11" s="25" t="str">
        <f t="shared" ca="1" si="1"/>
        <v>-</v>
      </c>
      <c r="M11" s="25" t="str">
        <f t="shared" ca="1" si="2"/>
        <v>-</v>
      </c>
      <c r="N11" s="25">
        <f t="shared" ca="1" si="3"/>
        <v>23365.52</v>
      </c>
      <c r="O11" s="25">
        <f t="shared" ca="1" si="4"/>
        <v>18732.48</v>
      </c>
      <c r="P11" s="25">
        <f t="shared" ca="1" si="5"/>
        <v>17134.88</v>
      </c>
      <c r="R11" s="28" t="str">
        <f ca="1">IF(B11="","",IF($B$4="R&amp;T Level 5 - Clinical Lecturers (Vet School)",SUMIF(Points_Lookup!$M:$M,$B11,Points_Lookup!$N:$N),IF($B$4="R&amp;T Level 6 - Clinical Associate Professors and Clinical Readers (Vet School)",SUMIF(Points_Lookup!$T:$T,$B11,Points_Lookup!$U:$U),"")))</f>
        <v/>
      </c>
      <c r="S11" s="29" t="str">
        <f ca="1">IF(B11="","",IF($B$4="R&amp;T Level 5 - Clinical Lecturers (Vet School)",$C11-SUMIF(Points_Lookup!$M:$M,$B11,Points_Lookup!$O:$O),IF($B$4="R&amp;T Level 6 - Clinical Associate Professors and Clinical Readers (Vet School)",$C11-SUMIF(Points_Lookup!$T:$T,$B11,Points_Lookup!$V:$V),"")))</f>
        <v/>
      </c>
      <c r="T11" s="28" t="str">
        <f ca="1">IF(B11="","",IF($B$4="R&amp;T Level 5 - Clinical Lecturers (Vet School)",SUMIF(Points_Lookup!$M:$M,$B11,Points_Lookup!$Q:$Q),IF($B$4="R&amp;T Level 6 - Clinical Associate Professors and Clinical Readers (Vet School)",SUMIF(Points_Lookup!$T:$T,$B11,Points_Lookup!$X:$X),"")))</f>
        <v/>
      </c>
      <c r="U11" s="29" t="str">
        <f t="shared" ca="1" si="0"/>
        <v/>
      </c>
      <c r="W11" s="26"/>
      <c r="Z11" s="26">
        <v>3</v>
      </c>
    </row>
    <row r="12" spans="2:54" x14ac:dyDescent="0.25">
      <c r="B12" s="4">
        <f ca="1">IFERROR(INDEX(Points_Lookup!$A:$A,MATCH($Z12,Points_Lookup!$AE:$AE,0)),"")</f>
        <v>6</v>
      </c>
      <c r="C12" s="25">
        <f ca="1">IF(B12="","",IF($B$4="Apprenticeship",SUMIF(Points_Lookup!$AA:$AA,B12,Points_Lookup!$AC:$AC),IF(AND(OR($B$4="New Consultant Contract"),$B12&lt;&gt;""),INDEX(Points_Lookup!$K:$K,MATCH($B12,Points_Lookup!$J:$J,0)),IF(AND(OR($B$4="Clinical Lecturer / Medical Research Fellow",$B$4="Clinical Consultant - Old Contract (GP)"),$B12&lt;&gt;""),INDEX(Points_Lookup!$H:$H,MATCH($B12,Points_Lookup!$G:$G,0)),IF(AND(OR($B$4="APM Level 7",$B$4="R&amp;T Level 7",$B$4="APM Level 8"),B12&lt;&gt;""),INDEX(Points_Lookup!$E:$E,MATCH($Z12,Points_Lookup!$AE:$AE,0)),IF($B$4="R&amp;T Level 5 - Clinical Lecturers (Vet School)",SUMIF(Points_Lookup!$M:$M,$B12,Points_Lookup!$P:$P),IF($B$4="R&amp;T Level 6 - Clinical Associate Professors and Clinical Readers (Vet School)",SUMIF(Points_Lookup!$T:$T,$B12,Points_Lookup!$W:$W),IFERROR(INDEX(Points_Lookup!$B:$B,MATCH($Z12,Points_Lookup!$AE:$AE,0)),""))))))))</f>
        <v>16289</v>
      </c>
      <c r="D12" s="36"/>
      <c r="E12" s="25" t="str">
        <f ca="1">IF($B12="","",IF(AND($B$4="Salary Points 3 to 57",B12&lt;Thresholds_Rates!$C$16),"-",IF(SUMIF(Grades!$A:$A,$B$4,Grades!$BO:$BO)=0,"-",IF(AND($B$4="Salary Points 3 to 57",B12&gt;=Thresholds_Rates!$C$16),$C12*Thresholds_Rates!$F$15,IF(AND(OR($B$4="New Consultant Contract"),$B12&lt;&gt;""),$C12*Thresholds_Rates!$F$15,IF(AND(OR($B$4="Clinical Lecturer / Medical Research Fellow",$B$4="Clinical Consultant - Old Contract (GP)"),$B12&lt;&gt;""),$C12*Thresholds_Rates!$F$15,IF(OR($B$4="APM Level 7",$B$4="R&amp;T Level 7"),$C12*Thresholds_Rates!$F$15,IF(SUMIF(Grades!$A:$A,$B$4,Grades!$BO:$BO)=1,$C12*Thresholds_Rates!$F$15,""))))))))</f>
        <v>-</v>
      </c>
      <c r="F12" s="25" t="str">
        <f ca="1">IF(B12="","",IF($B$4="Salary Points 3 to 57","-",IF(SUMIF(Grades!$A:$A,$B$4,Grades!$BP:$BP)=0,"-",IF(AND(OR($B$4="New Consultant Contract"),$B12&lt;&gt;""),$C12*Thresholds_Rates!$F$16,IF(AND(OR($B$4="Clinical Lecturer / Medical Research Fellow",$B$4="Clinical Consultant - Old Contract (GP)"),$B12&lt;&gt;""),$C12*Thresholds_Rates!$F$16,IF(AND(OR($B$4="APM Level 7",$B$4="R&amp;T Level 7"),E12&lt;&gt;""),$C12*Thresholds_Rates!$F$16,IF(SUMIF(Grades!$A:$A,$B$4,Grades!$BP:$BP)=1,$C12*Thresholds_Rates!$F$16,"")))))))</f>
        <v>-</v>
      </c>
      <c r="G12" s="25">
        <f ca="1">IF($B$4="Apprenticeship","-",IF(B12="","",IF(SUMIF(Grades!$A:$A,$B$4,Grades!$BQ:$BQ)=0,"-",IF(AND($B$4="Salary Points 3 to 57",B12&gt;Thresholds_Rates!$C$17),"-",IF(AND($B$4="Salary Points 3 to 57",B12&lt;=Thresholds_Rates!$C$17),$C12*Thresholds_Rates!$F$17,IF(AND(OR($B$4="New Consultant Contract"),$B12&lt;&gt;""),$C12*Thresholds_Rates!$F$17,IF(AND(OR($B$4="Clinical Lecturer / Medical Research Fellow",$B$4="Clinical Consultant - Old Contract (GP)"),$B12&lt;&gt;""),$C12*Thresholds_Rates!$F$17,IF(AND(OR($B$4="APM Level 7",$B$4="R&amp;T Level 7"),F12&lt;&gt;""),$C12*Thresholds_Rates!$F$17,IF(SUMIF(Grades!$A:$A,$B$4,Grades!$BQ:$BQ)=1,$C12*Thresholds_Rates!$F$17,"")))))))))</f>
        <v>6352.71</v>
      </c>
      <c r="H12" s="25">
        <f ca="1">IF($B12="","",ROUND(($C12-(Thresholds_Rates!$C$5*12))*Thresholds_Rates!$C$10,0))</f>
        <v>1122</v>
      </c>
      <c r="I12" s="25">
        <f ca="1">IF(B12="","",(C12*Thresholds_Rates!$C$12))</f>
        <v>81.445000000000007</v>
      </c>
      <c r="J12" s="25">
        <f ca="1">IF(B12="","",IF(AND($B$4="Salary Points 3 to 57",B12&gt;Thresholds_Rates!$C$17),"-",IF(SUMIF(Grades!$A:$A,$B$4,Grades!$BR:$BR)=0,"-",IF(AND($B$4="Salary Points 3 to 57",B12&lt;=Thresholds_Rates!$C$17),$C12*Thresholds_Rates!$F$18,IF(AND(OR($B$4="New Consultant Contract"),$B12&lt;&gt;""),$C12*Thresholds_Rates!$F$18,IF(AND(OR($B$4="Clinical Lecturer / Medical Research Fellow",$B$4="Clinical Consultant - Old Contract (GP)"),$B12&lt;&gt;""),$C12*Thresholds_Rates!$F$18,IF(AND(OR($B$4="APM Level 7",$B$4="R&amp;T Level 7"),H12&lt;&gt;""),$C12*Thresholds_Rates!$F$18,IF(SUMIF(Grades!$A:$A,$B$4,Grades!$BQ:$BQ)=1,$C12*Thresholds_Rates!$F$18,""))))))))</f>
        <v>1628.9</v>
      </c>
      <c r="K12" s="4"/>
      <c r="L12" s="25" t="str">
        <f t="shared" ca="1" si="1"/>
        <v>-</v>
      </c>
      <c r="M12" s="25" t="str">
        <f t="shared" ca="1" si="2"/>
        <v>-</v>
      </c>
      <c r="N12" s="25">
        <f t="shared" ca="1" si="3"/>
        <v>23845.154999999999</v>
      </c>
      <c r="O12" s="25">
        <f t="shared" ca="1" si="4"/>
        <v>19121.345000000001</v>
      </c>
      <c r="P12" s="25">
        <f t="shared" ca="1" si="5"/>
        <v>17492.445</v>
      </c>
      <c r="R12" s="28" t="str">
        <f ca="1">IF(B12="","",IF($B$4="R&amp;T Level 5 - Clinical Lecturers (Vet School)",SUMIF(Points_Lookup!$M:$M,$B12,Points_Lookup!$N:$N),IF($B$4="R&amp;T Level 6 - Clinical Associate Professors and Clinical Readers (Vet School)",SUMIF(Points_Lookup!$T:$T,$B12,Points_Lookup!$U:$U),"")))</f>
        <v/>
      </c>
      <c r="S12" s="29" t="str">
        <f ca="1">IF(B12="","",IF($B$4="R&amp;T Level 5 - Clinical Lecturers (Vet School)",$C12-SUMIF(Points_Lookup!$M:$M,$B12,Points_Lookup!$O:$O),IF($B$4="R&amp;T Level 6 - Clinical Associate Professors and Clinical Readers (Vet School)",$C12-SUMIF(Points_Lookup!$T:$T,$B12,Points_Lookup!$V:$V),"")))</f>
        <v/>
      </c>
      <c r="T12" s="28" t="str">
        <f ca="1">IF(B12="","",IF($B$4="R&amp;T Level 5 - Clinical Lecturers (Vet School)",SUMIF(Points_Lookup!$M:$M,$B12,Points_Lookup!$Q:$Q),IF($B$4="R&amp;T Level 6 - Clinical Associate Professors and Clinical Readers (Vet School)",SUMIF(Points_Lookup!$T:$T,$B12,Points_Lookup!$X:$X),"")))</f>
        <v/>
      </c>
      <c r="U12" s="29" t="str">
        <f t="shared" ca="1" si="0"/>
        <v/>
      </c>
      <c r="W12" s="26"/>
      <c r="Z12" s="26">
        <v>4</v>
      </c>
    </row>
    <row r="13" spans="2:54" x14ac:dyDescent="0.25">
      <c r="B13" s="4">
        <f ca="1">IFERROR(INDEX(Points_Lookup!$A:$A,MATCH($Z13,Points_Lookup!$AE:$AE,0)),"")</f>
        <v>7</v>
      </c>
      <c r="C13" s="25">
        <f ca="1">IF(B13="","",IF($B$4="Apprenticeship",SUMIF(Points_Lookup!$AA:$AA,B13,Points_Lookup!$AC:$AC),IF(AND(OR($B$4="New Consultant Contract"),$B13&lt;&gt;""),INDEX(Points_Lookup!$K:$K,MATCH($B13,Points_Lookup!$J:$J,0)),IF(AND(OR($B$4="Clinical Lecturer / Medical Research Fellow",$B$4="Clinical Consultant - Old Contract (GP)"),$B13&lt;&gt;""),INDEX(Points_Lookup!$H:$H,MATCH($B13,Points_Lookup!$G:$G,0)),IF(AND(OR($B$4="APM Level 7",$B$4="R&amp;T Level 7",$B$4="APM Level 8"),B13&lt;&gt;""),INDEX(Points_Lookup!$E:$E,MATCH($Z13,Points_Lookup!$AE:$AE,0)),IF($B$4="R&amp;T Level 5 - Clinical Lecturers (Vet School)",SUMIF(Points_Lookup!$M:$M,$B13,Points_Lookup!$P:$P),IF($B$4="R&amp;T Level 6 - Clinical Associate Professors and Clinical Readers (Vet School)",SUMIF(Points_Lookup!$T:$T,$B13,Points_Lookup!$W:$W),IFERROR(INDEX(Points_Lookup!$B:$B,MATCH($Z13,Points_Lookup!$AE:$AE,0)),""))))))))</f>
        <v>16618</v>
      </c>
      <c r="D13" s="36"/>
      <c r="E13" s="25" t="str">
        <f ca="1">IF($B13="","",IF(AND($B$4="Salary Points 3 to 57",B13&lt;Thresholds_Rates!$C$16),"-",IF(SUMIF(Grades!$A:$A,$B$4,Grades!$BO:$BO)=0,"-",IF(AND($B$4="Salary Points 3 to 57",B13&gt;=Thresholds_Rates!$C$16),$C13*Thresholds_Rates!$F$15,IF(AND(OR($B$4="New Consultant Contract"),$B13&lt;&gt;""),$C13*Thresholds_Rates!$F$15,IF(AND(OR($B$4="Clinical Lecturer / Medical Research Fellow",$B$4="Clinical Consultant - Old Contract (GP)"),$B13&lt;&gt;""),$C13*Thresholds_Rates!$F$15,IF(OR($B$4="APM Level 7",$B$4="R&amp;T Level 7"),$C13*Thresholds_Rates!$F$15,IF(SUMIF(Grades!$A:$A,$B$4,Grades!$BO:$BO)=1,$C13*Thresholds_Rates!$F$15,""))))))))</f>
        <v>-</v>
      </c>
      <c r="F13" s="25" t="str">
        <f ca="1">IF(B13="","",IF($B$4="Salary Points 3 to 57","-",IF(SUMIF(Grades!$A:$A,$B$4,Grades!$BP:$BP)=0,"-",IF(AND(OR($B$4="New Consultant Contract"),$B13&lt;&gt;""),$C13*Thresholds_Rates!$F$16,IF(AND(OR($B$4="Clinical Lecturer / Medical Research Fellow",$B$4="Clinical Consultant - Old Contract (GP)"),$B13&lt;&gt;""),$C13*Thresholds_Rates!$F$16,IF(AND(OR($B$4="APM Level 7",$B$4="R&amp;T Level 7"),E13&lt;&gt;""),$C13*Thresholds_Rates!$F$16,IF(SUMIF(Grades!$A:$A,$B$4,Grades!$BP:$BP)=1,$C13*Thresholds_Rates!$F$16,"")))))))</f>
        <v>-</v>
      </c>
      <c r="G13" s="25">
        <f ca="1">IF($B$4="Apprenticeship","-",IF(B13="","",IF(SUMIF(Grades!$A:$A,$B$4,Grades!$BQ:$BQ)=0,"-",IF(AND($B$4="Salary Points 3 to 57",B13&gt;Thresholds_Rates!$C$17),"-",IF(AND($B$4="Salary Points 3 to 57",B13&lt;=Thresholds_Rates!$C$17),$C13*Thresholds_Rates!$F$17,IF(AND(OR($B$4="New Consultant Contract"),$B13&lt;&gt;""),$C13*Thresholds_Rates!$F$17,IF(AND(OR($B$4="Clinical Lecturer / Medical Research Fellow",$B$4="Clinical Consultant - Old Contract (GP)"),$B13&lt;&gt;""),$C13*Thresholds_Rates!$F$17,IF(AND(OR($B$4="APM Level 7",$B$4="R&amp;T Level 7"),F13&lt;&gt;""),$C13*Thresholds_Rates!$F$17,IF(SUMIF(Grades!$A:$A,$B$4,Grades!$BQ:$BQ)=1,$C13*Thresholds_Rates!$F$17,"")))))))))</f>
        <v>6481.02</v>
      </c>
      <c r="H13" s="25">
        <f ca="1">IF($B13="","",ROUND(($C13-(Thresholds_Rates!$C$5*12))*Thresholds_Rates!$C$10,0))</f>
        <v>1167</v>
      </c>
      <c r="I13" s="25">
        <f ca="1">IF(B13="","",(C13*Thresholds_Rates!$C$12))</f>
        <v>83.09</v>
      </c>
      <c r="J13" s="25">
        <f ca="1">IF(B13="","",IF(AND($B$4="Salary Points 3 to 57",B13&gt;Thresholds_Rates!$C$17),"-",IF(SUMIF(Grades!$A:$A,$B$4,Grades!$BR:$BR)=0,"-",IF(AND($B$4="Salary Points 3 to 57",B13&lt;=Thresholds_Rates!$C$17),$C13*Thresholds_Rates!$F$18,IF(AND(OR($B$4="New Consultant Contract"),$B13&lt;&gt;""),$C13*Thresholds_Rates!$F$18,IF(AND(OR($B$4="Clinical Lecturer / Medical Research Fellow",$B$4="Clinical Consultant - Old Contract (GP)"),$B13&lt;&gt;""),$C13*Thresholds_Rates!$F$18,IF(AND(OR($B$4="APM Level 7",$B$4="R&amp;T Level 7"),H13&lt;&gt;""),$C13*Thresholds_Rates!$F$18,IF(SUMIF(Grades!$A:$A,$B$4,Grades!$BQ:$BQ)=1,$C13*Thresholds_Rates!$F$18,""))))))))</f>
        <v>1661.8000000000002</v>
      </c>
      <c r="K13" s="4"/>
      <c r="L13" s="25" t="str">
        <f t="shared" ca="1" si="1"/>
        <v>-</v>
      </c>
      <c r="M13" s="25" t="str">
        <f t="shared" ca="1" si="2"/>
        <v>-</v>
      </c>
      <c r="N13" s="25">
        <f t="shared" ca="1" si="3"/>
        <v>24349.11</v>
      </c>
      <c r="O13" s="25">
        <f t="shared" ca="1" si="4"/>
        <v>19529.89</v>
      </c>
      <c r="P13" s="25">
        <f t="shared" ca="1" si="5"/>
        <v>17868.09</v>
      </c>
      <c r="R13" s="28" t="str">
        <f ca="1">IF(B13="","",IF($B$4="R&amp;T Level 5 - Clinical Lecturers (Vet School)",SUMIF(Points_Lookup!$M:$M,$B13,Points_Lookup!$N:$N),IF($B$4="R&amp;T Level 6 - Clinical Associate Professors and Clinical Readers (Vet School)",SUMIF(Points_Lookup!$T:$T,$B13,Points_Lookup!$U:$U),"")))</f>
        <v/>
      </c>
      <c r="S13" s="29" t="str">
        <f ca="1">IF(B13="","",IF($B$4="R&amp;T Level 5 - Clinical Lecturers (Vet School)",$C13-SUMIF(Points_Lookup!$M:$M,$B13,Points_Lookup!$O:$O),IF($B$4="R&amp;T Level 6 - Clinical Associate Professors and Clinical Readers (Vet School)",$C13-SUMIF(Points_Lookup!$T:$T,$B13,Points_Lookup!$V:$V),"")))</f>
        <v/>
      </c>
      <c r="T13" s="28" t="str">
        <f ca="1">IF(B13="","",IF($B$4="R&amp;T Level 5 - Clinical Lecturers (Vet School)",SUMIF(Points_Lookup!$M:$M,$B13,Points_Lookup!$Q:$Q),IF($B$4="R&amp;T Level 6 - Clinical Associate Professors and Clinical Readers (Vet School)",SUMIF(Points_Lookup!$T:$T,$B13,Points_Lookup!$X:$X),"")))</f>
        <v/>
      </c>
      <c r="U13" s="29" t="str">
        <f t="shared" ca="1" si="0"/>
        <v/>
      </c>
      <c r="W13" s="26"/>
      <c r="Z13" s="26">
        <v>5</v>
      </c>
    </row>
    <row r="14" spans="2:54" x14ac:dyDescent="0.25">
      <c r="B14" s="4">
        <f ca="1">IFERROR(INDEX(Points_Lookup!$A:$A,MATCH($Z14,Points_Lookup!$AE:$AE,0)),"")</f>
        <v>8</v>
      </c>
      <c r="C14" s="25">
        <f ca="1">IF(B14="","",IF($B$4="Apprenticeship",SUMIF(Points_Lookup!$AA:$AA,B14,Points_Lookup!$AC:$AC),IF(AND(OR($B$4="New Consultant Contract"),$B14&lt;&gt;""),INDEX(Points_Lookup!$K:$K,MATCH($B14,Points_Lookup!$J:$J,0)),IF(AND(OR($B$4="Clinical Lecturer / Medical Research Fellow",$B$4="Clinical Consultant - Old Contract (GP)"),$B14&lt;&gt;""),INDEX(Points_Lookup!$H:$H,MATCH($B14,Points_Lookup!$G:$G,0)),IF(AND(OR($B$4="APM Level 7",$B$4="R&amp;T Level 7",$B$4="APM Level 8"),B14&lt;&gt;""),INDEX(Points_Lookup!$E:$E,MATCH($Z14,Points_Lookup!$AE:$AE,0)),IF($B$4="R&amp;T Level 5 - Clinical Lecturers (Vet School)",SUMIF(Points_Lookup!$M:$M,$B14,Points_Lookup!$P:$P),IF($B$4="R&amp;T Level 6 - Clinical Associate Professors and Clinical Readers (Vet School)",SUMIF(Points_Lookup!$T:$T,$B14,Points_Lookup!$W:$W),IFERROR(INDEX(Points_Lookup!$B:$B,MATCH($Z14,Points_Lookup!$AE:$AE,0)),""))))))))</f>
        <v>16961</v>
      </c>
      <c r="D14" s="36"/>
      <c r="E14" s="25" t="str">
        <f ca="1">IF($B14="","",IF(AND($B$4="Salary Points 3 to 57",B14&lt;Thresholds_Rates!$C$16),"-",IF(SUMIF(Grades!$A:$A,$B$4,Grades!$BO:$BO)=0,"-",IF(AND($B$4="Salary Points 3 to 57",B14&gt;=Thresholds_Rates!$C$16),$C14*Thresholds_Rates!$F$15,IF(AND(OR($B$4="New Consultant Contract"),$B14&lt;&gt;""),$C14*Thresholds_Rates!$F$15,IF(AND(OR($B$4="Clinical Lecturer / Medical Research Fellow",$B$4="Clinical Consultant - Old Contract (GP)"),$B14&lt;&gt;""),$C14*Thresholds_Rates!$F$15,IF(OR($B$4="APM Level 7",$B$4="R&amp;T Level 7"),$C14*Thresholds_Rates!$F$15,IF(SUMIF(Grades!$A:$A,$B$4,Grades!$BO:$BO)=1,$C14*Thresholds_Rates!$F$15,""))))))))</f>
        <v>-</v>
      </c>
      <c r="F14" s="25" t="str">
        <f ca="1">IF(B14="","",IF($B$4="Salary Points 3 to 57","-",IF(SUMIF(Grades!$A:$A,$B$4,Grades!$BP:$BP)=0,"-",IF(AND(OR($B$4="New Consultant Contract"),$B14&lt;&gt;""),$C14*Thresholds_Rates!$F$16,IF(AND(OR($B$4="Clinical Lecturer / Medical Research Fellow",$B$4="Clinical Consultant - Old Contract (GP)"),$B14&lt;&gt;""),$C14*Thresholds_Rates!$F$16,IF(AND(OR($B$4="APM Level 7",$B$4="R&amp;T Level 7"),E14&lt;&gt;""),$C14*Thresholds_Rates!$F$16,IF(SUMIF(Grades!$A:$A,$B$4,Grades!$BP:$BP)=1,$C14*Thresholds_Rates!$F$16,"")))))))</f>
        <v>-</v>
      </c>
      <c r="G14" s="25">
        <f ca="1">IF($B$4="Apprenticeship","-",IF(B14="","",IF(SUMIF(Grades!$A:$A,$B$4,Grades!$BQ:$BQ)=0,"-",IF(AND($B$4="Salary Points 3 to 57",B14&gt;Thresholds_Rates!$C$17),"-",IF(AND($B$4="Salary Points 3 to 57",B14&lt;=Thresholds_Rates!$C$17),$C14*Thresholds_Rates!$F$17,IF(AND(OR($B$4="New Consultant Contract"),$B14&lt;&gt;""),$C14*Thresholds_Rates!$F$17,IF(AND(OR($B$4="Clinical Lecturer / Medical Research Fellow",$B$4="Clinical Consultant - Old Contract (GP)"),$B14&lt;&gt;""),$C14*Thresholds_Rates!$F$17,IF(AND(OR($B$4="APM Level 7",$B$4="R&amp;T Level 7"),F14&lt;&gt;""),$C14*Thresholds_Rates!$F$17,IF(SUMIF(Grades!$A:$A,$B$4,Grades!$BQ:$BQ)=1,$C14*Thresholds_Rates!$F$17,"")))))))))</f>
        <v>6614.79</v>
      </c>
      <c r="H14" s="25">
        <f ca="1">IF($B14="","",ROUND(($C14-(Thresholds_Rates!$C$5*12))*Thresholds_Rates!$C$10,0))</f>
        <v>1215</v>
      </c>
      <c r="I14" s="25">
        <f ca="1">IF(B14="","",(C14*Thresholds_Rates!$C$12))</f>
        <v>84.805000000000007</v>
      </c>
      <c r="J14" s="25">
        <f ca="1">IF(B14="","",IF(AND($B$4="Salary Points 3 to 57",B14&gt;Thresholds_Rates!$C$17),"-",IF(SUMIF(Grades!$A:$A,$B$4,Grades!$BR:$BR)=0,"-",IF(AND($B$4="Salary Points 3 to 57",B14&lt;=Thresholds_Rates!$C$17),$C14*Thresholds_Rates!$F$18,IF(AND(OR($B$4="New Consultant Contract"),$B14&lt;&gt;""),$C14*Thresholds_Rates!$F$18,IF(AND(OR($B$4="Clinical Lecturer / Medical Research Fellow",$B$4="Clinical Consultant - Old Contract (GP)"),$B14&lt;&gt;""),$C14*Thresholds_Rates!$F$18,IF(AND(OR($B$4="APM Level 7",$B$4="R&amp;T Level 7"),H14&lt;&gt;""),$C14*Thresholds_Rates!$F$18,IF(SUMIF(Grades!$A:$A,$B$4,Grades!$BQ:$BQ)=1,$C14*Thresholds_Rates!$F$18,""))))))))</f>
        <v>1696.1000000000001</v>
      </c>
      <c r="K14" s="4"/>
      <c r="L14" s="25" t="str">
        <f t="shared" ca="1" si="1"/>
        <v>-</v>
      </c>
      <c r="M14" s="25" t="str">
        <f t="shared" ca="1" si="2"/>
        <v>-</v>
      </c>
      <c r="N14" s="25">
        <f t="shared" ca="1" si="3"/>
        <v>24875.595000000001</v>
      </c>
      <c r="O14" s="25">
        <f t="shared" ca="1" si="4"/>
        <v>19956.904999999999</v>
      </c>
      <c r="P14" s="25">
        <f t="shared" ca="1" si="5"/>
        <v>18260.805</v>
      </c>
      <c r="R14" s="28" t="str">
        <f ca="1">IF(B14="","",IF($B$4="R&amp;T Level 5 - Clinical Lecturers (Vet School)",SUMIF(Points_Lookup!$M:$M,$B14,Points_Lookup!$N:$N),IF($B$4="R&amp;T Level 6 - Clinical Associate Professors and Clinical Readers (Vet School)",SUMIF(Points_Lookup!$T:$T,$B14,Points_Lookup!$U:$U),"")))</f>
        <v/>
      </c>
      <c r="S14" s="29" t="str">
        <f ca="1">IF(B14="","",IF($B$4="R&amp;T Level 5 - Clinical Lecturers (Vet School)",$C14-SUMIF(Points_Lookup!$M:$M,$B14,Points_Lookup!$O:$O),IF($B$4="R&amp;T Level 6 - Clinical Associate Professors and Clinical Readers (Vet School)",$C14-SUMIF(Points_Lookup!$T:$T,$B14,Points_Lookup!$V:$V),"")))</f>
        <v/>
      </c>
      <c r="T14" s="28" t="str">
        <f ca="1">IF(B14="","",IF($B$4="R&amp;T Level 5 - Clinical Lecturers (Vet School)",SUMIF(Points_Lookup!$M:$M,$B14,Points_Lookup!$Q:$Q),IF($B$4="R&amp;T Level 6 - Clinical Associate Professors and Clinical Readers (Vet School)",SUMIF(Points_Lookup!$T:$T,$B14,Points_Lookup!$X:$X),"")))</f>
        <v/>
      </c>
      <c r="U14" s="29" t="str">
        <f t="shared" ca="1" si="0"/>
        <v/>
      </c>
      <c r="W14" s="26"/>
      <c r="Z14" s="26">
        <v>6</v>
      </c>
    </row>
    <row r="15" spans="2:54" x14ac:dyDescent="0.25">
      <c r="B15" s="4">
        <f ca="1">IFERROR(INDEX(Points_Lookup!$A:$A,MATCH($Z15,Points_Lookup!$AE:$AE,0)),"")</f>
        <v>9</v>
      </c>
      <c r="C15" s="25">
        <f ca="1">IF(B15="","",IF($B$4="Apprenticeship",SUMIF(Points_Lookup!$AA:$AA,B15,Points_Lookup!$AC:$AC),IF(AND(OR($B$4="New Consultant Contract"),$B15&lt;&gt;""),INDEX(Points_Lookup!$K:$K,MATCH($B15,Points_Lookup!$J:$J,0)),IF(AND(OR($B$4="Clinical Lecturer / Medical Research Fellow",$B$4="Clinical Consultant - Old Contract (GP)"),$B15&lt;&gt;""),INDEX(Points_Lookup!$H:$H,MATCH($B15,Points_Lookup!$G:$G,0)),IF(AND(OR($B$4="APM Level 7",$B$4="R&amp;T Level 7",$B$4="APM Level 8"),B15&lt;&gt;""),INDEX(Points_Lookup!$E:$E,MATCH($Z15,Points_Lookup!$AE:$AE,0)),IF($B$4="R&amp;T Level 5 - Clinical Lecturers (Vet School)",SUMIF(Points_Lookup!$M:$M,$B15,Points_Lookup!$P:$P),IF($B$4="R&amp;T Level 6 - Clinical Associate Professors and Clinical Readers (Vet School)",SUMIF(Points_Lookup!$T:$T,$B15,Points_Lookup!$W:$W),IFERROR(INDEX(Points_Lookup!$B:$B,MATCH($Z15,Points_Lookup!$AE:$AE,0)),""))))))))</f>
        <v>17399</v>
      </c>
      <c r="D15" s="36"/>
      <c r="E15" s="25" t="str">
        <f ca="1">IF($B15="","",IF(AND($B$4="Salary Points 3 to 57",B15&lt;Thresholds_Rates!$C$16),"-",IF(SUMIF(Grades!$A:$A,$B$4,Grades!$BO:$BO)=0,"-",IF(AND($B$4="Salary Points 3 to 57",B15&gt;=Thresholds_Rates!$C$16),$C15*Thresholds_Rates!$F$15,IF(AND(OR($B$4="New Consultant Contract"),$B15&lt;&gt;""),$C15*Thresholds_Rates!$F$15,IF(AND(OR($B$4="Clinical Lecturer / Medical Research Fellow",$B$4="Clinical Consultant - Old Contract (GP)"),$B15&lt;&gt;""),$C15*Thresholds_Rates!$F$15,IF(OR($B$4="APM Level 7",$B$4="R&amp;T Level 7"),$C15*Thresholds_Rates!$F$15,IF(SUMIF(Grades!$A:$A,$B$4,Grades!$BO:$BO)=1,$C15*Thresholds_Rates!$F$15,""))))))))</f>
        <v>-</v>
      </c>
      <c r="F15" s="25" t="str">
        <f ca="1">IF(B15="","",IF($B$4="Salary Points 3 to 57","-",IF(SUMIF(Grades!$A:$A,$B$4,Grades!$BP:$BP)=0,"-",IF(AND(OR($B$4="New Consultant Contract"),$B15&lt;&gt;""),$C15*Thresholds_Rates!$F$16,IF(AND(OR($B$4="Clinical Lecturer / Medical Research Fellow",$B$4="Clinical Consultant - Old Contract (GP)"),$B15&lt;&gt;""),$C15*Thresholds_Rates!$F$16,IF(AND(OR($B$4="APM Level 7",$B$4="R&amp;T Level 7"),E15&lt;&gt;""),$C15*Thresholds_Rates!$F$16,IF(SUMIF(Grades!$A:$A,$B$4,Grades!$BP:$BP)=1,$C15*Thresholds_Rates!$F$16,"")))))))</f>
        <v>-</v>
      </c>
      <c r="G15" s="25">
        <f ca="1">IF($B$4="Apprenticeship","-",IF(B15="","",IF(SUMIF(Grades!$A:$A,$B$4,Grades!$BQ:$BQ)=0,"-",IF(AND($B$4="Salary Points 3 to 57",B15&gt;Thresholds_Rates!$C$17),"-",IF(AND($B$4="Salary Points 3 to 57",B15&lt;=Thresholds_Rates!$C$17),$C15*Thresholds_Rates!$F$17,IF(AND(OR($B$4="New Consultant Contract"),$B15&lt;&gt;""),$C15*Thresholds_Rates!$F$17,IF(AND(OR($B$4="Clinical Lecturer / Medical Research Fellow",$B$4="Clinical Consultant - Old Contract (GP)"),$B15&lt;&gt;""),$C15*Thresholds_Rates!$F$17,IF(AND(OR($B$4="APM Level 7",$B$4="R&amp;T Level 7"),F15&lt;&gt;""),$C15*Thresholds_Rates!$F$17,IF(SUMIF(Grades!$A:$A,$B$4,Grades!$BQ:$BQ)=1,$C15*Thresholds_Rates!$F$17,"")))))))))</f>
        <v>6785.6100000000006</v>
      </c>
      <c r="H15" s="25">
        <f ca="1">IF($B15="","",ROUND(($C15-(Thresholds_Rates!$C$5*12))*Thresholds_Rates!$C$10,0))</f>
        <v>1275</v>
      </c>
      <c r="I15" s="25">
        <f ca="1">IF(B15="","",(C15*Thresholds_Rates!$C$12))</f>
        <v>86.995000000000005</v>
      </c>
      <c r="J15" s="25">
        <f ca="1">IF(B15="","",IF(AND($B$4="Salary Points 3 to 57",B15&gt;Thresholds_Rates!$C$17),"-",IF(SUMIF(Grades!$A:$A,$B$4,Grades!$BR:$BR)=0,"-",IF(AND($B$4="Salary Points 3 to 57",B15&lt;=Thresholds_Rates!$C$17),$C15*Thresholds_Rates!$F$18,IF(AND(OR($B$4="New Consultant Contract"),$B15&lt;&gt;""),$C15*Thresholds_Rates!$F$18,IF(AND(OR($B$4="Clinical Lecturer / Medical Research Fellow",$B$4="Clinical Consultant - Old Contract (GP)"),$B15&lt;&gt;""),$C15*Thresholds_Rates!$F$18,IF(AND(OR($B$4="APM Level 7",$B$4="R&amp;T Level 7"),H15&lt;&gt;""),$C15*Thresholds_Rates!$F$18,IF(SUMIF(Grades!$A:$A,$B$4,Grades!$BQ:$BQ)=1,$C15*Thresholds_Rates!$F$18,""))))))))</f>
        <v>1739.9</v>
      </c>
      <c r="K15" s="4"/>
      <c r="L15" s="25" t="str">
        <f t="shared" ca="1" si="1"/>
        <v>-</v>
      </c>
      <c r="M15" s="25" t="str">
        <f t="shared" ca="1" si="2"/>
        <v>-</v>
      </c>
      <c r="N15" s="25">
        <f t="shared" ca="1" si="3"/>
        <v>25546.605</v>
      </c>
      <c r="O15" s="25">
        <f t="shared" ca="1" si="4"/>
        <v>20500.895</v>
      </c>
      <c r="P15" s="25">
        <f t="shared" ca="1" si="5"/>
        <v>18760.994999999999</v>
      </c>
      <c r="R15" s="28" t="str">
        <f ca="1">IF(B15="","",IF($B$4="R&amp;T Level 5 - Clinical Lecturers (Vet School)",SUMIF(Points_Lookup!$M:$M,$B15,Points_Lookup!$N:$N),IF($B$4="R&amp;T Level 6 - Clinical Associate Professors and Clinical Readers (Vet School)",SUMIF(Points_Lookup!$T:$T,$B15,Points_Lookup!$U:$U),"")))</f>
        <v/>
      </c>
      <c r="S15" s="29" t="str">
        <f ca="1">IF(B15="","",IF($B$4="R&amp;T Level 5 - Clinical Lecturers (Vet School)",$C15-SUMIF(Points_Lookup!$M:$M,$B15,Points_Lookup!$O:$O),IF($B$4="R&amp;T Level 6 - Clinical Associate Professors and Clinical Readers (Vet School)",$C15-SUMIF(Points_Lookup!$T:$T,$B15,Points_Lookup!$V:$V),"")))</f>
        <v/>
      </c>
      <c r="T15" s="28" t="str">
        <f ca="1">IF(B15="","",IF($B$4="R&amp;T Level 5 - Clinical Lecturers (Vet School)",SUMIF(Points_Lookup!$M:$M,$B15,Points_Lookup!$Q:$Q),IF($B$4="R&amp;T Level 6 - Clinical Associate Professors and Clinical Readers (Vet School)",SUMIF(Points_Lookup!$T:$T,$B15,Points_Lookup!$X:$X),"")))</f>
        <v/>
      </c>
      <c r="U15" s="29" t="str">
        <f t="shared" ca="1" si="0"/>
        <v/>
      </c>
      <c r="W15" s="26"/>
      <c r="Z15" s="26">
        <v>7</v>
      </c>
    </row>
    <row r="16" spans="2:54" x14ac:dyDescent="0.25">
      <c r="B16" s="4">
        <f ca="1">IFERROR(INDEX(Points_Lookup!$A:$A,MATCH($Z16,Points_Lookup!$AE:$AE,0)),"")</f>
        <v>10</v>
      </c>
      <c r="C16" s="25">
        <f ca="1">IF(B16="","",IF($B$4="Apprenticeship",SUMIF(Points_Lookup!$AA:$AA,B16,Points_Lookup!$AC:$AC),IF(AND(OR($B$4="New Consultant Contract"),$B16&lt;&gt;""),INDEX(Points_Lookup!$K:$K,MATCH($B16,Points_Lookup!$J:$J,0)),IF(AND(OR($B$4="Clinical Lecturer / Medical Research Fellow",$B$4="Clinical Consultant - Old Contract (GP)"),$B16&lt;&gt;""),INDEX(Points_Lookup!$H:$H,MATCH($B16,Points_Lookup!$G:$G,0)),IF(AND(OR($B$4="APM Level 7",$B$4="R&amp;T Level 7",$B$4="APM Level 8"),B16&lt;&gt;""),INDEX(Points_Lookup!$E:$E,MATCH($Z16,Points_Lookup!$AE:$AE,0)),IF($B$4="R&amp;T Level 5 - Clinical Lecturers (Vet School)",SUMIF(Points_Lookup!$M:$M,$B16,Points_Lookup!$P:$P),IF($B$4="R&amp;T Level 6 - Clinical Associate Professors and Clinical Readers (Vet School)",SUMIF(Points_Lookup!$T:$T,$B16,Points_Lookup!$W:$W),IFERROR(INDEX(Points_Lookup!$B:$B,MATCH($Z16,Points_Lookup!$AE:$AE,0)),""))))))))</f>
        <v>17898</v>
      </c>
      <c r="D16" s="36"/>
      <c r="E16" s="25" t="str">
        <f ca="1">IF($B16="","",IF(AND($B$4="Salary Points 3 to 57",B16&lt;Thresholds_Rates!$C$16),"-",IF(SUMIF(Grades!$A:$A,$B$4,Grades!$BO:$BO)=0,"-",IF(AND($B$4="Salary Points 3 to 57",B16&gt;=Thresholds_Rates!$C$16),$C16*Thresholds_Rates!$F$15,IF(AND(OR($B$4="New Consultant Contract"),$B16&lt;&gt;""),$C16*Thresholds_Rates!$F$15,IF(AND(OR($B$4="Clinical Lecturer / Medical Research Fellow",$B$4="Clinical Consultant - Old Contract (GP)"),$B16&lt;&gt;""),$C16*Thresholds_Rates!$F$15,IF(OR($B$4="APM Level 7",$B$4="R&amp;T Level 7"),$C16*Thresholds_Rates!$F$15,IF(SUMIF(Grades!$A:$A,$B$4,Grades!$BO:$BO)=1,$C16*Thresholds_Rates!$F$15,""))))))))</f>
        <v>-</v>
      </c>
      <c r="F16" s="25" t="str">
        <f ca="1">IF(B16="","",IF($B$4="Salary Points 3 to 57","-",IF(SUMIF(Grades!$A:$A,$B$4,Grades!$BP:$BP)=0,"-",IF(AND(OR($B$4="New Consultant Contract"),$B16&lt;&gt;""),$C16*Thresholds_Rates!$F$16,IF(AND(OR($B$4="Clinical Lecturer / Medical Research Fellow",$B$4="Clinical Consultant - Old Contract (GP)"),$B16&lt;&gt;""),$C16*Thresholds_Rates!$F$16,IF(AND(OR($B$4="APM Level 7",$B$4="R&amp;T Level 7"),E16&lt;&gt;""),$C16*Thresholds_Rates!$F$16,IF(SUMIF(Grades!$A:$A,$B$4,Grades!$BP:$BP)=1,$C16*Thresholds_Rates!$F$16,"")))))))</f>
        <v>-</v>
      </c>
      <c r="G16" s="25">
        <f ca="1">IF($B$4="Apprenticeship","-",IF(B16="","",IF(SUMIF(Grades!$A:$A,$B$4,Grades!$BQ:$BQ)=0,"-",IF(AND($B$4="Salary Points 3 to 57",B16&gt;Thresholds_Rates!$C$17),"-",IF(AND($B$4="Salary Points 3 to 57",B16&lt;=Thresholds_Rates!$C$17),$C16*Thresholds_Rates!$F$17,IF(AND(OR($B$4="New Consultant Contract"),$B16&lt;&gt;""),$C16*Thresholds_Rates!$F$17,IF(AND(OR($B$4="Clinical Lecturer / Medical Research Fellow",$B$4="Clinical Consultant - Old Contract (GP)"),$B16&lt;&gt;""),$C16*Thresholds_Rates!$F$17,IF(AND(OR($B$4="APM Level 7",$B$4="R&amp;T Level 7"),F16&lt;&gt;""),$C16*Thresholds_Rates!$F$17,IF(SUMIF(Grades!$A:$A,$B$4,Grades!$BQ:$BQ)=1,$C16*Thresholds_Rates!$F$17,"")))))))))</f>
        <v>6980.22</v>
      </c>
      <c r="H16" s="25">
        <f ca="1">IF($B16="","",ROUND(($C16-(Thresholds_Rates!$C$5*12))*Thresholds_Rates!$C$10,0))</f>
        <v>1344</v>
      </c>
      <c r="I16" s="25">
        <f ca="1">IF(B16="","",(C16*Thresholds_Rates!$C$12))</f>
        <v>89.49</v>
      </c>
      <c r="J16" s="25">
        <f ca="1">IF(B16="","",IF(AND($B$4="Salary Points 3 to 57",B16&gt;Thresholds_Rates!$C$17),"-",IF(SUMIF(Grades!$A:$A,$B$4,Grades!$BR:$BR)=0,"-",IF(AND($B$4="Salary Points 3 to 57",B16&lt;=Thresholds_Rates!$C$17),$C16*Thresholds_Rates!$F$18,IF(AND(OR($B$4="New Consultant Contract"),$B16&lt;&gt;""),$C16*Thresholds_Rates!$F$18,IF(AND(OR($B$4="Clinical Lecturer / Medical Research Fellow",$B$4="Clinical Consultant - Old Contract (GP)"),$B16&lt;&gt;""),$C16*Thresholds_Rates!$F$18,IF(AND(OR($B$4="APM Level 7",$B$4="R&amp;T Level 7"),H16&lt;&gt;""),$C16*Thresholds_Rates!$F$18,IF(SUMIF(Grades!$A:$A,$B$4,Grades!$BQ:$BQ)=1,$C16*Thresholds_Rates!$F$18,""))))))))</f>
        <v>1789.8000000000002</v>
      </c>
      <c r="K16" s="4"/>
      <c r="L16" s="25" t="str">
        <f t="shared" ca="1" si="1"/>
        <v>-</v>
      </c>
      <c r="M16" s="25" t="str">
        <f t="shared" ca="1" si="2"/>
        <v>-</v>
      </c>
      <c r="N16" s="25">
        <f t="shared" ca="1" si="3"/>
        <v>26311.710000000003</v>
      </c>
      <c r="O16" s="25">
        <f t="shared" ca="1" si="4"/>
        <v>21121.29</v>
      </c>
      <c r="P16" s="25">
        <f t="shared" ca="1" si="5"/>
        <v>19331.490000000002</v>
      </c>
      <c r="R16" s="28" t="str">
        <f ca="1">IF(B16="","",IF($B$4="R&amp;T Level 5 - Clinical Lecturers (Vet School)",SUMIF(Points_Lookup!$M:$M,$B16,Points_Lookup!$N:$N),IF($B$4="R&amp;T Level 6 - Clinical Associate Professors and Clinical Readers (Vet School)",SUMIF(Points_Lookup!$T:$T,$B16,Points_Lookup!$U:$U),"")))</f>
        <v/>
      </c>
      <c r="S16" s="29" t="str">
        <f ca="1">IF(B16="","",IF($B$4="R&amp;T Level 5 - Clinical Lecturers (Vet School)",$C16-SUMIF(Points_Lookup!$M:$M,$B16,Points_Lookup!$O:$O),IF($B$4="R&amp;T Level 6 - Clinical Associate Professors and Clinical Readers (Vet School)",$C16-SUMIF(Points_Lookup!$T:$T,$B16,Points_Lookup!$V:$V),"")))</f>
        <v/>
      </c>
      <c r="T16" s="28" t="str">
        <f ca="1">IF(B16="","",IF($B$4="R&amp;T Level 5 - Clinical Lecturers (Vet School)",SUMIF(Points_Lookup!$M:$M,$B16,Points_Lookup!$Q:$Q),IF($B$4="R&amp;T Level 6 - Clinical Associate Professors and Clinical Readers (Vet School)",SUMIF(Points_Lookup!$T:$T,$B16,Points_Lookup!$X:$X),"")))</f>
        <v/>
      </c>
      <c r="U16" s="29" t="str">
        <f t="shared" ca="1" si="0"/>
        <v/>
      </c>
      <c r="W16" s="26"/>
      <c r="Z16" s="26">
        <v>8</v>
      </c>
    </row>
    <row r="17" spans="2:26" x14ac:dyDescent="0.25">
      <c r="B17" s="4">
        <f ca="1">IFERROR(INDEX(Points_Lookup!$A:$A,MATCH($Z17,Points_Lookup!$AE:$AE,0)),"")</f>
        <v>11</v>
      </c>
      <c r="C17" s="25">
        <f ca="1">IF(B17="","",IF($B$4="Apprenticeship",SUMIF(Points_Lookup!$AA:$AA,B17,Points_Lookup!$AC:$AC),IF(AND(OR($B$4="New Consultant Contract"),$B17&lt;&gt;""),INDEX(Points_Lookup!$K:$K,MATCH($B17,Points_Lookup!$J:$J,0)),IF(AND(OR($B$4="Clinical Lecturer / Medical Research Fellow",$B$4="Clinical Consultant - Old Contract (GP)"),$B17&lt;&gt;""),INDEX(Points_Lookup!$H:$H,MATCH($B17,Points_Lookup!$G:$G,0)),IF(AND(OR($B$4="APM Level 7",$B$4="R&amp;T Level 7",$B$4="APM Level 8"),B17&lt;&gt;""),INDEX(Points_Lookup!$E:$E,MATCH($Z17,Points_Lookup!$AE:$AE,0)),IF($B$4="R&amp;T Level 5 - Clinical Lecturers (Vet School)",SUMIF(Points_Lookup!$M:$M,$B17,Points_Lookup!$P:$P),IF($B$4="R&amp;T Level 6 - Clinical Associate Professors and Clinical Readers (Vet School)",SUMIF(Points_Lookup!$T:$T,$B17,Points_Lookup!$W:$W),IFERROR(INDEX(Points_Lookup!$B:$B,MATCH($Z17,Points_Lookup!$AE:$AE,0)),""))))))))</f>
        <v>18412</v>
      </c>
      <c r="D17" s="36"/>
      <c r="E17" s="25" t="str">
        <f ca="1">IF($B17="","",IF(AND($B$4="Salary Points 3 to 57",B17&lt;Thresholds_Rates!$C$16),"-",IF(SUMIF(Grades!$A:$A,$B$4,Grades!$BO:$BO)=0,"-",IF(AND($B$4="Salary Points 3 to 57",B17&gt;=Thresholds_Rates!$C$16),$C17*Thresholds_Rates!$F$15,IF(AND(OR($B$4="New Consultant Contract"),$B17&lt;&gt;""),$C17*Thresholds_Rates!$F$15,IF(AND(OR($B$4="Clinical Lecturer / Medical Research Fellow",$B$4="Clinical Consultant - Old Contract (GP)"),$B17&lt;&gt;""),$C17*Thresholds_Rates!$F$15,IF(OR($B$4="APM Level 7",$B$4="R&amp;T Level 7"),$C17*Thresholds_Rates!$F$15,IF(SUMIF(Grades!$A:$A,$B$4,Grades!$BO:$BO)=1,$C17*Thresholds_Rates!$F$15,""))))))))</f>
        <v>-</v>
      </c>
      <c r="F17" s="25" t="str">
        <f ca="1">IF(B17="","",IF($B$4="Salary Points 3 to 57","-",IF(SUMIF(Grades!$A:$A,$B$4,Grades!$BP:$BP)=0,"-",IF(AND(OR($B$4="New Consultant Contract"),$B17&lt;&gt;""),$C17*Thresholds_Rates!$F$16,IF(AND(OR($B$4="Clinical Lecturer / Medical Research Fellow",$B$4="Clinical Consultant - Old Contract (GP)"),$B17&lt;&gt;""),$C17*Thresholds_Rates!$F$16,IF(AND(OR($B$4="APM Level 7",$B$4="R&amp;T Level 7"),E17&lt;&gt;""),$C17*Thresholds_Rates!$F$16,IF(SUMIF(Grades!$A:$A,$B$4,Grades!$BP:$BP)=1,$C17*Thresholds_Rates!$F$16,"")))))))</f>
        <v>-</v>
      </c>
      <c r="G17" s="25">
        <f ca="1">IF($B$4="Apprenticeship","-",IF(B17="","",IF(SUMIF(Grades!$A:$A,$B$4,Grades!$BQ:$BQ)=0,"-",IF(AND($B$4="Salary Points 3 to 57",B17&gt;Thresholds_Rates!$C$17),"-",IF(AND($B$4="Salary Points 3 to 57",B17&lt;=Thresholds_Rates!$C$17),$C17*Thresholds_Rates!$F$17,IF(AND(OR($B$4="New Consultant Contract"),$B17&lt;&gt;""),$C17*Thresholds_Rates!$F$17,IF(AND(OR($B$4="Clinical Lecturer / Medical Research Fellow",$B$4="Clinical Consultant - Old Contract (GP)"),$B17&lt;&gt;""),$C17*Thresholds_Rates!$F$17,IF(AND(OR($B$4="APM Level 7",$B$4="R&amp;T Level 7"),F17&lt;&gt;""),$C17*Thresholds_Rates!$F$17,IF(SUMIF(Grades!$A:$A,$B$4,Grades!$BQ:$BQ)=1,$C17*Thresholds_Rates!$F$17,"")))))))))</f>
        <v>7180.68</v>
      </c>
      <c r="H17" s="25">
        <f ca="1">IF($B17="","",ROUND(($C17-(Thresholds_Rates!$C$5*12))*Thresholds_Rates!$C$10,0))</f>
        <v>1415</v>
      </c>
      <c r="I17" s="25">
        <f ca="1">IF(B17="","",(C17*Thresholds_Rates!$C$12))</f>
        <v>92.06</v>
      </c>
      <c r="J17" s="25">
        <f ca="1">IF(B17="","",IF(AND($B$4="Salary Points 3 to 57",B17&gt;Thresholds_Rates!$C$17),"-",IF(SUMIF(Grades!$A:$A,$B$4,Grades!$BR:$BR)=0,"-",IF(AND($B$4="Salary Points 3 to 57",B17&lt;=Thresholds_Rates!$C$17),$C17*Thresholds_Rates!$F$18,IF(AND(OR($B$4="New Consultant Contract"),$B17&lt;&gt;""),$C17*Thresholds_Rates!$F$18,IF(AND(OR($B$4="Clinical Lecturer / Medical Research Fellow",$B$4="Clinical Consultant - Old Contract (GP)"),$B17&lt;&gt;""),$C17*Thresholds_Rates!$F$18,IF(AND(OR($B$4="APM Level 7",$B$4="R&amp;T Level 7"),H17&lt;&gt;""),$C17*Thresholds_Rates!$F$18,IF(SUMIF(Grades!$A:$A,$B$4,Grades!$BQ:$BQ)=1,$C17*Thresholds_Rates!$F$18,""))))))))</f>
        <v>1841.2</v>
      </c>
      <c r="K17" s="4"/>
      <c r="L17" s="25" t="str">
        <f t="shared" ca="1" si="1"/>
        <v>-</v>
      </c>
      <c r="M17" s="25" t="str">
        <f t="shared" ca="1" si="2"/>
        <v>-</v>
      </c>
      <c r="N17" s="25">
        <f t="shared" ca="1" si="3"/>
        <v>27099.74</v>
      </c>
      <c r="O17" s="25">
        <f t="shared" ca="1" si="4"/>
        <v>21760.260000000002</v>
      </c>
      <c r="P17" s="25">
        <f t="shared" ca="1" si="5"/>
        <v>19919.060000000001</v>
      </c>
      <c r="R17" s="28" t="str">
        <f ca="1">IF(B17="","",IF($B$4="R&amp;T Level 5 - Clinical Lecturers (Vet School)",SUMIF(Points_Lookup!$M:$M,$B17,Points_Lookup!$N:$N),IF($B$4="R&amp;T Level 6 - Clinical Associate Professors and Clinical Readers (Vet School)",SUMIF(Points_Lookup!$T:$T,$B17,Points_Lookup!$U:$U),"")))</f>
        <v/>
      </c>
      <c r="S17" s="29" t="str">
        <f ca="1">IF(B17="","",IF($B$4="R&amp;T Level 5 - Clinical Lecturers (Vet School)",$C17-SUMIF(Points_Lookup!$M:$M,$B17,Points_Lookup!$O:$O),IF($B$4="R&amp;T Level 6 - Clinical Associate Professors and Clinical Readers (Vet School)",$C17-SUMIF(Points_Lookup!$T:$T,$B17,Points_Lookup!$V:$V),"")))</f>
        <v/>
      </c>
      <c r="T17" s="28" t="str">
        <f ca="1">IF(B17="","",IF($B$4="R&amp;T Level 5 - Clinical Lecturers (Vet School)",SUMIF(Points_Lookup!$M:$M,$B17,Points_Lookup!$Q:$Q),IF($B$4="R&amp;T Level 6 - Clinical Associate Professors and Clinical Readers (Vet School)",SUMIF(Points_Lookup!$T:$T,$B17,Points_Lookup!$X:$X),"")))</f>
        <v/>
      </c>
      <c r="U17" s="29" t="str">
        <f t="shared" ca="1" si="0"/>
        <v/>
      </c>
      <c r="W17" s="26"/>
      <c r="Z17" s="26">
        <v>9</v>
      </c>
    </row>
    <row r="18" spans="2:26" x14ac:dyDescent="0.25">
      <c r="B18" s="4">
        <f ca="1">IFERROR(INDEX(Points_Lookup!$A:$A,MATCH($Z18,Points_Lookup!$AE:$AE,0)),"")</f>
        <v>12</v>
      </c>
      <c r="C18" s="25">
        <f ca="1">IF(B18="","",IF($B$4="Apprenticeship",SUMIF(Points_Lookup!$AA:$AA,B18,Points_Lookup!$AC:$AC),IF(AND(OR($B$4="New Consultant Contract"),$B18&lt;&gt;""),INDEX(Points_Lookup!$K:$K,MATCH($B18,Points_Lookup!$J:$J,0)),IF(AND(OR($B$4="Clinical Lecturer / Medical Research Fellow",$B$4="Clinical Consultant - Old Contract (GP)"),$B18&lt;&gt;""),INDEX(Points_Lookup!$H:$H,MATCH($B18,Points_Lookup!$G:$G,0)),IF(AND(OR($B$4="APM Level 7",$B$4="R&amp;T Level 7",$B$4="APM Level 8"),B18&lt;&gt;""),INDEX(Points_Lookup!$E:$E,MATCH($Z18,Points_Lookup!$AE:$AE,0)),IF($B$4="R&amp;T Level 5 - Clinical Lecturers (Vet School)",SUMIF(Points_Lookup!$M:$M,$B18,Points_Lookup!$P:$P),IF($B$4="R&amp;T Level 6 - Clinical Associate Professors and Clinical Readers (Vet School)",SUMIF(Points_Lookup!$T:$T,$B18,Points_Lookup!$W:$W),IFERROR(INDEX(Points_Lookup!$B:$B,MATCH($Z18,Points_Lookup!$AE:$AE,0)),""))))))))</f>
        <v>18940</v>
      </c>
      <c r="D18" s="36"/>
      <c r="E18" s="25" t="str">
        <f ca="1">IF($B18="","",IF(AND($B$4="Salary Points 3 to 57",B18&lt;Thresholds_Rates!$C$16),"-",IF(SUMIF(Grades!$A:$A,$B$4,Grades!$BO:$BO)=0,"-",IF(AND($B$4="Salary Points 3 to 57",B18&gt;=Thresholds_Rates!$C$16),$C18*Thresholds_Rates!$F$15,IF(AND(OR($B$4="New Consultant Contract"),$B18&lt;&gt;""),$C18*Thresholds_Rates!$F$15,IF(AND(OR($B$4="Clinical Lecturer / Medical Research Fellow",$B$4="Clinical Consultant - Old Contract (GP)"),$B18&lt;&gt;""),$C18*Thresholds_Rates!$F$15,IF(OR($B$4="APM Level 7",$B$4="R&amp;T Level 7"),$C18*Thresholds_Rates!$F$15,IF(SUMIF(Grades!$A:$A,$B$4,Grades!$BO:$BO)=1,$C18*Thresholds_Rates!$F$15,""))))))))</f>
        <v>-</v>
      </c>
      <c r="F18" s="25" t="str">
        <f ca="1">IF(B18="","",IF($B$4="Salary Points 3 to 57","-",IF(SUMIF(Grades!$A:$A,$B$4,Grades!$BP:$BP)=0,"-",IF(AND(OR($B$4="New Consultant Contract"),$B18&lt;&gt;""),$C18*Thresholds_Rates!$F$16,IF(AND(OR($B$4="Clinical Lecturer / Medical Research Fellow",$B$4="Clinical Consultant - Old Contract (GP)"),$B18&lt;&gt;""),$C18*Thresholds_Rates!$F$16,IF(AND(OR($B$4="APM Level 7",$B$4="R&amp;T Level 7"),E18&lt;&gt;""),$C18*Thresholds_Rates!$F$16,IF(SUMIF(Grades!$A:$A,$B$4,Grades!$BP:$BP)=1,$C18*Thresholds_Rates!$F$16,"")))))))</f>
        <v>-</v>
      </c>
      <c r="G18" s="25">
        <f ca="1">IF($B$4="Apprenticeship","-",IF(B18="","",IF(SUMIF(Grades!$A:$A,$B$4,Grades!$BQ:$BQ)=0,"-",IF(AND($B$4="Salary Points 3 to 57",B18&gt;Thresholds_Rates!$C$17),"-",IF(AND($B$4="Salary Points 3 to 57",B18&lt;=Thresholds_Rates!$C$17),$C18*Thresholds_Rates!$F$17,IF(AND(OR($B$4="New Consultant Contract"),$B18&lt;&gt;""),$C18*Thresholds_Rates!$F$17,IF(AND(OR($B$4="Clinical Lecturer / Medical Research Fellow",$B$4="Clinical Consultant - Old Contract (GP)"),$B18&lt;&gt;""),$C18*Thresholds_Rates!$F$17,IF(AND(OR($B$4="APM Level 7",$B$4="R&amp;T Level 7"),F18&lt;&gt;""),$C18*Thresholds_Rates!$F$17,IF(SUMIF(Grades!$A:$A,$B$4,Grades!$BQ:$BQ)=1,$C18*Thresholds_Rates!$F$17,"")))))))))</f>
        <v>7386.6</v>
      </c>
      <c r="H18" s="25">
        <f ca="1">IF($B18="","",ROUND(($C18-(Thresholds_Rates!$C$5*12))*Thresholds_Rates!$C$10,0))</f>
        <v>1488</v>
      </c>
      <c r="I18" s="25">
        <f ca="1">IF(B18="","",(C18*Thresholds_Rates!$C$12))</f>
        <v>94.7</v>
      </c>
      <c r="J18" s="25">
        <f ca="1">IF(B18="","",IF(AND($B$4="Salary Points 3 to 57",B18&gt;Thresholds_Rates!$C$17),"-",IF(SUMIF(Grades!$A:$A,$B$4,Grades!$BR:$BR)=0,"-",IF(AND($B$4="Salary Points 3 to 57",B18&lt;=Thresholds_Rates!$C$17),$C18*Thresholds_Rates!$F$18,IF(AND(OR($B$4="New Consultant Contract"),$B18&lt;&gt;""),$C18*Thresholds_Rates!$F$18,IF(AND(OR($B$4="Clinical Lecturer / Medical Research Fellow",$B$4="Clinical Consultant - Old Contract (GP)"),$B18&lt;&gt;""),$C18*Thresholds_Rates!$F$18,IF(AND(OR($B$4="APM Level 7",$B$4="R&amp;T Level 7"),H18&lt;&gt;""),$C18*Thresholds_Rates!$F$18,IF(SUMIF(Grades!$A:$A,$B$4,Grades!$BQ:$BQ)=1,$C18*Thresholds_Rates!$F$18,""))))))))</f>
        <v>1894</v>
      </c>
      <c r="K18" s="4"/>
      <c r="L18" s="25" t="str">
        <f t="shared" ca="1" si="1"/>
        <v>-</v>
      </c>
      <c r="M18" s="25" t="str">
        <f t="shared" ca="1" si="2"/>
        <v>-</v>
      </c>
      <c r="N18" s="25">
        <f t="shared" ca="1" si="3"/>
        <v>27909.3</v>
      </c>
      <c r="O18" s="25">
        <f t="shared" ca="1" si="4"/>
        <v>22416.7</v>
      </c>
      <c r="P18" s="25">
        <f t="shared" ca="1" si="5"/>
        <v>20522.7</v>
      </c>
      <c r="R18" s="28" t="str">
        <f ca="1">IF(B18="","",IF($B$4="R&amp;T Level 5 - Clinical Lecturers (Vet School)",SUMIF(Points_Lookup!$M:$M,$B18,Points_Lookup!$N:$N),IF($B$4="R&amp;T Level 6 - Clinical Associate Professors and Clinical Readers (Vet School)",SUMIF(Points_Lookup!$T:$T,$B18,Points_Lookup!$U:$U),"")))</f>
        <v/>
      </c>
      <c r="S18" s="29" t="str">
        <f ca="1">IF(B18="","",IF($B$4="R&amp;T Level 5 - Clinical Lecturers (Vet School)",$C18-SUMIF(Points_Lookup!$M:$M,$B18,Points_Lookup!$O:$O),IF($B$4="R&amp;T Level 6 - Clinical Associate Professors and Clinical Readers (Vet School)",$C18-SUMIF(Points_Lookup!$T:$T,$B18,Points_Lookup!$V:$V),"")))</f>
        <v/>
      </c>
      <c r="T18" s="28" t="str">
        <f ca="1">IF(B18="","",IF($B$4="R&amp;T Level 5 - Clinical Lecturers (Vet School)",SUMIF(Points_Lookup!$M:$M,$B18,Points_Lookup!$Q:$Q),IF($B$4="R&amp;T Level 6 - Clinical Associate Professors and Clinical Readers (Vet School)",SUMIF(Points_Lookup!$T:$T,$B18,Points_Lookup!$X:$X),"")))</f>
        <v/>
      </c>
      <c r="U18" s="29" t="str">
        <f t="shared" ca="1" si="0"/>
        <v/>
      </c>
      <c r="W18" s="26"/>
      <c r="Z18" s="26">
        <v>10</v>
      </c>
    </row>
    <row r="19" spans="2:26" x14ac:dyDescent="0.25">
      <c r="B19" s="4">
        <f ca="1">IFERROR(INDEX(Points_Lookup!$A:$A,MATCH($Z19,Points_Lookup!$AE:$AE,0)),"")</f>
        <v>13</v>
      </c>
      <c r="C19" s="25">
        <f ca="1">IF(B19="","",IF($B$4="Apprenticeship",SUMIF(Points_Lookup!$AA:$AA,B19,Points_Lookup!$AC:$AC),IF(AND(OR($B$4="New Consultant Contract"),$B19&lt;&gt;""),INDEX(Points_Lookup!$K:$K,MATCH($B19,Points_Lookup!$J:$J,0)),IF(AND(OR($B$4="Clinical Lecturer / Medical Research Fellow",$B$4="Clinical Consultant - Old Contract (GP)"),$B19&lt;&gt;""),INDEX(Points_Lookup!$H:$H,MATCH($B19,Points_Lookup!$G:$G,0)),IF(AND(OR($B$4="APM Level 7",$B$4="R&amp;T Level 7",$B$4="APM Level 8"),B19&lt;&gt;""),INDEX(Points_Lookup!$E:$E,MATCH($Z19,Points_Lookup!$AE:$AE,0)),IF($B$4="R&amp;T Level 5 - Clinical Lecturers (Vet School)",SUMIF(Points_Lookup!$M:$M,$B19,Points_Lookup!$P:$P),IF($B$4="R&amp;T Level 6 - Clinical Associate Professors and Clinical Readers (Vet School)",SUMIF(Points_Lookup!$T:$T,$B19,Points_Lookup!$W:$W),IFERROR(INDEX(Points_Lookup!$B:$B,MATCH($Z19,Points_Lookup!$AE:$AE,0)),""))))))))</f>
        <v>19485</v>
      </c>
      <c r="D19" s="36"/>
      <c r="E19" s="25" t="str">
        <f ca="1">IF($B19="","",IF(AND($B$4="Salary Points 3 to 57",B19&lt;Thresholds_Rates!$C$16),"-",IF(SUMIF(Grades!$A:$A,$B$4,Grades!$BO:$BO)=0,"-",IF(AND($B$4="Salary Points 3 to 57",B19&gt;=Thresholds_Rates!$C$16),$C19*Thresholds_Rates!$F$15,IF(AND(OR($B$4="New Consultant Contract"),$B19&lt;&gt;""),$C19*Thresholds_Rates!$F$15,IF(AND(OR($B$4="Clinical Lecturer / Medical Research Fellow",$B$4="Clinical Consultant - Old Contract (GP)"),$B19&lt;&gt;""),$C19*Thresholds_Rates!$F$15,IF(OR($B$4="APM Level 7",$B$4="R&amp;T Level 7"),$C19*Thresholds_Rates!$F$15,IF(SUMIF(Grades!$A:$A,$B$4,Grades!$BO:$BO)=1,$C19*Thresholds_Rates!$F$15,""))))))))</f>
        <v>-</v>
      </c>
      <c r="F19" s="25" t="str">
        <f ca="1">IF(B19="","",IF($B$4="Salary Points 3 to 57","-",IF(SUMIF(Grades!$A:$A,$B$4,Grades!$BP:$BP)=0,"-",IF(AND(OR($B$4="New Consultant Contract"),$B19&lt;&gt;""),$C19*Thresholds_Rates!$F$16,IF(AND(OR($B$4="Clinical Lecturer / Medical Research Fellow",$B$4="Clinical Consultant - Old Contract (GP)"),$B19&lt;&gt;""),$C19*Thresholds_Rates!$F$16,IF(AND(OR($B$4="APM Level 7",$B$4="R&amp;T Level 7"),E19&lt;&gt;""),$C19*Thresholds_Rates!$F$16,IF(SUMIF(Grades!$A:$A,$B$4,Grades!$BP:$BP)=1,$C19*Thresholds_Rates!$F$16,"")))))))</f>
        <v>-</v>
      </c>
      <c r="G19" s="25">
        <f ca="1">IF($B$4="Apprenticeship","-",IF(B19="","",IF(SUMIF(Grades!$A:$A,$B$4,Grades!$BQ:$BQ)=0,"-",IF(AND($B$4="Salary Points 3 to 57",B19&gt;Thresholds_Rates!$C$17),"-",IF(AND($B$4="Salary Points 3 to 57",B19&lt;=Thresholds_Rates!$C$17),$C19*Thresholds_Rates!$F$17,IF(AND(OR($B$4="New Consultant Contract"),$B19&lt;&gt;""),$C19*Thresholds_Rates!$F$17,IF(AND(OR($B$4="Clinical Lecturer / Medical Research Fellow",$B$4="Clinical Consultant - Old Contract (GP)"),$B19&lt;&gt;""),$C19*Thresholds_Rates!$F$17,IF(AND(OR($B$4="APM Level 7",$B$4="R&amp;T Level 7"),F19&lt;&gt;""),$C19*Thresholds_Rates!$F$17,IF(SUMIF(Grades!$A:$A,$B$4,Grades!$BQ:$BQ)=1,$C19*Thresholds_Rates!$F$17,"")))))))))</f>
        <v>7599.1500000000005</v>
      </c>
      <c r="H19" s="25">
        <f ca="1">IF($B19="","",ROUND(($C19-(Thresholds_Rates!$C$5*12))*Thresholds_Rates!$C$10,0))</f>
        <v>1563</v>
      </c>
      <c r="I19" s="25">
        <f ca="1">IF(B19="","",(C19*Thresholds_Rates!$C$12))</f>
        <v>97.424999999999997</v>
      </c>
      <c r="J19" s="25">
        <f ca="1">IF(B19="","",IF(AND($B$4="Salary Points 3 to 57",B19&gt;Thresholds_Rates!$C$17),"-",IF(SUMIF(Grades!$A:$A,$B$4,Grades!$BR:$BR)=0,"-",IF(AND($B$4="Salary Points 3 to 57",B19&lt;=Thresholds_Rates!$C$17),$C19*Thresholds_Rates!$F$18,IF(AND(OR($B$4="New Consultant Contract"),$B19&lt;&gt;""),$C19*Thresholds_Rates!$F$18,IF(AND(OR($B$4="Clinical Lecturer / Medical Research Fellow",$B$4="Clinical Consultant - Old Contract (GP)"),$B19&lt;&gt;""),$C19*Thresholds_Rates!$F$18,IF(AND(OR($B$4="APM Level 7",$B$4="R&amp;T Level 7"),H19&lt;&gt;""),$C19*Thresholds_Rates!$F$18,IF(SUMIF(Grades!$A:$A,$B$4,Grades!$BQ:$BQ)=1,$C19*Thresholds_Rates!$F$18,""))))))))</f>
        <v>1948.5</v>
      </c>
      <c r="K19" s="4"/>
      <c r="L19" s="25" t="str">
        <f t="shared" ca="1" si="1"/>
        <v>-</v>
      </c>
      <c r="M19" s="25" t="str">
        <f t="shared" ca="1" si="2"/>
        <v>-</v>
      </c>
      <c r="N19" s="25">
        <f t="shared" ca="1" si="3"/>
        <v>28744.575000000001</v>
      </c>
      <c r="O19" s="25">
        <f t="shared" ca="1" si="4"/>
        <v>23093.924999999999</v>
      </c>
      <c r="P19" s="25">
        <f t="shared" ca="1" si="5"/>
        <v>21145.424999999999</v>
      </c>
      <c r="R19" s="28" t="str">
        <f ca="1">IF(B19="","",IF($B$4="R&amp;T Level 5 - Clinical Lecturers (Vet School)",SUMIF(Points_Lookup!$M:$M,$B19,Points_Lookup!$N:$N),IF($B$4="R&amp;T Level 6 - Clinical Associate Professors and Clinical Readers (Vet School)",SUMIF(Points_Lookup!$T:$T,$B19,Points_Lookup!$U:$U),"")))</f>
        <v/>
      </c>
      <c r="S19" s="29" t="str">
        <f ca="1">IF(B19="","",IF($B$4="R&amp;T Level 5 - Clinical Lecturers (Vet School)",$C19-SUMIF(Points_Lookup!$M:$M,$B19,Points_Lookup!$O:$O),IF($B$4="R&amp;T Level 6 - Clinical Associate Professors and Clinical Readers (Vet School)",$C19-SUMIF(Points_Lookup!$T:$T,$B19,Points_Lookup!$V:$V),"")))</f>
        <v/>
      </c>
      <c r="T19" s="28" t="str">
        <f ca="1">IF(B19="","",IF($B$4="R&amp;T Level 5 - Clinical Lecturers (Vet School)",SUMIF(Points_Lookup!$M:$M,$B19,Points_Lookup!$Q:$Q),IF($B$4="R&amp;T Level 6 - Clinical Associate Professors and Clinical Readers (Vet School)",SUMIF(Points_Lookup!$T:$T,$B19,Points_Lookup!$X:$X),"")))</f>
        <v/>
      </c>
      <c r="U19" s="29" t="str">
        <f t="shared" ca="1" si="0"/>
        <v/>
      </c>
      <c r="Z19" s="26">
        <v>11</v>
      </c>
    </row>
    <row r="20" spans="2:26" x14ac:dyDescent="0.25">
      <c r="B20" s="4">
        <f ca="1">IFERROR(INDEX(Points_Lookup!$A:$A,MATCH($Z20,Points_Lookup!$AE:$AE,0)),"")</f>
        <v>14</v>
      </c>
      <c r="C20" s="25">
        <f ca="1">IF(B20="","",IF($B$4="Apprenticeship",SUMIF(Points_Lookup!$AA:$AA,B20,Points_Lookup!$AC:$AC),IF(AND(OR($B$4="New Consultant Contract"),$B20&lt;&gt;""),INDEX(Points_Lookup!$K:$K,MATCH($B20,Points_Lookup!$J:$J,0)),IF(AND(OR($B$4="Clinical Lecturer / Medical Research Fellow",$B$4="Clinical Consultant - Old Contract (GP)"),$B20&lt;&gt;""),INDEX(Points_Lookup!$H:$H,MATCH($B20,Points_Lookup!$G:$G,0)),IF(AND(OR($B$4="APM Level 7",$B$4="R&amp;T Level 7",$B$4="APM Level 8"),B20&lt;&gt;""),INDEX(Points_Lookup!$E:$E,MATCH($Z20,Points_Lookup!$AE:$AE,0)),IF($B$4="R&amp;T Level 5 - Clinical Lecturers (Vet School)",SUMIF(Points_Lookup!$M:$M,$B20,Points_Lookup!$P:$P),IF($B$4="R&amp;T Level 6 - Clinical Associate Professors and Clinical Readers (Vet School)",SUMIF(Points_Lookup!$T:$T,$B20,Points_Lookup!$W:$W),IFERROR(INDEX(Points_Lookup!$B:$B,MATCH($Z20,Points_Lookup!$AE:$AE,0)),""))))))))</f>
        <v>20046</v>
      </c>
      <c r="D20" s="36"/>
      <c r="E20" s="25" t="str">
        <f ca="1">IF($B20="","",IF(AND($B$4="Salary Points 3 to 57",B20&lt;Thresholds_Rates!$C$16),"-",IF(SUMIF(Grades!$A:$A,$B$4,Grades!$BO:$BO)=0,"-",IF(AND($B$4="Salary Points 3 to 57",B20&gt;=Thresholds_Rates!$C$16),$C20*Thresholds_Rates!$F$15,IF(AND(OR($B$4="New Consultant Contract"),$B20&lt;&gt;""),$C20*Thresholds_Rates!$F$15,IF(AND(OR($B$4="Clinical Lecturer / Medical Research Fellow",$B$4="Clinical Consultant - Old Contract (GP)"),$B20&lt;&gt;""),$C20*Thresholds_Rates!$F$15,IF(OR($B$4="APM Level 7",$B$4="R&amp;T Level 7"),$C20*Thresholds_Rates!$F$15,IF(SUMIF(Grades!$A:$A,$B$4,Grades!$BO:$BO)=1,$C20*Thresholds_Rates!$F$15,""))))))))</f>
        <v>-</v>
      </c>
      <c r="F20" s="25" t="str">
        <f ca="1">IF(B20="","",IF($B$4="Salary Points 3 to 57","-",IF(SUMIF(Grades!$A:$A,$B$4,Grades!$BP:$BP)=0,"-",IF(AND(OR($B$4="New Consultant Contract"),$B20&lt;&gt;""),$C20*Thresholds_Rates!$F$16,IF(AND(OR($B$4="Clinical Lecturer / Medical Research Fellow",$B$4="Clinical Consultant - Old Contract (GP)"),$B20&lt;&gt;""),$C20*Thresholds_Rates!$F$16,IF(AND(OR($B$4="APM Level 7",$B$4="R&amp;T Level 7"),E20&lt;&gt;""),$C20*Thresholds_Rates!$F$16,IF(SUMIF(Grades!$A:$A,$B$4,Grades!$BP:$BP)=1,$C20*Thresholds_Rates!$F$16,"")))))))</f>
        <v>-</v>
      </c>
      <c r="G20" s="25">
        <f ca="1">IF($B$4="Apprenticeship","-",IF(B20="","",IF(SUMIF(Grades!$A:$A,$B$4,Grades!$BQ:$BQ)=0,"-",IF(AND($B$4="Salary Points 3 to 57",B20&gt;Thresholds_Rates!$C$17),"-",IF(AND($B$4="Salary Points 3 to 57",B20&lt;=Thresholds_Rates!$C$17),$C20*Thresholds_Rates!$F$17,IF(AND(OR($B$4="New Consultant Contract"),$B20&lt;&gt;""),$C20*Thresholds_Rates!$F$17,IF(AND(OR($B$4="Clinical Lecturer / Medical Research Fellow",$B$4="Clinical Consultant - Old Contract (GP)"),$B20&lt;&gt;""),$C20*Thresholds_Rates!$F$17,IF(AND(OR($B$4="APM Level 7",$B$4="R&amp;T Level 7"),F20&lt;&gt;""),$C20*Thresholds_Rates!$F$17,IF(SUMIF(Grades!$A:$A,$B$4,Grades!$BQ:$BQ)=1,$C20*Thresholds_Rates!$F$17,"")))))))))</f>
        <v>7817.9400000000005</v>
      </c>
      <c r="H20" s="25">
        <f ca="1">IF($B20="","",ROUND(($C20-(Thresholds_Rates!$C$5*12))*Thresholds_Rates!$C$10,0))</f>
        <v>1640</v>
      </c>
      <c r="I20" s="25">
        <f ca="1">IF(B20="","",(C20*Thresholds_Rates!$C$12))</f>
        <v>100.23</v>
      </c>
      <c r="J20" s="25">
        <f ca="1">IF(B20="","",IF(AND($B$4="Salary Points 3 to 57",B20&gt;Thresholds_Rates!$C$17),"-",IF(SUMIF(Grades!$A:$A,$B$4,Grades!$BR:$BR)=0,"-",IF(AND($B$4="Salary Points 3 to 57",B20&lt;=Thresholds_Rates!$C$17),$C20*Thresholds_Rates!$F$18,IF(AND(OR($B$4="New Consultant Contract"),$B20&lt;&gt;""),$C20*Thresholds_Rates!$F$18,IF(AND(OR($B$4="Clinical Lecturer / Medical Research Fellow",$B$4="Clinical Consultant - Old Contract (GP)"),$B20&lt;&gt;""),$C20*Thresholds_Rates!$F$18,IF(AND(OR($B$4="APM Level 7",$B$4="R&amp;T Level 7"),H20&lt;&gt;""),$C20*Thresholds_Rates!$F$18,IF(SUMIF(Grades!$A:$A,$B$4,Grades!$BQ:$BQ)=1,$C20*Thresholds_Rates!$F$18,""))))))))</f>
        <v>2004.6000000000001</v>
      </c>
      <c r="K20" s="4"/>
      <c r="L20" s="25" t="str">
        <f t="shared" ca="1" si="1"/>
        <v>-</v>
      </c>
      <c r="M20" s="25" t="str">
        <f t="shared" ca="1" si="2"/>
        <v>-</v>
      </c>
      <c r="N20" s="25">
        <f t="shared" ca="1" si="3"/>
        <v>29604.170000000002</v>
      </c>
      <c r="O20" s="25">
        <f t="shared" ca="1" si="4"/>
        <v>23790.829999999998</v>
      </c>
      <c r="P20" s="25">
        <f t="shared" ca="1" si="5"/>
        <v>21786.23</v>
      </c>
      <c r="R20" s="28" t="str">
        <f ca="1">IF(B20="","",IF($B$4="R&amp;T Level 5 - Clinical Lecturers (Vet School)",SUMIF(Points_Lookup!$M:$M,$B20,Points_Lookup!$N:$N),IF($B$4="R&amp;T Level 6 - Clinical Associate Professors and Clinical Readers (Vet School)",SUMIF(Points_Lookup!$T:$T,$B20,Points_Lookup!$U:$U),"")))</f>
        <v/>
      </c>
      <c r="S20" s="29" t="str">
        <f ca="1">IF(B20="","",IF($B$4="R&amp;T Level 5 - Clinical Lecturers (Vet School)",$C20-SUMIF(Points_Lookup!$M:$M,$B20,Points_Lookup!$O:$O),IF($B$4="R&amp;T Level 6 - Clinical Associate Professors and Clinical Readers (Vet School)",$C20-SUMIF(Points_Lookup!$T:$T,$B20,Points_Lookup!$V:$V),"")))</f>
        <v/>
      </c>
      <c r="T20" s="28" t="str">
        <f ca="1">IF(B20="","",IF($B$4="R&amp;T Level 5 - Clinical Lecturers (Vet School)",SUMIF(Points_Lookup!$M:$M,$B20,Points_Lookup!$Q:$Q),IF($B$4="R&amp;T Level 6 - Clinical Associate Professors and Clinical Readers (Vet School)",SUMIF(Points_Lookup!$T:$T,$B20,Points_Lookup!$X:$X),"")))</f>
        <v/>
      </c>
      <c r="U20" s="29" t="str">
        <f t="shared" ca="1" si="0"/>
        <v/>
      </c>
      <c r="Z20" s="26">
        <v>12</v>
      </c>
    </row>
    <row r="21" spans="2:26" x14ac:dyDescent="0.25">
      <c r="B21" s="4">
        <f ca="1">IFERROR(INDEX(Points_Lookup!$A:$A,MATCH($Z21,Points_Lookup!$AE:$AE,0)),"")</f>
        <v>15</v>
      </c>
      <c r="C21" s="25">
        <f ca="1">IF(B21="","",IF($B$4="Apprenticeship",SUMIF(Points_Lookup!$AA:$AA,B21,Points_Lookup!$AC:$AC),IF(AND(OR($B$4="New Consultant Contract"),$B21&lt;&gt;""),INDEX(Points_Lookup!$K:$K,MATCH($B21,Points_Lookup!$J:$J,0)),IF(AND(OR($B$4="Clinical Lecturer / Medical Research Fellow",$B$4="Clinical Consultant - Old Contract (GP)"),$B21&lt;&gt;""),INDEX(Points_Lookup!$H:$H,MATCH($B21,Points_Lookup!$G:$G,0)),IF(AND(OR($B$4="APM Level 7",$B$4="R&amp;T Level 7",$B$4="APM Level 8"),B21&lt;&gt;""),INDEX(Points_Lookup!$E:$E,MATCH($Z21,Points_Lookup!$AE:$AE,0)),IF($B$4="R&amp;T Level 5 - Clinical Lecturers (Vet School)",SUMIF(Points_Lookup!$M:$M,$B21,Points_Lookup!$P:$P),IF($B$4="R&amp;T Level 6 - Clinical Associate Professors and Clinical Readers (Vet School)",SUMIF(Points_Lookup!$T:$T,$B21,Points_Lookup!$W:$W),IFERROR(INDEX(Points_Lookup!$B:$B,MATCH($Z21,Points_Lookup!$AE:$AE,0)),""))))))))</f>
        <v>20624</v>
      </c>
      <c r="D21" s="36"/>
      <c r="E21" s="25" t="str">
        <f ca="1">IF($B21="","",IF(AND($B$4="Salary Points 3 to 57",B21&lt;Thresholds_Rates!$C$16),"-",IF(SUMIF(Grades!$A:$A,$B$4,Grades!$BO:$BO)=0,"-",IF(AND($B$4="Salary Points 3 to 57",B21&gt;=Thresholds_Rates!$C$16),$C21*Thresholds_Rates!$F$15,IF(AND(OR($B$4="New Consultant Contract"),$B21&lt;&gt;""),$C21*Thresholds_Rates!$F$15,IF(AND(OR($B$4="Clinical Lecturer / Medical Research Fellow",$B$4="Clinical Consultant - Old Contract (GP)"),$B21&lt;&gt;""),$C21*Thresholds_Rates!$F$15,IF(OR($B$4="APM Level 7",$B$4="R&amp;T Level 7"),$C21*Thresholds_Rates!$F$15,IF(SUMIF(Grades!$A:$A,$B$4,Grades!$BO:$BO)=1,$C21*Thresholds_Rates!$F$15,""))))))))</f>
        <v>-</v>
      </c>
      <c r="F21" s="25" t="str">
        <f ca="1">IF(B21="","",IF($B$4="Salary Points 3 to 57","-",IF(SUMIF(Grades!$A:$A,$B$4,Grades!$BP:$BP)=0,"-",IF(AND(OR($B$4="New Consultant Contract"),$B21&lt;&gt;""),$C21*Thresholds_Rates!$F$16,IF(AND(OR($B$4="Clinical Lecturer / Medical Research Fellow",$B$4="Clinical Consultant - Old Contract (GP)"),$B21&lt;&gt;""),$C21*Thresholds_Rates!$F$16,IF(AND(OR($B$4="APM Level 7",$B$4="R&amp;T Level 7"),E21&lt;&gt;""),$C21*Thresholds_Rates!$F$16,IF(SUMIF(Grades!$A:$A,$B$4,Grades!$BP:$BP)=1,$C21*Thresholds_Rates!$F$16,"")))))))</f>
        <v>-</v>
      </c>
      <c r="G21" s="25">
        <f ca="1">IF($B$4="Apprenticeship","-",IF(B21="","",IF(SUMIF(Grades!$A:$A,$B$4,Grades!$BQ:$BQ)=0,"-",IF(AND($B$4="Salary Points 3 to 57",B21&gt;Thresholds_Rates!$C$17),"-",IF(AND($B$4="Salary Points 3 to 57",B21&lt;=Thresholds_Rates!$C$17),$C21*Thresholds_Rates!$F$17,IF(AND(OR($B$4="New Consultant Contract"),$B21&lt;&gt;""),$C21*Thresholds_Rates!$F$17,IF(AND(OR($B$4="Clinical Lecturer / Medical Research Fellow",$B$4="Clinical Consultant - Old Contract (GP)"),$B21&lt;&gt;""),$C21*Thresholds_Rates!$F$17,IF(AND(OR($B$4="APM Level 7",$B$4="R&amp;T Level 7"),F21&lt;&gt;""),$C21*Thresholds_Rates!$F$17,IF(SUMIF(Grades!$A:$A,$B$4,Grades!$BQ:$BQ)=1,$C21*Thresholds_Rates!$F$17,"")))))))))</f>
        <v>8043.3600000000006</v>
      </c>
      <c r="H21" s="25">
        <f ca="1">IF($B21="","",ROUND(($C21-(Thresholds_Rates!$C$5*12))*Thresholds_Rates!$C$10,0))</f>
        <v>1720</v>
      </c>
      <c r="I21" s="25">
        <f ca="1">IF(B21="","",(C21*Thresholds_Rates!$C$12))</f>
        <v>103.12</v>
      </c>
      <c r="J21" s="25">
        <f ca="1">IF(B21="","",IF(AND($B$4="Salary Points 3 to 57",B21&gt;Thresholds_Rates!$C$17),"-",IF(SUMIF(Grades!$A:$A,$B$4,Grades!$BR:$BR)=0,"-",IF(AND($B$4="Salary Points 3 to 57",B21&lt;=Thresholds_Rates!$C$17),$C21*Thresholds_Rates!$F$18,IF(AND(OR($B$4="New Consultant Contract"),$B21&lt;&gt;""),$C21*Thresholds_Rates!$F$18,IF(AND(OR($B$4="Clinical Lecturer / Medical Research Fellow",$B$4="Clinical Consultant - Old Contract (GP)"),$B21&lt;&gt;""),$C21*Thresholds_Rates!$F$18,IF(AND(OR($B$4="APM Level 7",$B$4="R&amp;T Level 7"),H21&lt;&gt;""),$C21*Thresholds_Rates!$F$18,IF(SUMIF(Grades!$A:$A,$B$4,Grades!$BQ:$BQ)=1,$C21*Thresholds_Rates!$F$18,""))))))))</f>
        <v>2062.4</v>
      </c>
      <c r="K21" s="4"/>
      <c r="L21" s="25" t="str">
        <f t="shared" ca="1" si="1"/>
        <v>-</v>
      </c>
      <c r="M21" s="25" t="str">
        <f t="shared" ca="1" si="2"/>
        <v>-</v>
      </c>
      <c r="N21" s="25">
        <f t="shared" ca="1" si="3"/>
        <v>30490.48</v>
      </c>
      <c r="O21" s="25">
        <f t="shared" ca="1" si="4"/>
        <v>24509.52</v>
      </c>
      <c r="P21" s="25">
        <f t="shared" ca="1" si="5"/>
        <v>22447.119999999999</v>
      </c>
      <c r="R21" s="28" t="str">
        <f ca="1">IF(B21="","",IF($B$4="R&amp;T Level 5 - Clinical Lecturers (Vet School)",SUMIF(Points_Lookup!$M:$M,$B21,Points_Lookup!$N:$N),IF($B$4="R&amp;T Level 6 - Clinical Associate Professors and Clinical Readers (Vet School)",SUMIF(Points_Lookup!$T:$T,$B21,Points_Lookup!$U:$U),"")))</f>
        <v/>
      </c>
      <c r="S21" s="29" t="str">
        <f ca="1">IF(B21="","",IF($B$4="R&amp;T Level 5 - Clinical Lecturers (Vet School)",$C21-SUMIF(Points_Lookup!$M:$M,$B21,Points_Lookup!$O:$O),IF($B$4="R&amp;T Level 6 - Clinical Associate Professors and Clinical Readers (Vet School)",$C21-SUMIF(Points_Lookup!$T:$T,$B21,Points_Lookup!$V:$V),"")))</f>
        <v/>
      </c>
      <c r="T21" s="28" t="str">
        <f ca="1">IF(B21="","",IF($B$4="R&amp;T Level 5 - Clinical Lecturers (Vet School)",SUMIF(Points_Lookup!$M:$M,$B21,Points_Lookup!$Q:$Q),IF($B$4="R&amp;T Level 6 - Clinical Associate Professors and Clinical Readers (Vet School)",SUMIF(Points_Lookup!$T:$T,$B21,Points_Lookup!$X:$X),"")))</f>
        <v/>
      </c>
      <c r="U21" s="29" t="str">
        <f t="shared" ca="1" si="0"/>
        <v/>
      </c>
      <c r="Z21" s="26">
        <v>13</v>
      </c>
    </row>
    <row r="22" spans="2:26" x14ac:dyDescent="0.25">
      <c r="B22" s="4">
        <f ca="1">IFERROR(INDEX(Points_Lookup!$A:$A,MATCH($Z22,Points_Lookup!$AE:$AE,0)),"")</f>
        <v>16</v>
      </c>
      <c r="C22" s="25">
        <f ca="1">IF(B22="","",IF($B$4="Apprenticeship",SUMIF(Points_Lookup!$AA:$AA,B22,Points_Lookup!$AC:$AC),IF(AND(OR($B$4="New Consultant Contract"),$B22&lt;&gt;""),INDEX(Points_Lookup!$K:$K,MATCH($B22,Points_Lookup!$J:$J,0)),IF(AND(OR($B$4="Clinical Lecturer / Medical Research Fellow",$B$4="Clinical Consultant - Old Contract (GP)"),$B22&lt;&gt;""),INDEX(Points_Lookup!$H:$H,MATCH($B22,Points_Lookup!$G:$G,0)),IF(AND(OR($B$4="APM Level 7",$B$4="R&amp;T Level 7",$B$4="APM Level 8"),B22&lt;&gt;""),INDEX(Points_Lookup!$E:$E,MATCH($Z22,Points_Lookup!$AE:$AE,0)),IF($B$4="R&amp;T Level 5 - Clinical Lecturers (Vet School)",SUMIF(Points_Lookup!$M:$M,$B22,Points_Lookup!$P:$P),IF($B$4="R&amp;T Level 6 - Clinical Associate Professors and Clinical Readers (Vet School)",SUMIF(Points_Lookup!$T:$T,$B22,Points_Lookup!$W:$W),IFERROR(INDEX(Points_Lookup!$B:$B,MATCH($Z22,Points_Lookup!$AE:$AE,0)),""))))))))</f>
        <v>21220</v>
      </c>
      <c r="D22" s="36"/>
      <c r="E22" s="25" t="str">
        <f ca="1">IF($B22="","",IF(AND($B$4="Salary Points 3 to 57",B22&lt;Thresholds_Rates!$C$16),"-",IF(SUMIF(Grades!$A:$A,$B$4,Grades!$BO:$BO)=0,"-",IF(AND($B$4="Salary Points 3 to 57",B22&gt;=Thresholds_Rates!$C$16),$C22*Thresholds_Rates!$F$15,IF(AND(OR($B$4="New Consultant Contract"),$B22&lt;&gt;""),$C22*Thresholds_Rates!$F$15,IF(AND(OR($B$4="Clinical Lecturer / Medical Research Fellow",$B$4="Clinical Consultant - Old Contract (GP)"),$B22&lt;&gt;""),$C22*Thresholds_Rates!$F$15,IF(OR($B$4="APM Level 7",$B$4="R&amp;T Level 7"),$C22*Thresholds_Rates!$F$15,IF(SUMIF(Grades!$A:$A,$B$4,Grades!$BO:$BO)=1,$C22*Thresholds_Rates!$F$15,""))))))))</f>
        <v>-</v>
      </c>
      <c r="F22" s="25" t="str">
        <f ca="1">IF(B22="","",IF($B$4="Salary Points 3 to 57","-",IF(SUMIF(Grades!$A:$A,$B$4,Grades!$BP:$BP)=0,"-",IF(AND(OR($B$4="New Consultant Contract"),$B22&lt;&gt;""),$C22*Thresholds_Rates!$F$16,IF(AND(OR($B$4="Clinical Lecturer / Medical Research Fellow",$B$4="Clinical Consultant - Old Contract (GP)"),$B22&lt;&gt;""),$C22*Thresholds_Rates!$F$16,IF(AND(OR($B$4="APM Level 7",$B$4="R&amp;T Level 7"),E22&lt;&gt;""),$C22*Thresholds_Rates!$F$16,IF(SUMIF(Grades!$A:$A,$B$4,Grades!$BP:$BP)=1,$C22*Thresholds_Rates!$F$16,"")))))))</f>
        <v>-</v>
      </c>
      <c r="G22" s="25">
        <f ca="1">IF($B$4="Apprenticeship","-",IF(B22="","",IF(SUMIF(Grades!$A:$A,$B$4,Grades!$BQ:$BQ)=0,"-",IF(AND($B$4="Salary Points 3 to 57",B22&gt;Thresholds_Rates!$C$17),"-",IF(AND($B$4="Salary Points 3 to 57",B22&lt;=Thresholds_Rates!$C$17),$C22*Thresholds_Rates!$F$17,IF(AND(OR($B$4="New Consultant Contract"),$B22&lt;&gt;""),$C22*Thresholds_Rates!$F$17,IF(AND(OR($B$4="Clinical Lecturer / Medical Research Fellow",$B$4="Clinical Consultant - Old Contract (GP)"),$B22&lt;&gt;""),$C22*Thresholds_Rates!$F$17,IF(AND(OR($B$4="APM Level 7",$B$4="R&amp;T Level 7"),F22&lt;&gt;""),$C22*Thresholds_Rates!$F$17,IF(SUMIF(Grades!$A:$A,$B$4,Grades!$BQ:$BQ)=1,$C22*Thresholds_Rates!$F$17,"")))))))))</f>
        <v>8275.8000000000011</v>
      </c>
      <c r="H22" s="25">
        <f ca="1">IF($B22="","",ROUND(($C22-(Thresholds_Rates!$C$5*12))*Thresholds_Rates!$C$10,0))</f>
        <v>1802</v>
      </c>
      <c r="I22" s="25">
        <f ca="1">IF(B22="","",(C22*Thresholds_Rates!$C$12))</f>
        <v>106.10000000000001</v>
      </c>
      <c r="J22" s="25">
        <f ca="1">IF(B22="","",IF(AND($B$4="Salary Points 3 to 57",B22&gt;Thresholds_Rates!$C$17),"-",IF(SUMIF(Grades!$A:$A,$B$4,Grades!$BR:$BR)=0,"-",IF(AND($B$4="Salary Points 3 to 57",B22&lt;=Thresholds_Rates!$C$17),$C22*Thresholds_Rates!$F$18,IF(AND(OR($B$4="New Consultant Contract"),$B22&lt;&gt;""),$C22*Thresholds_Rates!$F$18,IF(AND(OR($B$4="Clinical Lecturer / Medical Research Fellow",$B$4="Clinical Consultant - Old Contract (GP)"),$B22&lt;&gt;""),$C22*Thresholds_Rates!$F$18,IF(AND(OR($B$4="APM Level 7",$B$4="R&amp;T Level 7"),H22&lt;&gt;""),$C22*Thresholds_Rates!$F$18,IF(SUMIF(Grades!$A:$A,$B$4,Grades!$BQ:$BQ)=1,$C22*Thresholds_Rates!$F$18,""))))))))</f>
        <v>2122</v>
      </c>
      <c r="K22" s="4"/>
      <c r="L22" s="25" t="str">
        <f t="shared" ca="1" si="1"/>
        <v>-</v>
      </c>
      <c r="M22" s="25" t="str">
        <f t="shared" ca="1" si="2"/>
        <v>-</v>
      </c>
      <c r="N22" s="25">
        <f t="shared" ca="1" si="3"/>
        <v>31403.9</v>
      </c>
      <c r="O22" s="25">
        <f t="shared" ca="1" si="4"/>
        <v>25250.1</v>
      </c>
      <c r="P22" s="25">
        <f t="shared" ca="1" si="5"/>
        <v>23128.1</v>
      </c>
      <c r="R22" s="28" t="str">
        <f ca="1">IF(B22="","",IF($B$4="R&amp;T Level 5 - Clinical Lecturers (Vet School)",SUMIF(Points_Lookup!$M:$M,$B22,Points_Lookup!$N:$N),IF($B$4="R&amp;T Level 6 - Clinical Associate Professors and Clinical Readers (Vet School)",SUMIF(Points_Lookup!$T:$T,$B22,Points_Lookup!$U:$U),"")))</f>
        <v/>
      </c>
      <c r="S22" s="29" t="str">
        <f ca="1">IF(B22="","",IF($B$4="R&amp;T Level 5 - Clinical Lecturers (Vet School)",$C22-SUMIF(Points_Lookup!$M:$M,$B22,Points_Lookup!$O:$O),IF($B$4="R&amp;T Level 6 - Clinical Associate Professors and Clinical Readers (Vet School)",$C22-SUMIF(Points_Lookup!$T:$T,$B22,Points_Lookup!$V:$V),"")))</f>
        <v/>
      </c>
      <c r="T22" s="28" t="str">
        <f ca="1">IF(B22="","",IF($B$4="R&amp;T Level 5 - Clinical Lecturers (Vet School)",SUMIF(Points_Lookup!$M:$M,$B22,Points_Lookup!$Q:$Q),IF($B$4="R&amp;T Level 6 - Clinical Associate Professors and Clinical Readers (Vet School)",SUMIF(Points_Lookup!$T:$T,$B22,Points_Lookup!$X:$X),"")))</f>
        <v/>
      </c>
      <c r="U22" s="29" t="str">
        <f t="shared" ca="1" si="0"/>
        <v/>
      </c>
      <c r="Z22" s="26">
        <v>14</v>
      </c>
    </row>
    <row r="23" spans="2:26" x14ac:dyDescent="0.25">
      <c r="B23" s="4">
        <f ca="1">IFERROR(INDEX(Points_Lookup!$A:$A,MATCH($Z23,Points_Lookup!$AE:$AE,0)),"")</f>
        <v>17</v>
      </c>
      <c r="C23" s="25">
        <f ca="1">IF(B23="","",IF($B$4="Apprenticeship",SUMIF(Points_Lookup!$AA:$AA,B23,Points_Lookup!$AC:$AC),IF(AND(OR($B$4="New Consultant Contract"),$B23&lt;&gt;""),INDEX(Points_Lookup!$K:$K,MATCH($B23,Points_Lookup!$J:$J,0)),IF(AND(OR($B$4="Clinical Lecturer / Medical Research Fellow",$B$4="Clinical Consultant - Old Contract (GP)"),$B23&lt;&gt;""),INDEX(Points_Lookup!$H:$H,MATCH($B23,Points_Lookup!$G:$G,0)),IF(AND(OR($B$4="APM Level 7",$B$4="R&amp;T Level 7",$B$4="APM Level 8"),B23&lt;&gt;""),INDEX(Points_Lookup!$E:$E,MATCH($Z23,Points_Lookup!$AE:$AE,0)),IF($B$4="R&amp;T Level 5 - Clinical Lecturers (Vet School)",SUMIF(Points_Lookup!$M:$M,$B23,Points_Lookup!$P:$P),IF($B$4="R&amp;T Level 6 - Clinical Associate Professors and Clinical Readers (Vet School)",SUMIF(Points_Lookup!$T:$T,$B23,Points_Lookup!$W:$W),IFERROR(INDEX(Points_Lookup!$B:$B,MATCH($Z23,Points_Lookup!$AE:$AE,0)),""))))))))</f>
        <v>21843</v>
      </c>
      <c r="D23" s="36"/>
      <c r="E23" s="25" t="str">
        <f ca="1">IF($B23="","",IF(AND($B$4="Salary Points 3 to 57",B23&lt;Thresholds_Rates!$C$16),"-",IF(SUMIF(Grades!$A:$A,$B$4,Grades!$BO:$BO)=0,"-",IF(AND($B$4="Salary Points 3 to 57",B23&gt;=Thresholds_Rates!$C$16),$C23*Thresholds_Rates!$F$15,IF(AND(OR($B$4="New Consultant Contract"),$B23&lt;&gt;""),$C23*Thresholds_Rates!$F$15,IF(AND(OR($B$4="Clinical Lecturer / Medical Research Fellow",$B$4="Clinical Consultant - Old Contract (GP)"),$B23&lt;&gt;""),$C23*Thresholds_Rates!$F$15,IF(OR($B$4="APM Level 7",$B$4="R&amp;T Level 7"),$C23*Thresholds_Rates!$F$15,IF(SUMIF(Grades!$A:$A,$B$4,Grades!$BO:$BO)=1,$C23*Thresholds_Rates!$F$15,""))))))))</f>
        <v>-</v>
      </c>
      <c r="F23" s="25" t="str">
        <f ca="1">IF(B23="","",IF($B$4="Salary Points 3 to 57","-",IF(SUMIF(Grades!$A:$A,$B$4,Grades!$BP:$BP)=0,"-",IF(AND(OR($B$4="New Consultant Contract"),$B23&lt;&gt;""),$C23*Thresholds_Rates!$F$16,IF(AND(OR($B$4="Clinical Lecturer / Medical Research Fellow",$B$4="Clinical Consultant - Old Contract (GP)"),$B23&lt;&gt;""),$C23*Thresholds_Rates!$F$16,IF(AND(OR($B$4="APM Level 7",$B$4="R&amp;T Level 7"),E23&lt;&gt;""),$C23*Thresholds_Rates!$F$16,IF(SUMIF(Grades!$A:$A,$B$4,Grades!$BP:$BP)=1,$C23*Thresholds_Rates!$F$16,"")))))))</f>
        <v>-</v>
      </c>
      <c r="G23" s="25">
        <f ca="1">IF($B$4="Apprenticeship","-",IF(B23="","",IF(SUMIF(Grades!$A:$A,$B$4,Grades!$BQ:$BQ)=0,"-",IF(AND($B$4="Salary Points 3 to 57",B23&gt;Thresholds_Rates!$C$17),"-",IF(AND($B$4="Salary Points 3 to 57",B23&lt;=Thresholds_Rates!$C$17),$C23*Thresholds_Rates!$F$17,IF(AND(OR($B$4="New Consultant Contract"),$B23&lt;&gt;""),$C23*Thresholds_Rates!$F$17,IF(AND(OR($B$4="Clinical Lecturer / Medical Research Fellow",$B$4="Clinical Consultant - Old Contract (GP)"),$B23&lt;&gt;""),$C23*Thresholds_Rates!$F$17,IF(AND(OR($B$4="APM Level 7",$B$4="R&amp;T Level 7"),F23&lt;&gt;""),$C23*Thresholds_Rates!$F$17,IF(SUMIF(Grades!$A:$A,$B$4,Grades!$BQ:$BQ)=1,$C23*Thresholds_Rates!$F$17,"")))))))))</f>
        <v>8518.77</v>
      </c>
      <c r="H23" s="25">
        <f ca="1">IF($B23="","",ROUND(($C23-(Thresholds_Rates!$C$5*12))*Thresholds_Rates!$C$10,0))</f>
        <v>1888</v>
      </c>
      <c r="I23" s="25">
        <f ca="1">IF(B23="","",(C23*Thresholds_Rates!$C$12))</f>
        <v>109.215</v>
      </c>
      <c r="J23" s="25">
        <f ca="1">IF(B23="","",IF(AND($B$4="Salary Points 3 to 57",B23&gt;Thresholds_Rates!$C$17),"-",IF(SUMIF(Grades!$A:$A,$B$4,Grades!$BR:$BR)=0,"-",IF(AND($B$4="Salary Points 3 to 57",B23&lt;=Thresholds_Rates!$C$17),$C23*Thresholds_Rates!$F$18,IF(AND(OR($B$4="New Consultant Contract"),$B23&lt;&gt;""),$C23*Thresholds_Rates!$F$18,IF(AND(OR($B$4="Clinical Lecturer / Medical Research Fellow",$B$4="Clinical Consultant - Old Contract (GP)"),$B23&lt;&gt;""),$C23*Thresholds_Rates!$F$18,IF(AND(OR($B$4="APM Level 7",$B$4="R&amp;T Level 7"),H23&lt;&gt;""),$C23*Thresholds_Rates!$F$18,IF(SUMIF(Grades!$A:$A,$B$4,Grades!$BQ:$BQ)=1,$C23*Thresholds_Rates!$F$18,""))))))))</f>
        <v>2184.3000000000002</v>
      </c>
      <c r="K23" s="4"/>
      <c r="L23" s="25" t="str">
        <f t="shared" ca="1" si="1"/>
        <v>-</v>
      </c>
      <c r="M23" s="25" t="str">
        <f t="shared" ca="1" si="2"/>
        <v>-</v>
      </c>
      <c r="N23" s="25">
        <f t="shared" ca="1" si="3"/>
        <v>32358.985000000001</v>
      </c>
      <c r="O23" s="25">
        <f t="shared" ca="1" si="4"/>
        <v>26024.514999999999</v>
      </c>
      <c r="P23" s="25">
        <f t="shared" ca="1" si="5"/>
        <v>23840.215</v>
      </c>
      <c r="R23" s="28" t="str">
        <f ca="1">IF(B23="","",IF($B$4="R&amp;T Level 5 - Clinical Lecturers (Vet School)",SUMIF(Points_Lookup!$M:$M,$B23,Points_Lookup!$N:$N),IF($B$4="R&amp;T Level 6 - Clinical Associate Professors and Clinical Readers (Vet School)",SUMIF(Points_Lookup!$T:$T,$B23,Points_Lookup!$U:$U),"")))</f>
        <v/>
      </c>
      <c r="S23" s="29" t="str">
        <f ca="1">IF(B23="","",IF($B$4="R&amp;T Level 5 - Clinical Lecturers (Vet School)",$C23-SUMIF(Points_Lookup!$M:$M,$B23,Points_Lookup!$O:$O),IF($B$4="R&amp;T Level 6 - Clinical Associate Professors and Clinical Readers (Vet School)",$C23-SUMIF(Points_Lookup!$T:$T,$B23,Points_Lookup!$V:$V),"")))</f>
        <v/>
      </c>
      <c r="T23" s="28" t="str">
        <f ca="1">IF(B23="","",IF($B$4="R&amp;T Level 5 - Clinical Lecturers (Vet School)",SUMIF(Points_Lookup!$M:$M,$B23,Points_Lookup!$Q:$Q),IF($B$4="R&amp;T Level 6 - Clinical Associate Professors and Clinical Readers (Vet School)",SUMIF(Points_Lookup!$T:$T,$B23,Points_Lookup!$X:$X),"")))</f>
        <v/>
      </c>
      <c r="U23" s="29" t="str">
        <f t="shared" ca="1" si="0"/>
        <v/>
      </c>
      <c r="Z23" s="26">
        <v>15</v>
      </c>
    </row>
    <row r="24" spans="2:26" x14ac:dyDescent="0.25">
      <c r="B24" s="4">
        <f ca="1">IFERROR(INDEX(Points_Lookup!$A:$A,MATCH($Z24,Points_Lookup!$AE:$AE,0)),"")</f>
        <v>18</v>
      </c>
      <c r="C24" s="25">
        <f ca="1">IF(B24="","",IF($B$4="Apprenticeship",SUMIF(Points_Lookup!$AA:$AA,B24,Points_Lookup!$AC:$AC),IF(AND(OR($B$4="New Consultant Contract"),$B24&lt;&gt;""),INDEX(Points_Lookup!$K:$K,MATCH($B24,Points_Lookup!$J:$J,0)),IF(AND(OR($B$4="Clinical Lecturer / Medical Research Fellow",$B$4="Clinical Consultant - Old Contract (GP)"),$B24&lt;&gt;""),INDEX(Points_Lookup!$H:$H,MATCH($B24,Points_Lookup!$G:$G,0)),IF(AND(OR($B$4="APM Level 7",$B$4="R&amp;T Level 7",$B$4="APM Level 8"),B24&lt;&gt;""),INDEX(Points_Lookup!$E:$E,MATCH($Z24,Points_Lookup!$AE:$AE,0)),IF($B$4="R&amp;T Level 5 - Clinical Lecturers (Vet School)",SUMIF(Points_Lookup!$M:$M,$B24,Points_Lookup!$P:$P),IF($B$4="R&amp;T Level 6 - Clinical Associate Professors and Clinical Readers (Vet School)",SUMIF(Points_Lookup!$T:$T,$B24,Points_Lookup!$W:$W),IFERROR(INDEX(Points_Lookup!$B:$B,MATCH($Z24,Points_Lookup!$AE:$AE,0)),""))))))))</f>
        <v>22494</v>
      </c>
      <c r="D24" s="36"/>
      <c r="E24" s="25" t="str">
        <f ca="1">IF($B24="","",IF(AND($B$4="Salary Points 3 to 57",B24&lt;Thresholds_Rates!$C$16),"-",IF(SUMIF(Grades!$A:$A,$B$4,Grades!$BO:$BO)=0,"-",IF(AND($B$4="Salary Points 3 to 57",B24&gt;=Thresholds_Rates!$C$16),$C24*Thresholds_Rates!$F$15,IF(AND(OR($B$4="New Consultant Contract"),$B24&lt;&gt;""),$C24*Thresholds_Rates!$F$15,IF(AND(OR($B$4="Clinical Lecturer / Medical Research Fellow",$B$4="Clinical Consultant - Old Contract (GP)"),$B24&lt;&gt;""),$C24*Thresholds_Rates!$F$15,IF(OR($B$4="APM Level 7",$B$4="R&amp;T Level 7"),$C24*Thresholds_Rates!$F$15,IF(SUMIF(Grades!$A:$A,$B$4,Grades!$BO:$BO)=1,$C24*Thresholds_Rates!$F$15,""))))))))</f>
        <v>-</v>
      </c>
      <c r="F24" s="25" t="str">
        <f ca="1">IF(B24="","",IF($B$4="Salary Points 3 to 57","-",IF(SUMIF(Grades!$A:$A,$B$4,Grades!$BP:$BP)=0,"-",IF(AND(OR($B$4="New Consultant Contract"),$B24&lt;&gt;""),$C24*Thresholds_Rates!$F$16,IF(AND(OR($B$4="Clinical Lecturer / Medical Research Fellow",$B$4="Clinical Consultant - Old Contract (GP)"),$B24&lt;&gt;""),$C24*Thresholds_Rates!$F$16,IF(AND(OR($B$4="APM Level 7",$B$4="R&amp;T Level 7"),E24&lt;&gt;""),$C24*Thresholds_Rates!$F$16,IF(SUMIF(Grades!$A:$A,$B$4,Grades!$BP:$BP)=1,$C24*Thresholds_Rates!$F$16,"")))))))</f>
        <v>-</v>
      </c>
      <c r="G24" s="25">
        <f ca="1">IF($B$4="Apprenticeship","-",IF(B24="","",IF(SUMIF(Grades!$A:$A,$B$4,Grades!$BQ:$BQ)=0,"-",IF(AND($B$4="Salary Points 3 to 57",B24&gt;Thresholds_Rates!$C$17),"-",IF(AND($B$4="Salary Points 3 to 57",B24&lt;=Thresholds_Rates!$C$17),$C24*Thresholds_Rates!$F$17,IF(AND(OR($B$4="New Consultant Contract"),$B24&lt;&gt;""),$C24*Thresholds_Rates!$F$17,IF(AND(OR($B$4="Clinical Lecturer / Medical Research Fellow",$B$4="Clinical Consultant - Old Contract (GP)"),$B24&lt;&gt;""),$C24*Thresholds_Rates!$F$17,IF(AND(OR($B$4="APM Level 7",$B$4="R&amp;T Level 7"),F24&lt;&gt;""),$C24*Thresholds_Rates!$F$17,IF(SUMIF(Grades!$A:$A,$B$4,Grades!$BQ:$BQ)=1,$C24*Thresholds_Rates!$F$17,"")))))))))</f>
        <v>8772.66</v>
      </c>
      <c r="H24" s="25">
        <f ca="1">IF($B24="","",ROUND(($C24-(Thresholds_Rates!$C$5*12))*Thresholds_Rates!$C$10,0))</f>
        <v>1978</v>
      </c>
      <c r="I24" s="25">
        <f ca="1">IF(B24="","",(C24*Thresholds_Rates!$C$12))</f>
        <v>112.47</v>
      </c>
      <c r="J24" s="25">
        <f ca="1">IF(B24="","",IF(AND($B$4="Salary Points 3 to 57",B24&gt;Thresholds_Rates!$C$17),"-",IF(SUMIF(Grades!$A:$A,$B$4,Grades!$BR:$BR)=0,"-",IF(AND($B$4="Salary Points 3 to 57",B24&lt;=Thresholds_Rates!$C$17),$C24*Thresholds_Rates!$F$18,IF(AND(OR($B$4="New Consultant Contract"),$B24&lt;&gt;""),$C24*Thresholds_Rates!$F$18,IF(AND(OR($B$4="Clinical Lecturer / Medical Research Fellow",$B$4="Clinical Consultant - Old Contract (GP)"),$B24&lt;&gt;""),$C24*Thresholds_Rates!$F$18,IF(AND(OR($B$4="APM Level 7",$B$4="R&amp;T Level 7"),H24&lt;&gt;""),$C24*Thresholds_Rates!$F$18,IF(SUMIF(Grades!$A:$A,$B$4,Grades!$BQ:$BQ)=1,$C24*Thresholds_Rates!$F$18,""))))))))</f>
        <v>2249.4</v>
      </c>
      <c r="K24" s="4"/>
      <c r="L24" s="25" t="str">
        <f t="shared" ca="1" si="1"/>
        <v>-</v>
      </c>
      <c r="M24" s="25" t="str">
        <f t="shared" ca="1" si="2"/>
        <v>-</v>
      </c>
      <c r="N24" s="25">
        <f t="shared" ca="1" si="3"/>
        <v>33357.130000000005</v>
      </c>
      <c r="O24" s="25">
        <f t="shared" ca="1" si="4"/>
        <v>26833.870000000003</v>
      </c>
      <c r="P24" s="25">
        <f t="shared" ca="1" si="5"/>
        <v>24584.47</v>
      </c>
      <c r="R24" s="28" t="str">
        <f ca="1">IF(B24="","",IF($B$4="R&amp;T Level 5 - Clinical Lecturers (Vet School)",SUMIF(Points_Lookup!$M:$M,$B24,Points_Lookup!$N:$N),IF($B$4="R&amp;T Level 6 - Clinical Associate Professors and Clinical Readers (Vet School)",SUMIF(Points_Lookup!$T:$T,$B24,Points_Lookup!$U:$U),"")))</f>
        <v/>
      </c>
      <c r="S24" s="29" t="str">
        <f ca="1">IF(B24="","",IF($B$4="R&amp;T Level 5 - Clinical Lecturers (Vet School)",$C24-SUMIF(Points_Lookup!$M:$M,$B24,Points_Lookup!$O:$O),IF($B$4="R&amp;T Level 6 - Clinical Associate Professors and Clinical Readers (Vet School)",$C24-SUMIF(Points_Lookup!$T:$T,$B24,Points_Lookup!$V:$V),"")))</f>
        <v/>
      </c>
      <c r="T24" s="28" t="str">
        <f ca="1">IF(B24="","",IF($B$4="R&amp;T Level 5 - Clinical Lecturers (Vet School)",SUMIF(Points_Lookup!$M:$M,$B24,Points_Lookup!$Q:$Q),IF($B$4="R&amp;T Level 6 - Clinical Associate Professors and Clinical Readers (Vet School)",SUMIF(Points_Lookup!$T:$T,$B24,Points_Lookup!$X:$X),"")))</f>
        <v/>
      </c>
      <c r="U24" s="29" t="str">
        <f t="shared" ca="1" si="0"/>
        <v/>
      </c>
      <c r="Z24" s="26">
        <v>16</v>
      </c>
    </row>
    <row r="25" spans="2:26" x14ac:dyDescent="0.25">
      <c r="B25" s="4">
        <f ca="1">IFERROR(INDEX(Points_Lookup!$A:$A,MATCH($Z25,Points_Lookup!$AE:$AE,0)),"")</f>
        <v>19</v>
      </c>
      <c r="C25" s="25">
        <f ca="1">IF(B25="","",IF($B$4="Apprenticeship",SUMIF(Points_Lookup!$AA:$AA,B25,Points_Lookup!$AC:$AC),IF(AND(OR($B$4="New Consultant Contract"),$B25&lt;&gt;""),INDEX(Points_Lookup!$K:$K,MATCH($B25,Points_Lookup!$J:$J,0)),IF(AND(OR($B$4="Clinical Lecturer / Medical Research Fellow",$B$4="Clinical Consultant - Old Contract (GP)"),$B25&lt;&gt;""),INDEX(Points_Lookup!$H:$H,MATCH($B25,Points_Lookup!$G:$G,0)),IF(AND(OR($B$4="APM Level 7",$B$4="R&amp;T Level 7",$B$4="APM Level 8"),B25&lt;&gt;""),INDEX(Points_Lookup!$E:$E,MATCH($Z25,Points_Lookup!$AE:$AE,0)),IF($B$4="R&amp;T Level 5 - Clinical Lecturers (Vet School)",SUMIF(Points_Lookup!$M:$M,$B25,Points_Lookup!$P:$P),IF($B$4="R&amp;T Level 6 - Clinical Associate Professors and Clinical Readers (Vet School)",SUMIF(Points_Lookup!$T:$T,$B25,Points_Lookup!$W:$W),IFERROR(INDEX(Points_Lookup!$B:$B,MATCH($Z25,Points_Lookup!$AE:$AE,0)),""))))))))</f>
        <v>23164</v>
      </c>
      <c r="D25" s="36"/>
      <c r="E25" s="25" t="str">
        <f ca="1">IF($B25="","",IF(AND($B$4="Salary Points 3 to 57",B25&lt;Thresholds_Rates!$C$16),"-",IF(SUMIF(Grades!$A:$A,$B$4,Grades!$BO:$BO)=0,"-",IF(AND($B$4="Salary Points 3 to 57",B25&gt;=Thresholds_Rates!$C$16),$C25*Thresholds_Rates!$F$15,IF(AND(OR($B$4="New Consultant Contract"),$B25&lt;&gt;""),$C25*Thresholds_Rates!$F$15,IF(AND(OR($B$4="Clinical Lecturer / Medical Research Fellow",$B$4="Clinical Consultant - Old Contract (GP)"),$B25&lt;&gt;""),$C25*Thresholds_Rates!$F$15,IF(OR($B$4="APM Level 7",$B$4="R&amp;T Level 7"),$C25*Thresholds_Rates!$F$15,IF(SUMIF(Grades!$A:$A,$B$4,Grades!$BO:$BO)=1,$C25*Thresholds_Rates!$F$15,""))))))))</f>
        <v>-</v>
      </c>
      <c r="F25" s="25" t="str">
        <f ca="1">IF(B25="","",IF($B$4="Salary Points 3 to 57","-",IF(SUMIF(Grades!$A:$A,$B$4,Grades!$BP:$BP)=0,"-",IF(AND(OR($B$4="New Consultant Contract"),$B25&lt;&gt;""),$C25*Thresholds_Rates!$F$16,IF(AND(OR($B$4="Clinical Lecturer / Medical Research Fellow",$B$4="Clinical Consultant - Old Contract (GP)"),$B25&lt;&gt;""),$C25*Thresholds_Rates!$F$16,IF(AND(OR($B$4="APM Level 7",$B$4="R&amp;T Level 7"),E25&lt;&gt;""),$C25*Thresholds_Rates!$F$16,IF(SUMIF(Grades!$A:$A,$B$4,Grades!$BP:$BP)=1,$C25*Thresholds_Rates!$F$16,"")))))))</f>
        <v>-</v>
      </c>
      <c r="G25" s="25">
        <f ca="1">IF($B$4="Apprenticeship","-",IF(B25="","",IF(SUMIF(Grades!$A:$A,$B$4,Grades!$BQ:$BQ)=0,"-",IF(AND($B$4="Salary Points 3 to 57",B25&gt;Thresholds_Rates!$C$17),"-",IF(AND($B$4="Salary Points 3 to 57",B25&lt;=Thresholds_Rates!$C$17),$C25*Thresholds_Rates!$F$17,IF(AND(OR($B$4="New Consultant Contract"),$B25&lt;&gt;""),$C25*Thresholds_Rates!$F$17,IF(AND(OR($B$4="Clinical Lecturer / Medical Research Fellow",$B$4="Clinical Consultant - Old Contract (GP)"),$B25&lt;&gt;""),$C25*Thresholds_Rates!$F$17,IF(AND(OR($B$4="APM Level 7",$B$4="R&amp;T Level 7"),F25&lt;&gt;""),$C25*Thresholds_Rates!$F$17,IF(SUMIF(Grades!$A:$A,$B$4,Grades!$BQ:$BQ)=1,$C25*Thresholds_Rates!$F$17,"")))))))))</f>
        <v>9033.9600000000009</v>
      </c>
      <c r="H25" s="25">
        <f ca="1">IF($B25="","",ROUND(($C25-(Thresholds_Rates!$C$5*12))*Thresholds_Rates!$C$10,0))</f>
        <v>2071</v>
      </c>
      <c r="I25" s="25">
        <f ca="1">IF(B25="","",(C25*Thresholds_Rates!$C$12))</f>
        <v>115.82000000000001</v>
      </c>
      <c r="J25" s="25">
        <f ca="1">IF(B25="","",IF(AND($B$4="Salary Points 3 to 57",B25&gt;Thresholds_Rates!$C$17),"-",IF(SUMIF(Grades!$A:$A,$B$4,Grades!$BR:$BR)=0,"-",IF(AND($B$4="Salary Points 3 to 57",B25&lt;=Thresholds_Rates!$C$17),$C25*Thresholds_Rates!$F$18,IF(AND(OR($B$4="New Consultant Contract"),$B25&lt;&gt;""),$C25*Thresholds_Rates!$F$18,IF(AND(OR($B$4="Clinical Lecturer / Medical Research Fellow",$B$4="Clinical Consultant - Old Contract (GP)"),$B25&lt;&gt;""),$C25*Thresholds_Rates!$F$18,IF(AND(OR($B$4="APM Level 7",$B$4="R&amp;T Level 7"),H25&lt;&gt;""),$C25*Thresholds_Rates!$F$18,IF(SUMIF(Grades!$A:$A,$B$4,Grades!$BQ:$BQ)=1,$C25*Thresholds_Rates!$F$18,""))))))))</f>
        <v>2316.4</v>
      </c>
      <c r="K25" s="4"/>
      <c r="L25" s="25" t="str">
        <f t="shared" ca="1" si="1"/>
        <v>-</v>
      </c>
      <c r="M25" s="25" t="str">
        <f t="shared" ca="1" si="2"/>
        <v>-</v>
      </c>
      <c r="N25" s="25">
        <f t="shared" ca="1" si="3"/>
        <v>34384.78</v>
      </c>
      <c r="O25" s="25">
        <f t="shared" ca="1" si="4"/>
        <v>27667.22</v>
      </c>
      <c r="P25" s="25">
        <f t="shared" ca="1" si="5"/>
        <v>25350.82</v>
      </c>
      <c r="R25" s="28" t="str">
        <f ca="1">IF(B25="","",IF($B$4="R&amp;T Level 5 - Clinical Lecturers (Vet School)",SUMIF(Points_Lookup!$M:$M,$B25,Points_Lookup!$N:$N),IF($B$4="R&amp;T Level 6 - Clinical Associate Professors and Clinical Readers (Vet School)",SUMIF(Points_Lookup!$T:$T,$B25,Points_Lookup!$U:$U),"")))</f>
        <v/>
      </c>
      <c r="S25" s="29" t="str">
        <f ca="1">IF(B25="","",IF($B$4="R&amp;T Level 5 - Clinical Lecturers (Vet School)",$C25-SUMIF(Points_Lookup!$M:$M,$B25,Points_Lookup!$O:$O),IF($B$4="R&amp;T Level 6 - Clinical Associate Professors and Clinical Readers (Vet School)",$C25-SUMIF(Points_Lookup!$T:$T,$B25,Points_Lookup!$V:$V),"")))</f>
        <v/>
      </c>
      <c r="T25" s="28" t="str">
        <f ca="1">IF(B25="","",IF($B$4="R&amp;T Level 5 - Clinical Lecturers (Vet School)",SUMIF(Points_Lookup!$M:$M,$B25,Points_Lookup!$Q:$Q),IF($B$4="R&amp;T Level 6 - Clinical Associate Professors and Clinical Readers (Vet School)",SUMIF(Points_Lookup!$T:$T,$B25,Points_Lookup!$X:$X),"")))</f>
        <v/>
      </c>
      <c r="U25" s="29" t="str">
        <f t="shared" ca="1" si="0"/>
        <v/>
      </c>
      <c r="Z25" s="26">
        <v>17</v>
      </c>
    </row>
    <row r="26" spans="2:26" x14ac:dyDescent="0.25">
      <c r="B26" s="4">
        <f ca="1">IFERROR(INDEX(Points_Lookup!$A:$A,MATCH($Z26,Points_Lookup!$AE:$AE,0)),"")</f>
        <v>20</v>
      </c>
      <c r="C26" s="25">
        <f ca="1">IF(B26="","",IF($B$4="Apprenticeship",SUMIF(Points_Lookup!$AA:$AA,B26,Points_Lookup!$AC:$AC),IF(AND(OR($B$4="New Consultant Contract"),$B26&lt;&gt;""),INDEX(Points_Lookup!$K:$K,MATCH($B26,Points_Lookup!$J:$J,0)),IF(AND(OR($B$4="Clinical Lecturer / Medical Research Fellow",$B$4="Clinical Consultant - Old Contract (GP)"),$B26&lt;&gt;""),INDEX(Points_Lookup!$H:$H,MATCH($B26,Points_Lookup!$G:$G,0)),IF(AND(OR($B$4="APM Level 7",$B$4="R&amp;T Level 7",$B$4="APM Level 8"),B26&lt;&gt;""),INDEX(Points_Lookup!$E:$E,MATCH($Z26,Points_Lookup!$AE:$AE,0)),IF($B$4="R&amp;T Level 5 - Clinical Lecturers (Vet School)",SUMIF(Points_Lookup!$M:$M,$B26,Points_Lookup!$P:$P),IF($B$4="R&amp;T Level 6 - Clinical Associate Professors and Clinical Readers (Vet School)",SUMIF(Points_Lookup!$T:$T,$B26,Points_Lookup!$W:$W),IFERROR(INDEX(Points_Lookup!$B:$B,MATCH($Z26,Points_Lookup!$AE:$AE,0)),""))))))))</f>
        <v>23879</v>
      </c>
      <c r="D26" s="36"/>
      <c r="E26" s="25" t="str">
        <f ca="1">IF($B26="","",IF(AND($B$4="Salary Points 3 to 57",B26&lt;Thresholds_Rates!$C$16),"-",IF(SUMIF(Grades!$A:$A,$B$4,Grades!$BO:$BO)=0,"-",IF(AND($B$4="Salary Points 3 to 57",B26&gt;=Thresholds_Rates!$C$16),$C26*Thresholds_Rates!$F$15,IF(AND(OR($B$4="New Consultant Contract"),$B26&lt;&gt;""),$C26*Thresholds_Rates!$F$15,IF(AND(OR($B$4="Clinical Lecturer / Medical Research Fellow",$B$4="Clinical Consultant - Old Contract (GP)"),$B26&lt;&gt;""),$C26*Thresholds_Rates!$F$15,IF(OR($B$4="APM Level 7",$B$4="R&amp;T Level 7"),$C26*Thresholds_Rates!$F$15,IF(SUMIF(Grades!$A:$A,$B$4,Grades!$BO:$BO)=1,$C26*Thresholds_Rates!$F$15,""))))))))</f>
        <v>-</v>
      </c>
      <c r="F26" s="25" t="str">
        <f ca="1">IF(B26="","",IF($B$4="Salary Points 3 to 57","-",IF(SUMIF(Grades!$A:$A,$B$4,Grades!$BP:$BP)=0,"-",IF(AND(OR($B$4="New Consultant Contract"),$B26&lt;&gt;""),$C26*Thresholds_Rates!$F$16,IF(AND(OR($B$4="Clinical Lecturer / Medical Research Fellow",$B$4="Clinical Consultant - Old Contract (GP)"),$B26&lt;&gt;""),$C26*Thresholds_Rates!$F$16,IF(AND(OR($B$4="APM Level 7",$B$4="R&amp;T Level 7"),E26&lt;&gt;""),$C26*Thresholds_Rates!$F$16,IF(SUMIF(Grades!$A:$A,$B$4,Grades!$BP:$BP)=1,$C26*Thresholds_Rates!$F$16,"")))))))</f>
        <v>-</v>
      </c>
      <c r="G26" s="25">
        <f ca="1">IF($B$4="Apprenticeship","-",IF(B26="","",IF(SUMIF(Grades!$A:$A,$B$4,Grades!$BQ:$BQ)=0,"-",IF(AND($B$4="Salary Points 3 to 57",B26&gt;Thresholds_Rates!$C$17),"-",IF(AND($B$4="Salary Points 3 to 57",B26&lt;=Thresholds_Rates!$C$17),$C26*Thresholds_Rates!$F$17,IF(AND(OR($B$4="New Consultant Contract"),$B26&lt;&gt;""),$C26*Thresholds_Rates!$F$17,IF(AND(OR($B$4="Clinical Lecturer / Medical Research Fellow",$B$4="Clinical Consultant - Old Contract (GP)"),$B26&lt;&gt;""),$C26*Thresholds_Rates!$F$17,IF(AND(OR($B$4="APM Level 7",$B$4="R&amp;T Level 7"),F26&lt;&gt;""),$C26*Thresholds_Rates!$F$17,IF(SUMIF(Grades!$A:$A,$B$4,Grades!$BQ:$BQ)=1,$C26*Thresholds_Rates!$F$17,"")))))))))</f>
        <v>9312.81</v>
      </c>
      <c r="H26" s="25">
        <f ca="1">IF($B26="","",ROUND(($C26-(Thresholds_Rates!$C$5*12))*Thresholds_Rates!$C$10,0))</f>
        <v>2169</v>
      </c>
      <c r="I26" s="25">
        <f ca="1">IF(B26="","",(C26*Thresholds_Rates!$C$12))</f>
        <v>119.395</v>
      </c>
      <c r="J26" s="25">
        <f ca="1">IF(B26="","",IF(AND($B$4="Salary Points 3 to 57",B26&gt;Thresholds_Rates!$C$17),"-",IF(SUMIF(Grades!$A:$A,$B$4,Grades!$BR:$BR)=0,"-",IF(AND($B$4="Salary Points 3 to 57",B26&lt;=Thresholds_Rates!$C$17),$C26*Thresholds_Rates!$F$18,IF(AND(OR($B$4="New Consultant Contract"),$B26&lt;&gt;""),$C26*Thresholds_Rates!$F$18,IF(AND(OR($B$4="Clinical Lecturer / Medical Research Fellow",$B$4="Clinical Consultant - Old Contract (GP)"),$B26&lt;&gt;""),$C26*Thresholds_Rates!$F$18,IF(AND(OR($B$4="APM Level 7",$B$4="R&amp;T Level 7"),H26&lt;&gt;""),$C26*Thresholds_Rates!$F$18,IF(SUMIF(Grades!$A:$A,$B$4,Grades!$BQ:$BQ)=1,$C26*Thresholds_Rates!$F$18,""))))))))</f>
        <v>2387.9</v>
      </c>
      <c r="K26" s="4"/>
      <c r="L26" s="25" t="str">
        <f t="shared" ca="1" si="1"/>
        <v>-</v>
      </c>
      <c r="M26" s="25" t="str">
        <f t="shared" ca="1" si="2"/>
        <v>-</v>
      </c>
      <c r="N26" s="25">
        <f t="shared" ca="1" si="3"/>
        <v>35480.204999999994</v>
      </c>
      <c r="O26" s="25">
        <f t="shared" ca="1" si="4"/>
        <v>28555.295000000002</v>
      </c>
      <c r="P26" s="25">
        <f t="shared" ca="1" si="5"/>
        <v>26167.395</v>
      </c>
      <c r="R26" s="28" t="str">
        <f ca="1">IF(B26="","",IF($B$4="R&amp;T Level 5 - Clinical Lecturers (Vet School)",SUMIF(Points_Lookup!$M:$M,$B26,Points_Lookup!$N:$N),IF($B$4="R&amp;T Level 6 - Clinical Associate Professors and Clinical Readers (Vet School)",SUMIF(Points_Lookup!$T:$T,$B26,Points_Lookup!$U:$U),"")))</f>
        <v/>
      </c>
      <c r="S26" s="29" t="str">
        <f ca="1">IF(B26="","",IF($B$4="R&amp;T Level 5 - Clinical Lecturers (Vet School)",$C26-SUMIF(Points_Lookup!$M:$M,$B26,Points_Lookup!$O:$O),IF($B$4="R&amp;T Level 6 - Clinical Associate Professors and Clinical Readers (Vet School)",$C26-SUMIF(Points_Lookup!$T:$T,$B26,Points_Lookup!$V:$V),"")))</f>
        <v/>
      </c>
      <c r="T26" s="28" t="str">
        <f ca="1">IF(B26="","",IF($B$4="R&amp;T Level 5 - Clinical Lecturers (Vet School)",SUMIF(Points_Lookup!$M:$M,$B26,Points_Lookup!$Q:$Q),IF($B$4="R&amp;T Level 6 - Clinical Associate Professors and Clinical Readers (Vet School)",SUMIF(Points_Lookup!$T:$T,$B26,Points_Lookup!$X:$X),"")))</f>
        <v/>
      </c>
      <c r="U26" s="29" t="str">
        <f t="shared" ca="1" si="0"/>
        <v/>
      </c>
      <c r="Z26" s="26">
        <v>18</v>
      </c>
    </row>
    <row r="27" spans="2:26" x14ac:dyDescent="0.25">
      <c r="B27" s="4">
        <f ca="1">IFERROR(INDEX(Points_Lookup!$A:$A,MATCH($Z27,Points_Lookup!$AE:$AE,0)),"")</f>
        <v>21</v>
      </c>
      <c r="C27" s="25">
        <f ca="1">IF(B27="","",IF($B$4="Apprenticeship",SUMIF(Points_Lookup!$AA:$AA,B27,Points_Lookup!$AC:$AC),IF(AND(OR($B$4="New Consultant Contract"),$B27&lt;&gt;""),INDEX(Points_Lookup!$K:$K,MATCH($B27,Points_Lookup!$J:$J,0)),IF(AND(OR($B$4="Clinical Lecturer / Medical Research Fellow",$B$4="Clinical Consultant - Old Contract (GP)"),$B27&lt;&gt;""),INDEX(Points_Lookup!$H:$H,MATCH($B27,Points_Lookup!$G:$G,0)),IF(AND(OR($B$4="APM Level 7",$B$4="R&amp;T Level 7",$B$4="APM Level 8"),B27&lt;&gt;""),INDEX(Points_Lookup!$E:$E,MATCH($Z27,Points_Lookup!$AE:$AE,0)),IF($B$4="R&amp;T Level 5 - Clinical Lecturers (Vet School)",SUMIF(Points_Lookup!$M:$M,$B27,Points_Lookup!$P:$P),IF($B$4="R&amp;T Level 6 - Clinical Associate Professors and Clinical Readers (Vet School)",SUMIF(Points_Lookup!$T:$T,$B27,Points_Lookup!$W:$W),IFERROR(INDEX(Points_Lookup!$B:$B,MATCH($Z27,Points_Lookup!$AE:$AE,0)),""))))))))</f>
        <v>24565</v>
      </c>
      <c r="D27" s="36"/>
      <c r="E27" s="25" t="str">
        <f ca="1">IF($B27="","",IF(AND($B$4="Salary Points 3 to 57",B27&lt;Thresholds_Rates!$C$16),"-",IF(SUMIF(Grades!$A:$A,$B$4,Grades!$BO:$BO)=0,"-",IF(AND($B$4="Salary Points 3 to 57",B27&gt;=Thresholds_Rates!$C$16),$C27*Thresholds_Rates!$F$15,IF(AND(OR($B$4="New Consultant Contract"),$B27&lt;&gt;""),$C27*Thresholds_Rates!$F$15,IF(AND(OR($B$4="Clinical Lecturer / Medical Research Fellow",$B$4="Clinical Consultant - Old Contract (GP)"),$B27&lt;&gt;""),$C27*Thresholds_Rates!$F$15,IF(OR($B$4="APM Level 7",$B$4="R&amp;T Level 7"),$C27*Thresholds_Rates!$F$15,IF(SUMIF(Grades!$A:$A,$B$4,Grades!$BO:$BO)=1,$C27*Thresholds_Rates!$F$15,""))))))))</f>
        <v>-</v>
      </c>
      <c r="F27" s="25" t="str">
        <f ca="1">IF(B27="","",IF($B$4="Salary Points 3 to 57","-",IF(SUMIF(Grades!$A:$A,$B$4,Grades!$BP:$BP)=0,"-",IF(AND(OR($B$4="New Consultant Contract"),$B27&lt;&gt;""),$C27*Thresholds_Rates!$F$16,IF(AND(OR($B$4="Clinical Lecturer / Medical Research Fellow",$B$4="Clinical Consultant - Old Contract (GP)"),$B27&lt;&gt;""),$C27*Thresholds_Rates!$F$16,IF(AND(OR($B$4="APM Level 7",$B$4="R&amp;T Level 7"),E27&lt;&gt;""),$C27*Thresholds_Rates!$F$16,IF(SUMIF(Grades!$A:$A,$B$4,Grades!$BP:$BP)=1,$C27*Thresholds_Rates!$F$16,"")))))))</f>
        <v>-</v>
      </c>
      <c r="G27" s="25">
        <f ca="1">IF($B$4="Apprenticeship","-",IF(B27="","",IF(SUMIF(Grades!$A:$A,$B$4,Grades!$BQ:$BQ)=0,"-",IF(AND($B$4="Salary Points 3 to 57",B27&gt;Thresholds_Rates!$C$17),"-",IF(AND($B$4="Salary Points 3 to 57",B27&lt;=Thresholds_Rates!$C$17),$C27*Thresholds_Rates!$F$17,IF(AND(OR($B$4="New Consultant Contract"),$B27&lt;&gt;""),$C27*Thresholds_Rates!$F$17,IF(AND(OR($B$4="Clinical Lecturer / Medical Research Fellow",$B$4="Clinical Consultant - Old Contract (GP)"),$B27&lt;&gt;""),$C27*Thresholds_Rates!$F$17,IF(AND(OR($B$4="APM Level 7",$B$4="R&amp;T Level 7"),F27&lt;&gt;""),$C27*Thresholds_Rates!$F$17,IF(SUMIF(Grades!$A:$A,$B$4,Grades!$BQ:$BQ)=1,$C27*Thresholds_Rates!$F$17,"")))))))))</f>
        <v>9580.35</v>
      </c>
      <c r="H27" s="25">
        <f ca="1">IF($B27="","",ROUND(($C27-(Thresholds_Rates!$C$5*12))*Thresholds_Rates!$C$10,0))</f>
        <v>2264</v>
      </c>
      <c r="I27" s="25">
        <f ca="1">IF(B27="","",(C27*Thresholds_Rates!$C$12))</f>
        <v>122.825</v>
      </c>
      <c r="J27" s="25">
        <f ca="1">IF(B27="","",IF(AND($B$4="Salary Points 3 to 57",B27&gt;Thresholds_Rates!$C$17),"-",IF(SUMIF(Grades!$A:$A,$B$4,Grades!$BR:$BR)=0,"-",IF(AND($B$4="Salary Points 3 to 57",B27&lt;=Thresholds_Rates!$C$17),$C27*Thresholds_Rates!$F$18,IF(AND(OR($B$4="New Consultant Contract"),$B27&lt;&gt;""),$C27*Thresholds_Rates!$F$18,IF(AND(OR($B$4="Clinical Lecturer / Medical Research Fellow",$B$4="Clinical Consultant - Old Contract (GP)"),$B27&lt;&gt;""),$C27*Thresholds_Rates!$F$18,IF(AND(OR($B$4="APM Level 7",$B$4="R&amp;T Level 7"),H27&lt;&gt;""),$C27*Thresholds_Rates!$F$18,IF(SUMIF(Grades!$A:$A,$B$4,Grades!$BQ:$BQ)=1,$C27*Thresholds_Rates!$F$18,""))))))))</f>
        <v>2456.5</v>
      </c>
      <c r="K27" s="4"/>
      <c r="L27" s="25" t="str">
        <f t="shared" ca="1" si="1"/>
        <v>-</v>
      </c>
      <c r="M27" s="25" t="str">
        <f t="shared" ca="1" si="2"/>
        <v>-</v>
      </c>
      <c r="N27" s="25">
        <f t="shared" ca="1" si="3"/>
        <v>36532.174999999996</v>
      </c>
      <c r="O27" s="25">
        <f t="shared" ca="1" si="4"/>
        <v>29408.325000000001</v>
      </c>
      <c r="P27" s="25">
        <f t="shared" ca="1" si="5"/>
        <v>26951.825000000001</v>
      </c>
      <c r="R27" s="28" t="str">
        <f ca="1">IF(B27="","",IF($B$4="R&amp;T Level 5 - Clinical Lecturers (Vet School)",SUMIF(Points_Lookup!$M:$M,$B27,Points_Lookup!$N:$N),IF($B$4="R&amp;T Level 6 - Clinical Associate Professors and Clinical Readers (Vet School)",SUMIF(Points_Lookup!$T:$T,$B27,Points_Lookup!$U:$U),"")))</f>
        <v/>
      </c>
      <c r="S27" s="29" t="str">
        <f ca="1">IF(B27="","",IF($B$4="R&amp;T Level 5 - Clinical Lecturers (Vet School)",$C27-SUMIF(Points_Lookup!$M:$M,$B27,Points_Lookup!$O:$O),IF($B$4="R&amp;T Level 6 - Clinical Associate Professors and Clinical Readers (Vet School)",$C27-SUMIF(Points_Lookup!$T:$T,$B27,Points_Lookup!$V:$V),"")))</f>
        <v/>
      </c>
      <c r="T27" s="28" t="str">
        <f ca="1">IF(B27="","",IF($B$4="R&amp;T Level 5 - Clinical Lecturers (Vet School)",SUMIF(Points_Lookup!$M:$M,$B27,Points_Lookup!$Q:$Q),IF($B$4="R&amp;T Level 6 - Clinical Associate Professors and Clinical Readers (Vet School)",SUMIF(Points_Lookup!$T:$T,$B27,Points_Lookup!$X:$X),"")))</f>
        <v/>
      </c>
      <c r="U27" s="29" t="str">
        <f t="shared" ca="1" si="0"/>
        <v/>
      </c>
      <c r="Z27" s="26">
        <v>19</v>
      </c>
    </row>
    <row r="28" spans="2:26" x14ac:dyDescent="0.25">
      <c r="B28" s="4">
        <f ca="1">IFERROR(INDEX(Points_Lookup!$A:$A,MATCH($Z28,Points_Lookup!$AE:$AE,0)),"")</f>
        <v>22</v>
      </c>
      <c r="C28" s="25">
        <f ca="1">IF(B28="","",IF($B$4="Apprenticeship",SUMIF(Points_Lookup!$AA:$AA,B28,Points_Lookup!$AC:$AC),IF(AND(OR($B$4="New Consultant Contract"),$B28&lt;&gt;""),INDEX(Points_Lookup!$K:$K,MATCH($B28,Points_Lookup!$J:$J,0)),IF(AND(OR($B$4="Clinical Lecturer / Medical Research Fellow",$B$4="Clinical Consultant - Old Contract (GP)"),$B28&lt;&gt;""),INDEX(Points_Lookup!$H:$H,MATCH($B28,Points_Lookup!$G:$G,0)),IF(AND(OR($B$4="APM Level 7",$B$4="R&amp;T Level 7",$B$4="APM Level 8"),B28&lt;&gt;""),INDEX(Points_Lookup!$E:$E,MATCH($Z28,Points_Lookup!$AE:$AE,0)),IF($B$4="R&amp;T Level 5 - Clinical Lecturers (Vet School)",SUMIF(Points_Lookup!$M:$M,$B28,Points_Lookup!$P:$P),IF($B$4="R&amp;T Level 6 - Clinical Associate Professors and Clinical Readers (Vet School)",SUMIF(Points_Lookup!$T:$T,$B28,Points_Lookup!$W:$W),IFERROR(INDEX(Points_Lookup!$B:$B,MATCH($Z28,Points_Lookup!$AE:$AE,0)),""))))))))</f>
        <v>25298</v>
      </c>
      <c r="D28" s="36"/>
      <c r="E28" s="25" t="str">
        <f ca="1">IF($B28="","",IF(AND($B$4="Salary Points 3 to 57",B28&lt;Thresholds_Rates!$C$16),"-",IF(SUMIF(Grades!$A:$A,$B$4,Grades!$BO:$BO)=0,"-",IF(AND($B$4="Salary Points 3 to 57",B28&gt;=Thresholds_Rates!$C$16),$C28*Thresholds_Rates!$F$15,IF(AND(OR($B$4="New Consultant Contract"),$B28&lt;&gt;""),$C28*Thresholds_Rates!$F$15,IF(AND(OR($B$4="Clinical Lecturer / Medical Research Fellow",$B$4="Clinical Consultant - Old Contract (GP)"),$B28&lt;&gt;""),$C28*Thresholds_Rates!$F$15,IF(OR($B$4="APM Level 7",$B$4="R&amp;T Level 7"),$C28*Thresholds_Rates!$F$15,IF(SUMIF(Grades!$A:$A,$B$4,Grades!$BO:$BO)=1,$C28*Thresholds_Rates!$F$15,""))))))))</f>
        <v>-</v>
      </c>
      <c r="F28" s="25" t="str">
        <f ca="1">IF(B28="","",IF($B$4="Salary Points 3 to 57","-",IF(SUMIF(Grades!$A:$A,$B$4,Grades!$BP:$BP)=0,"-",IF(AND(OR($B$4="New Consultant Contract"),$B28&lt;&gt;""),$C28*Thresholds_Rates!$F$16,IF(AND(OR($B$4="Clinical Lecturer / Medical Research Fellow",$B$4="Clinical Consultant - Old Contract (GP)"),$B28&lt;&gt;""),$C28*Thresholds_Rates!$F$16,IF(AND(OR($B$4="APM Level 7",$B$4="R&amp;T Level 7"),E28&lt;&gt;""),$C28*Thresholds_Rates!$F$16,IF(SUMIF(Grades!$A:$A,$B$4,Grades!$BP:$BP)=1,$C28*Thresholds_Rates!$F$16,"")))))))</f>
        <v>-</v>
      </c>
      <c r="G28" s="25">
        <f ca="1">IF($B$4="Apprenticeship","-",IF(B28="","",IF(SUMIF(Grades!$A:$A,$B$4,Grades!$BQ:$BQ)=0,"-",IF(AND($B$4="Salary Points 3 to 57",B28&gt;Thresholds_Rates!$C$17),"-",IF(AND($B$4="Salary Points 3 to 57",B28&lt;=Thresholds_Rates!$C$17),$C28*Thresholds_Rates!$F$17,IF(AND(OR($B$4="New Consultant Contract"),$B28&lt;&gt;""),$C28*Thresholds_Rates!$F$17,IF(AND(OR($B$4="Clinical Lecturer / Medical Research Fellow",$B$4="Clinical Consultant - Old Contract (GP)"),$B28&lt;&gt;""),$C28*Thresholds_Rates!$F$17,IF(AND(OR($B$4="APM Level 7",$B$4="R&amp;T Level 7"),F28&lt;&gt;""),$C28*Thresholds_Rates!$F$17,IF(SUMIF(Grades!$A:$A,$B$4,Grades!$BQ:$BQ)=1,$C28*Thresholds_Rates!$F$17,"")))))))))</f>
        <v>9866.2200000000012</v>
      </c>
      <c r="H28" s="25">
        <f ca="1">IF($B28="","",ROUND(($C28-(Thresholds_Rates!$C$5*12))*Thresholds_Rates!$C$10,0))</f>
        <v>2365</v>
      </c>
      <c r="I28" s="25">
        <f ca="1">IF(B28="","",(C28*Thresholds_Rates!$C$12))</f>
        <v>126.49000000000001</v>
      </c>
      <c r="J28" s="25">
        <f ca="1">IF(B28="","",IF(AND($B$4="Salary Points 3 to 57",B28&gt;Thresholds_Rates!$C$17),"-",IF(SUMIF(Grades!$A:$A,$B$4,Grades!$BR:$BR)=0,"-",IF(AND($B$4="Salary Points 3 to 57",B28&lt;=Thresholds_Rates!$C$17),$C28*Thresholds_Rates!$F$18,IF(AND(OR($B$4="New Consultant Contract"),$B28&lt;&gt;""),$C28*Thresholds_Rates!$F$18,IF(AND(OR($B$4="Clinical Lecturer / Medical Research Fellow",$B$4="Clinical Consultant - Old Contract (GP)"),$B28&lt;&gt;""),$C28*Thresholds_Rates!$F$18,IF(AND(OR($B$4="APM Level 7",$B$4="R&amp;T Level 7"),H28&lt;&gt;""),$C28*Thresholds_Rates!$F$18,IF(SUMIF(Grades!$A:$A,$B$4,Grades!$BQ:$BQ)=1,$C28*Thresholds_Rates!$F$18,""))))))))</f>
        <v>2529.8000000000002</v>
      </c>
      <c r="K28" s="4"/>
      <c r="L28" s="25" t="str">
        <f t="shared" ca="1" si="1"/>
        <v>-</v>
      </c>
      <c r="M28" s="25" t="str">
        <f t="shared" ca="1" si="2"/>
        <v>-</v>
      </c>
      <c r="N28" s="25">
        <f t="shared" ca="1" si="3"/>
        <v>37655.71</v>
      </c>
      <c r="O28" s="25">
        <f t="shared" ca="1" si="4"/>
        <v>30319.29</v>
      </c>
      <c r="P28" s="25">
        <f t="shared" ca="1" si="5"/>
        <v>27789.49</v>
      </c>
      <c r="R28" s="28" t="str">
        <f ca="1">IF(B28="","",IF($B$4="R&amp;T Level 5 - Clinical Lecturers (Vet School)",SUMIF(Points_Lookup!$M:$M,$B28,Points_Lookup!$N:$N),IF($B$4="R&amp;T Level 6 - Clinical Associate Professors and Clinical Readers (Vet School)",SUMIF(Points_Lookup!$T:$T,$B28,Points_Lookup!$U:$U),"")))</f>
        <v/>
      </c>
      <c r="S28" s="29" t="str">
        <f ca="1">IF(B28="","",IF($B$4="R&amp;T Level 5 - Clinical Lecturers (Vet School)",$C28-SUMIF(Points_Lookup!$M:$M,$B28,Points_Lookup!$O:$O),IF($B$4="R&amp;T Level 6 - Clinical Associate Professors and Clinical Readers (Vet School)",$C28-SUMIF(Points_Lookup!$T:$T,$B28,Points_Lookup!$V:$V),"")))</f>
        <v/>
      </c>
      <c r="T28" s="28" t="str">
        <f ca="1">IF(B28="","",IF($B$4="R&amp;T Level 5 - Clinical Lecturers (Vet School)",SUMIF(Points_Lookup!$M:$M,$B28,Points_Lookup!$Q:$Q),IF($B$4="R&amp;T Level 6 - Clinical Associate Professors and Clinical Readers (Vet School)",SUMIF(Points_Lookup!$T:$T,$B28,Points_Lookup!$X:$X),"")))</f>
        <v/>
      </c>
      <c r="U28" s="29" t="str">
        <f t="shared" ca="1" si="0"/>
        <v/>
      </c>
      <c r="Z28" s="26">
        <v>20</v>
      </c>
    </row>
    <row r="29" spans="2:26" x14ac:dyDescent="0.25">
      <c r="B29" s="4">
        <f ca="1">IFERROR(INDEX(Points_Lookup!$A:$A,MATCH($Z29,Points_Lookup!$AE:$AE,0)),"")</f>
        <v>23</v>
      </c>
      <c r="C29" s="25">
        <f ca="1">IF(B29="","",IF($B$4="Apprenticeship",SUMIF(Points_Lookup!$AA:$AA,B29,Points_Lookup!$AC:$AC),IF(AND(OR($B$4="New Consultant Contract"),$B29&lt;&gt;""),INDEX(Points_Lookup!$K:$K,MATCH($B29,Points_Lookup!$J:$J,0)),IF(AND(OR($B$4="Clinical Lecturer / Medical Research Fellow",$B$4="Clinical Consultant - Old Contract (GP)"),$B29&lt;&gt;""),INDEX(Points_Lookup!$H:$H,MATCH($B29,Points_Lookup!$G:$G,0)),IF(AND(OR($B$4="APM Level 7",$B$4="R&amp;T Level 7",$B$4="APM Level 8"),B29&lt;&gt;""),INDEX(Points_Lookup!$E:$E,MATCH($Z29,Points_Lookup!$AE:$AE,0)),IF($B$4="R&amp;T Level 5 - Clinical Lecturers (Vet School)",SUMIF(Points_Lookup!$M:$M,$B29,Points_Lookup!$P:$P),IF($B$4="R&amp;T Level 6 - Clinical Associate Professors and Clinical Readers (Vet School)",SUMIF(Points_Lookup!$T:$T,$B29,Points_Lookup!$W:$W),IFERROR(INDEX(Points_Lookup!$B:$B,MATCH($Z29,Points_Lookup!$AE:$AE,0)),""))))))))</f>
        <v>26052</v>
      </c>
      <c r="D29" s="36"/>
      <c r="E29" s="25">
        <f ca="1">IF($B29="","",IF(AND($B$4="Salary Points 3 to 57",B29&lt;Thresholds_Rates!$C$16),"-",IF(SUMIF(Grades!$A:$A,$B$4,Grades!$BO:$BO)=0,"-",IF(AND($B$4="Salary Points 3 to 57",B29&gt;=Thresholds_Rates!$C$16),$C29*Thresholds_Rates!$F$15,IF(AND(OR($B$4="New Consultant Contract"),$B29&lt;&gt;""),$C29*Thresholds_Rates!$F$15,IF(AND(OR($B$4="Clinical Lecturer / Medical Research Fellow",$B$4="Clinical Consultant - Old Contract (GP)"),$B29&lt;&gt;""),$C29*Thresholds_Rates!$F$15,IF(OR($B$4="APM Level 7",$B$4="R&amp;T Level 7"),$C29*Thresholds_Rates!$F$15,IF(SUMIF(Grades!$A:$A,$B$4,Grades!$BO:$BO)=1,$C29*Thresholds_Rates!$F$15,""))))))))</f>
        <v>4689.3599999999997</v>
      </c>
      <c r="F29" s="25" t="str">
        <f ca="1">IF(B29="","",IF($B$4="Salary Points 3 to 57","-",IF(SUMIF(Grades!$A:$A,$B$4,Grades!$BP:$BP)=0,"-",IF(AND(OR($B$4="New Consultant Contract"),$B29&lt;&gt;""),$C29*Thresholds_Rates!$F$16,IF(AND(OR($B$4="Clinical Lecturer / Medical Research Fellow",$B$4="Clinical Consultant - Old Contract (GP)"),$B29&lt;&gt;""),$C29*Thresholds_Rates!$F$16,IF(AND(OR($B$4="APM Level 7",$B$4="R&amp;T Level 7"),E29&lt;&gt;""),$C29*Thresholds_Rates!$F$16,IF(SUMIF(Grades!$A:$A,$B$4,Grades!$BP:$BP)=1,$C29*Thresholds_Rates!$F$16,"")))))))</f>
        <v>-</v>
      </c>
      <c r="G29" s="25">
        <f ca="1">IF($B$4="Apprenticeship","-",IF(B29="","",IF(SUMIF(Grades!$A:$A,$B$4,Grades!$BQ:$BQ)=0,"-",IF(AND($B$4="Salary Points 3 to 57",B29&gt;Thresholds_Rates!$C$17),"-",IF(AND($B$4="Salary Points 3 to 57",B29&lt;=Thresholds_Rates!$C$17),$C29*Thresholds_Rates!$F$17,IF(AND(OR($B$4="New Consultant Contract"),$B29&lt;&gt;""),$C29*Thresholds_Rates!$F$17,IF(AND(OR($B$4="Clinical Lecturer / Medical Research Fellow",$B$4="Clinical Consultant - Old Contract (GP)"),$B29&lt;&gt;""),$C29*Thresholds_Rates!$F$17,IF(AND(OR($B$4="APM Level 7",$B$4="R&amp;T Level 7"),F29&lt;&gt;""),$C29*Thresholds_Rates!$F$17,IF(SUMIF(Grades!$A:$A,$B$4,Grades!$BQ:$BQ)=1,$C29*Thresholds_Rates!$F$17,"")))))))))</f>
        <v>10160.280000000001</v>
      </c>
      <c r="H29" s="25">
        <f ca="1">IF($B29="","",ROUND(($C29-(Thresholds_Rates!$C$5*12))*Thresholds_Rates!$C$10,0))</f>
        <v>2469</v>
      </c>
      <c r="I29" s="25">
        <f ca="1">IF(B29="","",(C29*Thresholds_Rates!$C$12))</f>
        <v>130.26</v>
      </c>
      <c r="J29" s="25">
        <f ca="1">IF(B29="","",IF(AND($B$4="Salary Points 3 to 57",B29&gt;Thresholds_Rates!$C$17),"-",IF(SUMIF(Grades!$A:$A,$B$4,Grades!$BR:$BR)=0,"-",IF(AND($B$4="Salary Points 3 to 57",B29&lt;=Thresholds_Rates!$C$17),$C29*Thresholds_Rates!$F$18,IF(AND(OR($B$4="New Consultant Contract"),$B29&lt;&gt;""),$C29*Thresholds_Rates!$F$18,IF(AND(OR($B$4="Clinical Lecturer / Medical Research Fellow",$B$4="Clinical Consultant - Old Contract (GP)"),$B29&lt;&gt;""),$C29*Thresholds_Rates!$F$18,IF(AND(OR($B$4="APM Level 7",$B$4="R&amp;T Level 7"),H29&lt;&gt;""),$C29*Thresholds_Rates!$F$18,IF(SUMIF(Grades!$A:$A,$B$4,Grades!$BQ:$BQ)=1,$C29*Thresholds_Rates!$F$18,""))))))))</f>
        <v>2605.2000000000003</v>
      </c>
      <c r="K29" s="4"/>
      <c r="L29" s="25">
        <f t="shared" ca="1" si="1"/>
        <v>33340.620000000003</v>
      </c>
      <c r="M29" s="25" t="str">
        <f t="shared" ca="1" si="2"/>
        <v>-</v>
      </c>
      <c r="N29" s="25">
        <f t="shared" ca="1" si="3"/>
        <v>38811.54</v>
      </c>
      <c r="O29" s="25">
        <f t="shared" ca="1" si="4"/>
        <v>31256.46</v>
      </c>
      <c r="P29" s="25">
        <f t="shared" ca="1" si="5"/>
        <v>28651.26</v>
      </c>
      <c r="R29" s="28" t="str">
        <f ca="1">IF(B29="","",IF($B$4="R&amp;T Level 5 - Clinical Lecturers (Vet School)",SUMIF(Points_Lookup!$M:$M,$B29,Points_Lookup!$N:$N),IF($B$4="R&amp;T Level 6 - Clinical Associate Professors and Clinical Readers (Vet School)",SUMIF(Points_Lookup!$T:$T,$B29,Points_Lookup!$U:$U),"")))</f>
        <v/>
      </c>
      <c r="S29" s="29" t="str">
        <f ca="1">IF(B29="","",IF($B$4="R&amp;T Level 5 - Clinical Lecturers (Vet School)",$C29-SUMIF(Points_Lookup!$M:$M,$B29,Points_Lookup!$O:$O),IF($B$4="R&amp;T Level 6 - Clinical Associate Professors and Clinical Readers (Vet School)",$C29-SUMIF(Points_Lookup!$T:$T,$B29,Points_Lookup!$V:$V),"")))</f>
        <v/>
      </c>
      <c r="T29" s="28" t="str">
        <f ca="1">IF(B29="","",IF($B$4="R&amp;T Level 5 - Clinical Lecturers (Vet School)",SUMIF(Points_Lookup!$M:$M,$B29,Points_Lookup!$Q:$Q),IF($B$4="R&amp;T Level 6 - Clinical Associate Professors and Clinical Readers (Vet School)",SUMIF(Points_Lookup!$T:$T,$B29,Points_Lookup!$X:$X),"")))</f>
        <v/>
      </c>
      <c r="U29" s="29" t="str">
        <f t="shared" ca="1" si="0"/>
        <v/>
      </c>
      <c r="Z29" s="26">
        <v>21</v>
      </c>
    </row>
    <row r="30" spans="2:26" x14ac:dyDescent="0.25">
      <c r="B30" s="4">
        <f ca="1">IFERROR(INDEX(Points_Lookup!$A:$A,MATCH($Z30,Points_Lookup!$AE:$AE,0)),"")</f>
        <v>24</v>
      </c>
      <c r="C30" s="25">
        <f ca="1">IF(B30="","",IF($B$4="Apprenticeship",SUMIF(Points_Lookup!$AA:$AA,B30,Points_Lookup!$AC:$AC),IF(AND(OR($B$4="New Consultant Contract"),$B30&lt;&gt;""),INDEX(Points_Lookup!$K:$K,MATCH($B30,Points_Lookup!$J:$J,0)),IF(AND(OR($B$4="Clinical Lecturer / Medical Research Fellow",$B$4="Clinical Consultant - Old Contract (GP)"),$B30&lt;&gt;""),INDEX(Points_Lookup!$H:$H,MATCH($B30,Points_Lookup!$G:$G,0)),IF(AND(OR($B$4="APM Level 7",$B$4="R&amp;T Level 7",$B$4="APM Level 8"),B30&lt;&gt;""),INDEX(Points_Lookup!$E:$E,MATCH($Z30,Points_Lookup!$AE:$AE,0)),IF($B$4="R&amp;T Level 5 - Clinical Lecturers (Vet School)",SUMIF(Points_Lookup!$M:$M,$B30,Points_Lookup!$P:$P),IF($B$4="R&amp;T Level 6 - Clinical Associate Professors and Clinical Readers (Vet School)",SUMIF(Points_Lookup!$T:$T,$B30,Points_Lookup!$W:$W),IFERROR(INDEX(Points_Lookup!$B:$B,MATCH($Z30,Points_Lookup!$AE:$AE,0)),""))))))))</f>
        <v>26829</v>
      </c>
      <c r="D30" s="36"/>
      <c r="E30" s="25">
        <f ca="1">IF($B30="","",IF(AND($B$4="Salary Points 3 to 57",B30&lt;Thresholds_Rates!$C$16),"-",IF(SUMIF(Grades!$A:$A,$B$4,Grades!$BO:$BO)=0,"-",IF(AND($B$4="Salary Points 3 to 57",B30&gt;=Thresholds_Rates!$C$16),$C30*Thresholds_Rates!$F$15,IF(AND(OR($B$4="New Consultant Contract"),$B30&lt;&gt;""),$C30*Thresholds_Rates!$F$15,IF(AND(OR($B$4="Clinical Lecturer / Medical Research Fellow",$B$4="Clinical Consultant - Old Contract (GP)"),$B30&lt;&gt;""),$C30*Thresholds_Rates!$F$15,IF(OR($B$4="APM Level 7",$B$4="R&amp;T Level 7"),$C30*Thresholds_Rates!$F$15,IF(SUMIF(Grades!$A:$A,$B$4,Grades!$BO:$BO)=1,$C30*Thresholds_Rates!$F$15,""))))))))</f>
        <v>4829.22</v>
      </c>
      <c r="F30" s="25" t="str">
        <f ca="1">IF(B30="","",IF($B$4="Salary Points 3 to 57","-",IF(SUMIF(Grades!$A:$A,$B$4,Grades!$BP:$BP)=0,"-",IF(AND(OR($B$4="New Consultant Contract"),$B30&lt;&gt;""),$C30*Thresholds_Rates!$F$16,IF(AND(OR($B$4="Clinical Lecturer / Medical Research Fellow",$B$4="Clinical Consultant - Old Contract (GP)"),$B30&lt;&gt;""),$C30*Thresholds_Rates!$F$16,IF(AND(OR($B$4="APM Level 7",$B$4="R&amp;T Level 7"),E30&lt;&gt;""),$C30*Thresholds_Rates!$F$16,IF(SUMIF(Grades!$A:$A,$B$4,Grades!$BP:$BP)=1,$C30*Thresholds_Rates!$F$16,"")))))))</f>
        <v>-</v>
      </c>
      <c r="G30" s="25">
        <f ca="1">IF($B$4="Apprenticeship","-",IF(B30="","",IF(SUMIF(Grades!$A:$A,$B$4,Grades!$BQ:$BQ)=0,"-",IF(AND($B$4="Salary Points 3 to 57",B30&gt;Thresholds_Rates!$C$17),"-",IF(AND($B$4="Salary Points 3 to 57",B30&lt;=Thresholds_Rates!$C$17),$C30*Thresholds_Rates!$F$17,IF(AND(OR($B$4="New Consultant Contract"),$B30&lt;&gt;""),$C30*Thresholds_Rates!$F$17,IF(AND(OR($B$4="Clinical Lecturer / Medical Research Fellow",$B$4="Clinical Consultant - Old Contract (GP)"),$B30&lt;&gt;""),$C30*Thresholds_Rates!$F$17,IF(AND(OR($B$4="APM Level 7",$B$4="R&amp;T Level 7"),F30&lt;&gt;""),$C30*Thresholds_Rates!$F$17,IF(SUMIF(Grades!$A:$A,$B$4,Grades!$BQ:$BQ)=1,$C30*Thresholds_Rates!$F$17,"")))))))))</f>
        <v>10463.31</v>
      </c>
      <c r="H30" s="25">
        <f ca="1">IF($B30="","",ROUND(($C30-(Thresholds_Rates!$C$5*12))*Thresholds_Rates!$C$10,0))</f>
        <v>2576</v>
      </c>
      <c r="I30" s="25">
        <f ca="1">IF(B30="","",(C30*Thresholds_Rates!$C$12))</f>
        <v>134.14500000000001</v>
      </c>
      <c r="J30" s="25">
        <f ca="1">IF(B30="","",IF(AND($B$4="Salary Points 3 to 57",B30&gt;Thresholds_Rates!$C$17),"-",IF(SUMIF(Grades!$A:$A,$B$4,Grades!$BR:$BR)=0,"-",IF(AND($B$4="Salary Points 3 to 57",B30&lt;=Thresholds_Rates!$C$17),$C30*Thresholds_Rates!$F$18,IF(AND(OR($B$4="New Consultant Contract"),$B30&lt;&gt;""),$C30*Thresholds_Rates!$F$18,IF(AND(OR($B$4="Clinical Lecturer / Medical Research Fellow",$B$4="Clinical Consultant - Old Contract (GP)"),$B30&lt;&gt;""),$C30*Thresholds_Rates!$F$18,IF(AND(OR($B$4="APM Level 7",$B$4="R&amp;T Level 7"),H30&lt;&gt;""),$C30*Thresholds_Rates!$F$18,IF(SUMIF(Grades!$A:$A,$B$4,Grades!$BQ:$BQ)=1,$C30*Thresholds_Rates!$F$18,""))))))))</f>
        <v>2682.9</v>
      </c>
      <c r="K30" s="4"/>
      <c r="L30" s="25">
        <f t="shared" ca="1" si="1"/>
        <v>34368.364999999998</v>
      </c>
      <c r="M30" s="25" t="str">
        <f t="shared" ca="1" si="2"/>
        <v>-</v>
      </c>
      <c r="N30" s="25">
        <f t="shared" ca="1" si="3"/>
        <v>40002.454999999994</v>
      </c>
      <c r="O30" s="25">
        <f t="shared" ca="1" si="4"/>
        <v>32222.045000000002</v>
      </c>
      <c r="P30" s="25">
        <f t="shared" ca="1" si="5"/>
        <v>29539.145</v>
      </c>
      <c r="R30" s="28" t="str">
        <f ca="1">IF(B30="","",IF($B$4="R&amp;T Level 5 - Clinical Lecturers (Vet School)",SUMIF(Points_Lookup!$M:$M,$B30,Points_Lookup!$N:$N),IF($B$4="R&amp;T Level 6 - Clinical Associate Professors and Clinical Readers (Vet School)",SUMIF(Points_Lookup!$T:$T,$B30,Points_Lookup!$U:$U),"")))</f>
        <v/>
      </c>
      <c r="S30" s="29" t="str">
        <f ca="1">IF(B30="","",IF($B$4="R&amp;T Level 5 - Clinical Lecturers (Vet School)",$C30-SUMIF(Points_Lookup!$M:$M,$B30,Points_Lookup!$O:$O),IF($B$4="R&amp;T Level 6 - Clinical Associate Professors and Clinical Readers (Vet School)",$C30-SUMIF(Points_Lookup!$T:$T,$B30,Points_Lookup!$V:$V),"")))</f>
        <v/>
      </c>
      <c r="T30" s="28" t="str">
        <f ca="1">IF(B30="","",IF($B$4="R&amp;T Level 5 - Clinical Lecturers (Vet School)",SUMIF(Points_Lookup!$M:$M,$B30,Points_Lookup!$Q:$Q),IF($B$4="R&amp;T Level 6 - Clinical Associate Professors and Clinical Readers (Vet School)",SUMIF(Points_Lookup!$T:$T,$B30,Points_Lookup!$X:$X),"")))</f>
        <v/>
      </c>
      <c r="U30" s="29" t="str">
        <f t="shared" ca="1" si="0"/>
        <v/>
      </c>
      <c r="Z30" s="26">
        <v>22</v>
      </c>
    </row>
    <row r="31" spans="2:26" x14ac:dyDescent="0.25">
      <c r="B31" s="4">
        <f ca="1">IFERROR(INDEX(Points_Lookup!$A:$A,MATCH($Z31,Points_Lookup!$AE:$AE,0)),"")</f>
        <v>25</v>
      </c>
      <c r="C31" s="25">
        <f ca="1">IF(B31="","",IF($B$4="Apprenticeship",SUMIF(Points_Lookup!$AA:$AA,B31,Points_Lookup!$AC:$AC),IF(AND(OR($B$4="New Consultant Contract"),$B31&lt;&gt;""),INDEX(Points_Lookup!$K:$K,MATCH($B31,Points_Lookup!$J:$J,0)),IF(AND(OR($B$4="Clinical Lecturer / Medical Research Fellow",$B$4="Clinical Consultant - Old Contract (GP)"),$B31&lt;&gt;""),INDEX(Points_Lookup!$H:$H,MATCH($B31,Points_Lookup!$G:$G,0)),IF(AND(OR($B$4="APM Level 7",$B$4="R&amp;T Level 7",$B$4="APM Level 8"),B31&lt;&gt;""),INDEX(Points_Lookup!$E:$E,MATCH($Z31,Points_Lookup!$AE:$AE,0)),IF($B$4="R&amp;T Level 5 - Clinical Lecturers (Vet School)",SUMIF(Points_Lookup!$M:$M,$B31,Points_Lookup!$P:$P),IF($B$4="R&amp;T Level 6 - Clinical Associate Professors and Clinical Readers (Vet School)",SUMIF(Points_Lookup!$T:$T,$B31,Points_Lookup!$W:$W),IFERROR(INDEX(Points_Lookup!$B:$B,MATCH($Z31,Points_Lookup!$AE:$AE,0)),""))))))))</f>
        <v>27629</v>
      </c>
      <c r="D31" s="36"/>
      <c r="E31" s="25">
        <f ca="1">IF($B31="","",IF(AND($B$4="Salary Points 3 to 57",B31&lt;Thresholds_Rates!$C$16),"-",IF(SUMIF(Grades!$A:$A,$B$4,Grades!$BO:$BO)=0,"-",IF(AND($B$4="Salary Points 3 to 57",B31&gt;=Thresholds_Rates!$C$16),$C31*Thresholds_Rates!$F$15,IF(AND(OR($B$4="New Consultant Contract"),$B31&lt;&gt;""),$C31*Thresholds_Rates!$F$15,IF(AND(OR($B$4="Clinical Lecturer / Medical Research Fellow",$B$4="Clinical Consultant - Old Contract (GP)"),$B31&lt;&gt;""),$C31*Thresholds_Rates!$F$15,IF(OR($B$4="APM Level 7",$B$4="R&amp;T Level 7"),$C31*Thresholds_Rates!$F$15,IF(SUMIF(Grades!$A:$A,$B$4,Grades!$BO:$BO)=1,$C31*Thresholds_Rates!$F$15,""))))))))</f>
        <v>4973.22</v>
      </c>
      <c r="F31" s="25" t="str">
        <f ca="1">IF(B31="","",IF($B$4="Salary Points 3 to 57","-",IF(SUMIF(Grades!$A:$A,$B$4,Grades!$BP:$BP)=0,"-",IF(AND(OR($B$4="New Consultant Contract"),$B31&lt;&gt;""),$C31*Thresholds_Rates!$F$16,IF(AND(OR($B$4="Clinical Lecturer / Medical Research Fellow",$B$4="Clinical Consultant - Old Contract (GP)"),$B31&lt;&gt;""),$C31*Thresholds_Rates!$F$16,IF(AND(OR($B$4="APM Level 7",$B$4="R&amp;T Level 7"),E31&lt;&gt;""),$C31*Thresholds_Rates!$F$16,IF(SUMIF(Grades!$A:$A,$B$4,Grades!$BP:$BP)=1,$C31*Thresholds_Rates!$F$16,"")))))))</f>
        <v>-</v>
      </c>
      <c r="G31" s="25">
        <f ca="1">IF($B$4="Apprenticeship","-",IF(B31="","",IF(SUMIF(Grades!$A:$A,$B$4,Grades!$BQ:$BQ)=0,"-",IF(AND($B$4="Salary Points 3 to 57",B31&gt;Thresholds_Rates!$C$17),"-",IF(AND($B$4="Salary Points 3 to 57",B31&lt;=Thresholds_Rates!$C$17),$C31*Thresholds_Rates!$F$17,IF(AND(OR($B$4="New Consultant Contract"),$B31&lt;&gt;""),$C31*Thresholds_Rates!$F$17,IF(AND(OR($B$4="Clinical Lecturer / Medical Research Fellow",$B$4="Clinical Consultant - Old Contract (GP)"),$B31&lt;&gt;""),$C31*Thresholds_Rates!$F$17,IF(AND(OR($B$4="APM Level 7",$B$4="R&amp;T Level 7"),F31&lt;&gt;""),$C31*Thresholds_Rates!$F$17,IF(SUMIF(Grades!$A:$A,$B$4,Grades!$BQ:$BQ)=1,$C31*Thresholds_Rates!$F$17,"")))))))))</f>
        <v>10775.31</v>
      </c>
      <c r="H31" s="25">
        <f ca="1">IF($B31="","",ROUND(($C31-(Thresholds_Rates!$C$5*12))*Thresholds_Rates!$C$10,0))</f>
        <v>2687</v>
      </c>
      <c r="I31" s="25">
        <f ca="1">IF(B31="","",(C31*Thresholds_Rates!$C$12))</f>
        <v>138.14500000000001</v>
      </c>
      <c r="J31" s="25">
        <f ca="1">IF(B31="","",IF(AND($B$4="Salary Points 3 to 57",B31&gt;Thresholds_Rates!$C$17),"-",IF(SUMIF(Grades!$A:$A,$B$4,Grades!$BR:$BR)=0,"-",IF(AND($B$4="Salary Points 3 to 57",B31&lt;=Thresholds_Rates!$C$17),$C31*Thresholds_Rates!$F$18,IF(AND(OR($B$4="New Consultant Contract"),$B31&lt;&gt;""),$C31*Thresholds_Rates!$F$18,IF(AND(OR($B$4="Clinical Lecturer / Medical Research Fellow",$B$4="Clinical Consultant - Old Contract (GP)"),$B31&lt;&gt;""),$C31*Thresholds_Rates!$F$18,IF(AND(OR($B$4="APM Level 7",$B$4="R&amp;T Level 7"),H31&lt;&gt;""),$C31*Thresholds_Rates!$F$18,IF(SUMIF(Grades!$A:$A,$B$4,Grades!$BQ:$BQ)=1,$C31*Thresholds_Rates!$F$18,""))))))))</f>
        <v>2762.9</v>
      </c>
      <c r="K31" s="4"/>
      <c r="L31" s="25">
        <f t="shared" ca="1" si="1"/>
        <v>35427.364999999998</v>
      </c>
      <c r="M31" s="25" t="str">
        <f t="shared" ca="1" si="2"/>
        <v>-</v>
      </c>
      <c r="N31" s="25">
        <f t="shared" ca="1" si="3"/>
        <v>41229.454999999994</v>
      </c>
      <c r="O31" s="25">
        <f t="shared" ca="1" si="4"/>
        <v>33217.044999999998</v>
      </c>
      <c r="P31" s="25">
        <f t="shared" ca="1" si="5"/>
        <v>30454.145</v>
      </c>
      <c r="R31" s="28" t="str">
        <f ca="1">IF(B31="","",IF($B$4="R&amp;T Level 5 - Clinical Lecturers (Vet School)",SUMIF(Points_Lookup!$M:$M,$B31,Points_Lookup!$N:$N),IF($B$4="R&amp;T Level 6 - Clinical Associate Professors and Clinical Readers (Vet School)",SUMIF(Points_Lookup!$T:$T,$B31,Points_Lookup!$U:$U),"")))</f>
        <v/>
      </c>
      <c r="S31" s="29" t="str">
        <f ca="1">IF(B31="","",IF($B$4="R&amp;T Level 5 - Clinical Lecturers (Vet School)",$C31-SUMIF(Points_Lookup!$M:$M,$B31,Points_Lookup!$O:$O),IF($B$4="R&amp;T Level 6 - Clinical Associate Professors and Clinical Readers (Vet School)",$C31-SUMIF(Points_Lookup!$T:$T,$B31,Points_Lookup!$V:$V),"")))</f>
        <v/>
      </c>
      <c r="T31" s="28" t="str">
        <f ca="1">IF(B31="","",IF($B$4="R&amp;T Level 5 - Clinical Lecturers (Vet School)",SUMIF(Points_Lookup!$M:$M,$B31,Points_Lookup!$Q:$Q),IF($B$4="R&amp;T Level 6 - Clinical Associate Professors and Clinical Readers (Vet School)",SUMIF(Points_Lookup!$T:$T,$B31,Points_Lookup!$X:$X),"")))</f>
        <v/>
      </c>
      <c r="U31" s="29" t="str">
        <f t="shared" ca="1" si="0"/>
        <v/>
      </c>
      <c r="Z31" s="26">
        <v>23</v>
      </c>
    </row>
    <row r="32" spans="2:26" x14ac:dyDescent="0.25">
      <c r="B32" s="4">
        <f ca="1">IFERROR(INDEX(Points_Lookup!$A:$A,MATCH($Z32,Points_Lookup!$AE:$AE,0)),"")</f>
        <v>26</v>
      </c>
      <c r="C32" s="25">
        <f ca="1">IF(B32="","",IF($B$4="Apprenticeship",SUMIF(Points_Lookup!$AA:$AA,B32,Points_Lookup!$AC:$AC),IF(AND(OR($B$4="New Consultant Contract"),$B32&lt;&gt;""),INDEX(Points_Lookup!$K:$K,MATCH($B32,Points_Lookup!$J:$J,0)),IF(AND(OR($B$4="Clinical Lecturer / Medical Research Fellow",$B$4="Clinical Consultant - Old Contract (GP)"),$B32&lt;&gt;""),INDEX(Points_Lookup!$H:$H,MATCH($B32,Points_Lookup!$G:$G,0)),IF(AND(OR($B$4="APM Level 7",$B$4="R&amp;T Level 7",$B$4="APM Level 8"),B32&lt;&gt;""),INDEX(Points_Lookup!$E:$E,MATCH($Z32,Points_Lookup!$AE:$AE,0)),IF($B$4="R&amp;T Level 5 - Clinical Lecturers (Vet School)",SUMIF(Points_Lookup!$M:$M,$B32,Points_Lookup!$P:$P),IF($B$4="R&amp;T Level 6 - Clinical Associate Professors and Clinical Readers (Vet School)",SUMIF(Points_Lookup!$T:$T,$B32,Points_Lookup!$W:$W),IFERROR(INDEX(Points_Lookup!$B:$B,MATCH($Z32,Points_Lookup!$AE:$AE,0)),""))))))))</f>
        <v>28452</v>
      </c>
      <c r="D32" s="36"/>
      <c r="E32" s="25">
        <f ca="1">IF($B32="","",IF(AND($B$4="Salary Points 3 to 57",B32&lt;Thresholds_Rates!$C$16),"-",IF(SUMIF(Grades!$A:$A,$B$4,Grades!$BO:$BO)=0,"-",IF(AND($B$4="Salary Points 3 to 57",B32&gt;=Thresholds_Rates!$C$16),$C32*Thresholds_Rates!$F$15,IF(AND(OR($B$4="New Consultant Contract"),$B32&lt;&gt;""),$C32*Thresholds_Rates!$F$15,IF(AND(OR($B$4="Clinical Lecturer / Medical Research Fellow",$B$4="Clinical Consultant - Old Contract (GP)"),$B32&lt;&gt;""),$C32*Thresholds_Rates!$F$15,IF(OR($B$4="APM Level 7",$B$4="R&amp;T Level 7"),$C32*Thresholds_Rates!$F$15,IF(SUMIF(Grades!$A:$A,$B$4,Grades!$BO:$BO)=1,$C32*Thresholds_Rates!$F$15,""))))))))</f>
        <v>5121.3599999999997</v>
      </c>
      <c r="F32" s="25" t="str">
        <f ca="1">IF(B32="","",IF($B$4="Salary Points 3 to 57","-",IF(SUMIF(Grades!$A:$A,$B$4,Grades!$BP:$BP)=0,"-",IF(AND(OR($B$4="New Consultant Contract"),$B32&lt;&gt;""),$C32*Thresholds_Rates!$F$16,IF(AND(OR($B$4="Clinical Lecturer / Medical Research Fellow",$B$4="Clinical Consultant - Old Contract (GP)"),$B32&lt;&gt;""),$C32*Thresholds_Rates!$F$16,IF(AND(OR($B$4="APM Level 7",$B$4="R&amp;T Level 7"),E32&lt;&gt;""),$C32*Thresholds_Rates!$F$16,IF(SUMIF(Grades!$A:$A,$B$4,Grades!$BP:$BP)=1,$C32*Thresholds_Rates!$F$16,"")))))))</f>
        <v>-</v>
      </c>
      <c r="G32" s="25">
        <f ca="1">IF($B$4="Apprenticeship","-",IF(B32="","",IF(SUMIF(Grades!$A:$A,$B$4,Grades!$BQ:$BQ)=0,"-",IF(AND($B$4="Salary Points 3 to 57",B32&gt;Thresholds_Rates!$C$17),"-",IF(AND($B$4="Salary Points 3 to 57",B32&lt;=Thresholds_Rates!$C$17),$C32*Thresholds_Rates!$F$17,IF(AND(OR($B$4="New Consultant Contract"),$B32&lt;&gt;""),$C32*Thresholds_Rates!$F$17,IF(AND(OR($B$4="Clinical Lecturer / Medical Research Fellow",$B$4="Clinical Consultant - Old Contract (GP)"),$B32&lt;&gt;""),$C32*Thresholds_Rates!$F$17,IF(AND(OR($B$4="APM Level 7",$B$4="R&amp;T Level 7"),F32&lt;&gt;""),$C32*Thresholds_Rates!$F$17,IF(SUMIF(Grades!$A:$A,$B$4,Grades!$BQ:$BQ)=1,$C32*Thresholds_Rates!$F$17,"")))))))))</f>
        <v>11096.28</v>
      </c>
      <c r="H32" s="25">
        <f ca="1">IF($B32="","",ROUND(($C32-(Thresholds_Rates!$C$5*12))*Thresholds_Rates!$C$10,0))</f>
        <v>2800</v>
      </c>
      <c r="I32" s="25">
        <f ca="1">IF(B32="","",(C32*Thresholds_Rates!$C$12))</f>
        <v>142.26</v>
      </c>
      <c r="J32" s="25">
        <f ca="1">IF(B32="","",IF(AND($B$4="Salary Points 3 to 57",B32&gt;Thresholds_Rates!$C$17),"-",IF(SUMIF(Grades!$A:$A,$B$4,Grades!$BR:$BR)=0,"-",IF(AND($B$4="Salary Points 3 to 57",B32&lt;=Thresholds_Rates!$C$17),$C32*Thresholds_Rates!$F$18,IF(AND(OR($B$4="New Consultant Contract"),$B32&lt;&gt;""),$C32*Thresholds_Rates!$F$18,IF(AND(OR($B$4="Clinical Lecturer / Medical Research Fellow",$B$4="Clinical Consultant - Old Contract (GP)"),$B32&lt;&gt;""),$C32*Thresholds_Rates!$F$18,IF(AND(OR($B$4="APM Level 7",$B$4="R&amp;T Level 7"),H32&lt;&gt;""),$C32*Thresholds_Rates!$F$18,IF(SUMIF(Grades!$A:$A,$B$4,Grades!$BQ:$BQ)=1,$C32*Thresholds_Rates!$F$18,""))))))))</f>
        <v>2845.2000000000003</v>
      </c>
      <c r="K32" s="4"/>
      <c r="L32" s="25">
        <f t="shared" ca="1" si="1"/>
        <v>36515.620000000003</v>
      </c>
      <c r="M32" s="25" t="str">
        <f t="shared" ca="1" si="2"/>
        <v>-</v>
      </c>
      <c r="N32" s="25">
        <f t="shared" ca="1" si="3"/>
        <v>42490.54</v>
      </c>
      <c r="O32" s="25">
        <f t="shared" ca="1" si="4"/>
        <v>34239.46</v>
      </c>
      <c r="P32" s="25">
        <f t="shared" ca="1" si="5"/>
        <v>31394.26</v>
      </c>
      <c r="R32" s="28" t="str">
        <f ca="1">IF(B32="","",IF($B$4="R&amp;T Level 5 - Clinical Lecturers (Vet School)",SUMIF(Points_Lookup!$M:$M,$B32,Points_Lookup!$N:$N),IF($B$4="R&amp;T Level 6 - Clinical Associate Professors and Clinical Readers (Vet School)",SUMIF(Points_Lookup!$T:$T,$B32,Points_Lookup!$U:$U),"")))</f>
        <v/>
      </c>
      <c r="S32" s="29" t="str">
        <f ca="1">IF(B32="","",IF($B$4="R&amp;T Level 5 - Clinical Lecturers (Vet School)",$C32-SUMIF(Points_Lookup!$M:$M,$B32,Points_Lookup!$O:$O),IF($B$4="R&amp;T Level 6 - Clinical Associate Professors and Clinical Readers (Vet School)",$C32-SUMIF(Points_Lookup!$T:$T,$B32,Points_Lookup!$V:$V),"")))</f>
        <v/>
      </c>
      <c r="T32" s="28" t="str">
        <f ca="1">IF(B32="","",IF($B$4="R&amp;T Level 5 - Clinical Lecturers (Vet School)",SUMIF(Points_Lookup!$M:$M,$B32,Points_Lookup!$Q:$Q),IF($B$4="R&amp;T Level 6 - Clinical Associate Professors and Clinical Readers (Vet School)",SUMIF(Points_Lookup!$T:$T,$B32,Points_Lookup!$X:$X),"")))</f>
        <v/>
      </c>
      <c r="U32" s="29" t="str">
        <f t="shared" ca="1" si="0"/>
        <v/>
      </c>
      <c r="Z32" s="26">
        <v>24</v>
      </c>
    </row>
    <row r="33" spans="2:26" x14ac:dyDescent="0.25">
      <c r="B33" s="4">
        <f ca="1">IFERROR(INDEX(Points_Lookup!$A:$A,MATCH($Z33,Points_Lookup!$AE:$AE,0)),"")</f>
        <v>27</v>
      </c>
      <c r="C33" s="25">
        <f ca="1">IF(B33="","",IF($B$4="Apprenticeship",SUMIF(Points_Lookup!$AA:$AA,B33,Points_Lookup!$AC:$AC),IF(AND(OR($B$4="New Consultant Contract"),$B33&lt;&gt;""),INDEX(Points_Lookup!$K:$K,MATCH($B33,Points_Lookup!$J:$J,0)),IF(AND(OR($B$4="Clinical Lecturer / Medical Research Fellow",$B$4="Clinical Consultant - Old Contract (GP)"),$B33&lt;&gt;""),INDEX(Points_Lookup!$H:$H,MATCH($B33,Points_Lookup!$G:$G,0)),IF(AND(OR($B$4="APM Level 7",$B$4="R&amp;T Level 7",$B$4="APM Level 8"),B33&lt;&gt;""),INDEX(Points_Lookup!$E:$E,MATCH($Z33,Points_Lookup!$AE:$AE,0)),IF($B$4="R&amp;T Level 5 - Clinical Lecturers (Vet School)",SUMIF(Points_Lookup!$M:$M,$B33,Points_Lookup!$P:$P),IF($B$4="R&amp;T Level 6 - Clinical Associate Professors and Clinical Readers (Vet School)",SUMIF(Points_Lookup!$T:$T,$B33,Points_Lookup!$W:$W),IFERROR(INDEX(Points_Lookup!$B:$B,MATCH($Z33,Points_Lookup!$AE:$AE,0)),""))))))))</f>
        <v>29301</v>
      </c>
      <c r="D33" s="36"/>
      <c r="E33" s="25">
        <f ca="1">IF($B33="","",IF(AND($B$4="Salary Points 3 to 57",B33&lt;Thresholds_Rates!$C$16),"-",IF(SUMIF(Grades!$A:$A,$B$4,Grades!$BO:$BO)=0,"-",IF(AND($B$4="Salary Points 3 to 57",B33&gt;=Thresholds_Rates!$C$16),$C33*Thresholds_Rates!$F$15,IF(AND(OR($B$4="New Consultant Contract"),$B33&lt;&gt;""),$C33*Thresholds_Rates!$F$15,IF(AND(OR($B$4="Clinical Lecturer / Medical Research Fellow",$B$4="Clinical Consultant - Old Contract (GP)"),$B33&lt;&gt;""),$C33*Thresholds_Rates!$F$15,IF(OR($B$4="APM Level 7",$B$4="R&amp;T Level 7"),$C33*Thresholds_Rates!$F$15,IF(SUMIF(Grades!$A:$A,$B$4,Grades!$BO:$BO)=1,$C33*Thresholds_Rates!$F$15,""))))))))</f>
        <v>5274.1799999999994</v>
      </c>
      <c r="F33" s="25" t="str">
        <f ca="1">IF(B33="","",IF($B$4="Salary Points 3 to 57","-",IF(SUMIF(Grades!$A:$A,$B$4,Grades!$BP:$BP)=0,"-",IF(AND(OR($B$4="New Consultant Contract"),$B33&lt;&gt;""),$C33*Thresholds_Rates!$F$16,IF(AND(OR($B$4="Clinical Lecturer / Medical Research Fellow",$B$4="Clinical Consultant - Old Contract (GP)"),$B33&lt;&gt;""),$C33*Thresholds_Rates!$F$16,IF(AND(OR($B$4="APM Level 7",$B$4="R&amp;T Level 7"),E33&lt;&gt;""),$C33*Thresholds_Rates!$F$16,IF(SUMIF(Grades!$A:$A,$B$4,Grades!$BP:$BP)=1,$C33*Thresholds_Rates!$F$16,"")))))))</f>
        <v>-</v>
      </c>
      <c r="G33" s="25">
        <f ca="1">IF($B$4="Apprenticeship","-",IF(B33="","",IF(SUMIF(Grades!$A:$A,$B$4,Grades!$BQ:$BQ)=0,"-",IF(AND($B$4="Salary Points 3 to 57",B33&gt;Thresholds_Rates!$C$17),"-",IF(AND($B$4="Salary Points 3 to 57",B33&lt;=Thresholds_Rates!$C$17),$C33*Thresholds_Rates!$F$17,IF(AND(OR($B$4="New Consultant Contract"),$B33&lt;&gt;""),$C33*Thresholds_Rates!$F$17,IF(AND(OR($B$4="Clinical Lecturer / Medical Research Fellow",$B$4="Clinical Consultant - Old Contract (GP)"),$B33&lt;&gt;""),$C33*Thresholds_Rates!$F$17,IF(AND(OR($B$4="APM Level 7",$B$4="R&amp;T Level 7"),F33&lt;&gt;""),$C33*Thresholds_Rates!$F$17,IF(SUMIF(Grades!$A:$A,$B$4,Grades!$BQ:$BQ)=1,$C33*Thresholds_Rates!$F$17,"")))))))))</f>
        <v>11427.390000000001</v>
      </c>
      <c r="H33" s="25">
        <f ca="1">IF($B33="","",ROUND(($C33-(Thresholds_Rates!$C$5*12))*Thresholds_Rates!$C$10,0))</f>
        <v>2917</v>
      </c>
      <c r="I33" s="25">
        <f ca="1">IF(B33="","",(C33*Thresholds_Rates!$C$12))</f>
        <v>146.505</v>
      </c>
      <c r="J33" s="25">
        <f ca="1">IF(B33="","",IF(AND($B$4="Salary Points 3 to 57",B33&gt;Thresholds_Rates!$C$17),"-",IF(SUMIF(Grades!$A:$A,$B$4,Grades!$BR:$BR)=0,"-",IF(AND($B$4="Salary Points 3 to 57",B33&lt;=Thresholds_Rates!$C$17),$C33*Thresholds_Rates!$F$18,IF(AND(OR($B$4="New Consultant Contract"),$B33&lt;&gt;""),$C33*Thresholds_Rates!$F$18,IF(AND(OR($B$4="Clinical Lecturer / Medical Research Fellow",$B$4="Clinical Consultant - Old Contract (GP)"),$B33&lt;&gt;""),$C33*Thresholds_Rates!$F$18,IF(AND(OR($B$4="APM Level 7",$B$4="R&amp;T Level 7"),H33&lt;&gt;""),$C33*Thresholds_Rates!$F$18,IF(SUMIF(Grades!$A:$A,$B$4,Grades!$BQ:$BQ)=1,$C33*Thresholds_Rates!$F$18,""))))))))</f>
        <v>2930.1000000000004</v>
      </c>
      <c r="K33" s="4"/>
      <c r="L33" s="25">
        <f t="shared" ca="1" si="1"/>
        <v>37638.684999999998</v>
      </c>
      <c r="M33" s="25" t="str">
        <f t="shared" ca="1" si="2"/>
        <v>-</v>
      </c>
      <c r="N33" s="25">
        <f t="shared" ca="1" si="3"/>
        <v>43791.894999999997</v>
      </c>
      <c r="O33" s="25">
        <f t="shared" ca="1" si="4"/>
        <v>35294.604999999996</v>
      </c>
      <c r="P33" s="25">
        <f t="shared" ca="1" si="5"/>
        <v>32364.505000000001</v>
      </c>
      <c r="R33" s="28" t="str">
        <f ca="1">IF(B33="","",IF($B$4="R&amp;T Level 5 - Clinical Lecturers (Vet School)",SUMIF(Points_Lookup!$M:$M,$B33,Points_Lookup!$N:$N),IF($B$4="R&amp;T Level 6 - Clinical Associate Professors and Clinical Readers (Vet School)",SUMIF(Points_Lookup!$T:$T,$B33,Points_Lookup!$U:$U),"")))</f>
        <v/>
      </c>
      <c r="S33" s="29" t="str">
        <f ca="1">IF(B33="","",IF($B$4="R&amp;T Level 5 - Clinical Lecturers (Vet School)",$C33-SUMIF(Points_Lookup!$M:$M,$B33,Points_Lookup!$O:$O),IF($B$4="R&amp;T Level 6 - Clinical Associate Professors and Clinical Readers (Vet School)",$C33-SUMIF(Points_Lookup!$T:$T,$B33,Points_Lookup!$V:$V),"")))</f>
        <v/>
      </c>
      <c r="T33" s="28" t="str">
        <f ca="1">IF(B33="","",IF($B$4="R&amp;T Level 5 - Clinical Lecturers (Vet School)",SUMIF(Points_Lookup!$M:$M,$B33,Points_Lookup!$Q:$Q),IF($B$4="R&amp;T Level 6 - Clinical Associate Professors and Clinical Readers (Vet School)",SUMIF(Points_Lookup!$T:$T,$B33,Points_Lookup!$X:$X),"")))</f>
        <v/>
      </c>
      <c r="U33" s="29" t="str">
        <f t="shared" ca="1" si="0"/>
        <v/>
      </c>
      <c r="Z33" s="26">
        <v>25</v>
      </c>
    </row>
    <row r="34" spans="2:26" x14ac:dyDescent="0.25">
      <c r="B34" s="4">
        <f ca="1">IFERROR(INDEX(Points_Lookup!$A:$A,MATCH($Z34,Points_Lookup!$AE:$AE,0)),"")</f>
        <v>28</v>
      </c>
      <c r="C34" s="25">
        <f ca="1">IF(B34="","",IF($B$4="Apprenticeship",SUMIF(Points_Lookup!$AA:$AA,B34,Points_Lookup!$AC:$AC),IF(AND(OR($B$4="New Consultant Contract"),$B34&lt;&gt;""),INDEX(Points_Lookup!$K:$K,MATCH($B34,Points_Lookup!$J:$J,0)),IF(AND(OR($B$4="Clinical Lecturer / Medical Research Fellow",$B$4="Clinical Consultant - Old Contract (GP)"),$B34&lt;&gt;""),INDEX(Points_Lookup!$H:$H,MATCH($B34,Points_Lookup!$G:$G,0)),IF(AND(OR($B$4="APM Level 7",$B$4="R&amp;T Level 7",$B$4="APM Level 8"),B34&lt;&gt;""),INDEX(Points_Lookup!$E:$E,MATCH($Z34,Points_Lookup!$AE:$AE,0)),IF($B$4="R&amp;T Level 5 - Clinical Lecturers (Vet School)",SUMIF(Points_Lookup!$M:$M,$B34,Points_Lookup!$P:$P),IF($B$4="R&amp;T Level 6 - Clinical Associate Professors and Clinical Readers (Vet School)",SUMIF(Points_Lookup!$T:$T,$B34,Points_Lookup!$W:$W),IFERROR(INDEX(Points_Lookup!$B:$B,MATCH($Z34,Points_Lookup!$AE:$AE,0)),""))))))))</f>
        <v>30175</v>
      </c>
      <c r="D34" s="36"/>
      <c r="E34" s="25">
        <f ca="1">IF($B34="","",IF(AND($B$4="Salary Points 3 to 57",B34&lt;Thresholds_Rates!$C$16),"-",IF(SUMIF(Grades!$A:$A,$B$4,Grades!$BO:$BO)=0,"-",IF(AND($B$4="Salary Points 3 to 57",B34&gt;=Thresholds_Rates!$C$16),$C34*Thresholds_Rates!$F$15,IF(AND(OR($B$4="New Consultant Contract"),$B34&lt;&gt;""),$C34*Thresholds_Rates!$F$15,IF(AND(OR($B$4="Clinical Lecturer / Medical Research Fellow",$B$4="Clinical Consultant - Old Contract (GP)"),$B34&lt;&gt;""),$C34*Thresholds_Rates!$F$15,IF(OR($B$4="APM Level 7",$B$4="R&amp;T Level 7"),$C34*Thresholds_Rates!$F$15,IF(SUMIF(Grades!$A:$A,$B$4,Grades!$BO:$BO)=1,$C34*Thresholds_Rates!$F$15,""))))))))</f>
        <v>5431.5</v>
      </c>
      <c r="F34" s="25" t="str">
        <f ca="1">IF(B34="","",IF($B$4="Salary Points 3 to 57","-",IF(SUMIF(Grades!$A:$A,$B$4,Grades!$BP:$BP)=0,"-",IF(AND(OR($B$4="New Consultant Contract"),$B34&lt;&gt;""),$C34*Thresholds_Rates!$F$16,IF(AND(OR($B$4="Clinical Lecturer / Medical Research Fellow",$B$4="Clinical Consultant - Old Contract (GP)"),$B34&lt;&gt;""),$C34*Thresholds_Rates!$F$16,IF(AND(OR($B$4="APM Level 7",$B$4="R&amp;T Level 7"),E34&lt;&gt;""),$C34*Thresholds_Rates!$F$16,IF(SUMIF(Grades!$A:$A,$B$4,Grades!$BP:$BP)=1,$C34*Thresholds_Rates!$F$16,"")))))))</f>
        <v>-</v>
      </c>
      <c r="G34" s="25">
        <f ca="1">IF($B$4="Apprenticeship","-",IF(B34="","",IF(SUMIF(Grades!$A:$A,$B$4,Grades!$BQ:$BQ)=0,"-",IF(AND($B$4="Salary Points 3 to 57",B34&gt;Thresholds_Rates!$C$17),"-",IF(AND($B$4="Salary Points 3 to 57",B34&lt;=Thresholds_Rates!$C$17),$C34*Thresholds_Rates!$F$17,IF(AND(OR($B$4="New Consultant Contract"),$B34&lt;&gt;""),$C34*Thresholds_Rates!$F$17,IF(AND(OR($B$4="Clinical Lecturer / Medical Research Fellow",$B$4="Clinical Consultant - Old Contract (GP)"),$B34&lt;&gt;""),$C34*Thresholds_Rates!$F$17,IF(AND(OR($B$4="APM Level 7",$B$4="R&amp;T Level 7"),F34&lt;&gt;""),$C34*Thresholds_Rates!$F$17,IF(SUMIF(Grades!$A:$A,$B$4,Grades!$BQ:$BQ)=1,$C34*Thresholds_Rates!$F$17,"")))))))))</f>
        <v>11768.25</v>
      </c>
      <c r="H34" s="25">
        <f ca="1">IF($B34="","",ROUND(($C34-(Thresholds_Rates!$C$5*12))*Thresholds_Rates!$C$10,0))</f>
        <v>3038</v>
      </c>
      <c r="I34" s="25">
        <f ca="1">IF(B34="","",(C34*Thresholds_Rates!$C$12))</f>
        <v>150.875</v>
      </c>
      <c r="J34" s="25">
        <f ca="1">IF(B34="","",IF(AND($B$4="Salary Points 3 to 57",B34&gt;Thresholds_Rates!$C$17),"-",IF(SUMIF(Grades!$A:$A,$B$4,Grades!$BR:$BR)=0,"-",IF(AND($B$4="Salary Points 3 to 57",B34&lt;=Thresholds_Rates!$C$17),$C34*Thresholds_Rates!$F$18,IF(AND(OR($B$4="New Consultant Contract"),$B34&lt;&gt;""),$C34*Thresholds_Rates!$F$18,IF(AND(OR($B$4="Clinical Lecturer / Medical Research Fellow",$B$4="Clinical Consultant - Old Contract (GP)"),$B34&lt;&gt;""),$C34*Thresholds_Rates!$F$18,IF(AND(OR($B$4="APM Level 7",$B$4="R&amp;T Level 7"),H34&lt;&gt;""),$C34*Thresholds_Rates!$F$18,IF(SUMIF(Grades!$A:$A,$B$4,Grades!$BQ:$BQ)=1,$C34*Thresholds_Rates!$F$18,""))))))))</f>
        <v>3017.5</v>
      </c>
      <c r="K34" s="4"/>
      <c r="L34" s="25">
        <f t="shared" ca="1" si="1"/>
        <v>38795.375</v>
      </c>
      <c r="M34" s="25" t="str">
        <f t="shared" ca="1" si="2"/>
        <v>-</v>
      </c>
      <c r="N34" s="25">
        <f t="shared" ca="1" si="3"/>
        <v>45132.125</v>
      </c>
      <c r="O34" s="25">
        <f t="shared" ca="1" si="4"/>
        <v>36381.375</v>
      </c>
      <c r="P34" s="25">
        <f t="shared" ca="1" si="5"/>
        <v>33363.875</v>
      </c>
      <c r="R34" s="28" t="str">
        <f ca="1">IF(B34="","",IF($B$4="R&amp;T Level 5 - Clinical Lecturers (Vet School)",SUMIF(Points_Lookup!$M:$M,$B34,Points_Lookup!$N:$N),IF($B$4="R&amp;T Level 6 - Clinical Associate Professors and Clinical Readers (Vet School)",SUMIF(Points_Lookup!$T:$T,$B34,Points_Lookup!$U:$U),"")))</f>
        <v/>
      </c>
      <c r="S34" s="29" t="str">
        <f ca="1">IF(B34="","",IF($B$4="R&amp;T Level 5 - Clinical Lecturers (Vet School)",$C34-SUMIF(Points_Lookup!$M:$M,$B34,Points_Lookup!$O:$O),IF($B$4="R&amp;T Level 6 - Clinical Associate Professors and Clinical Readers (Vet School)",$C34-SUMIF(Points_Lookup!$T:$T,$B34,Points_Lookup!$V:$V),"")))</f>
        <v/>
      </c>
      <c r="T34" s="28" t="str">
        <f ca="1">IF(B34="","",IF($B$4="R&amp;T Level 5 - Clinical Lecturers (Vet School)",SUMIF(Points_Lookup!$M:$M,$B34,Points_Lookup!$Q:$Q),IF($B$4="R&amp;T Level 6 - Clinical Associate Professors and Clinical Readers (Vet School)",SUMIF(Points_Lookup!$T:$T,$B34,Points_Lookup!$X:$X),"")))</f>
        <v/>
      </c>
      <c r="U34" s="29" t="str">
        <f t="shared" ca="1" si="0"/>
        <v/>
      </c>
      <c r="Z34" s="26">
        <v>26</v>
      </c>
    </row>
    <row r="35" spans="2:26" x14ac:dyDescent="0.25">
      <c r="B35" s="4">
        <f ca="1">IFERROR(INDEX(Points_Lookup!$A:$A,MATCH($Z35,Points_Lookup!$AE:$AE,0)),"")</f>
        <v>29</v>
      </c>
      <c r="C35" s="25">
        <f ca="1">IF(B35="","",IF($B$4="Apprenticeship",SUMIF(Points_Lookup!$AA:$AA,B35,Points_Lookup!$AC:$AC),IF(AND(OR($B$4="New Consultant Contract"),$B35&lt;&gt;""),INDEX(Points_Lookup!$K:$K,MATCH($B35,Points_Lookup!$J:$J,0)),IF(AND(OR($B$4="Clinical Lecturer / Medical Research Fellow",$B$4="Clinical Consultant - Old Contract (GP)"),$B35&lt;&gt;""),INDEX(Points_Lookup!$H:$H,MATCH($B35,Points_Lookup!$G:$G,0)),IF(AND(OR($B$4="APM Level 7",$B$4="R&amp;T Level 7",$B$4="APM Level 8"),B35&lt;&gt;""),INDEX(Points_Lookup!$E:$E,MATCH($Z35,Points_Lookup!$AE:$AE,0)),IF($B$4="R&amp;T Level 5 - Clinical Lecturers (Vet School)",SUMIF(Points_Lookup!$M:$M,$B35,Points_Lookup!$P:$P),IF($B$4="R&amp;T Level 6 - Clinical Associate Professors and Clinical Readers (Vet School)",SUMIF(Points_Lookup!$T:$T,$B35,Points_Lookup!$W:$W),IFERROR(INDEX(Points_Lookup!$B:$B,MATCH($Z35,Points_Lookup!$AE:$AE,0)),""))))))))</f>
        <v>31076</v>
      </c>
      <c r="D35" s="36"/>
      <c r="E35" s="25">
        <f ca="1">IF($B35="","",IF(AND($B$4="Salary Points 3 to 57",B35&lt;Thresholds_Rates!$C$16),"-",IF(SUMIF(Grades!$A:$A,$B$4,Grades!$BO:$BO)=0,"-",IF(AND($B$4="Salary Points 3 to 57",B35&gt;=Thresholds_Rates!$C$16),$C35*Thresholds_Rates!$F$15,IF(AND(OR($B$4="New Consultant Contract"),$B35&lt;&gt;""),$C35*Thresholds_Rates!$F$15,IF(AND(OR($B$4="Clinical Lecturer / Medical Research Fellow",$B$4="Clinical Consultant - Old Contract (GP)"),$B35&lt;&gt;""),$C35*Thresholds_Rates!$F$15,IF(OR($B$4="APM Level 7",$B$4="R&amp;T Level 7"),$C35*Thresholds_Rates!$F$15,IF(SUMIF(Grades!$A:$A,$B$4,Grades!$BO:$BO)=1,$C35*Thresholds_Rates!$F$15,""))))))))</f>
        <v>5593.6799999999994</v>
      </c>
      <c r="F35" s="25" t="str">
        <f ca="1">IF(B35="","",IF($B$4="Salary Points 3 to 57","-",IF(SUMIF(Grades!$A:$A,$B$4,Grades!$BP:$BP)=0,"-",IF(AND(OR($B$4="New Consultant Contract"),$B35&lt;&gt;""),$C35*Thresholds_Rates!$F$16,IF(AND(OR($B$4="Clinical Lecturer / Medical Research Fellow",$B$4="Clinical Consultant - Old Contract (GP)"),$B35&lt;&gt;""),$C35*Thresholds_Rates!$F$16,IF(AND(OR($B$4="APM Level 7",$B$4="R&amp;T Level 7"),E35&lt;&gt;""),$C35*Thresholds_Rates!$F$16,IF(SUMIF(Grades!$A:$A,$B$4,Grades!$BP:$BP)=1,$C35*Thresholds_Rates!$F$16,"")))))))</f>
        <v>-</v>
      </c>
      <c r="G35" s="25">
        <f ca="1">IF($B$4="Apprenticeship","-",IF(B35="","",IF(SUMIF(Grades!$A:$A,$B$4,Grades!$BQ:$BQ)=0,"-",IF(AND($B$4="Salary Points 3 to 57",B35&gt;Thresholds_Rates!$C$17),"-",IF(AND($B$4="Salary Points 3 to 57",B35&lt;=Thresholds_Rates!$C$17),$C35*Thresholds_Rates!$F$17,IF(AND(OR($B$4="New Consultant Contract"),$B35&lt;&gt;""),$C35*Thresholds_Rates!$F$17,IF(AND(OR($B$4="Clinical Lecturer / Medical Research Fellow",$B$4="Clinical Consultant - Old Contract (GP)"),$B35&lt;&gt;""),$C35*Thresholds_Rates!$F$17,IF(AND(OR($B$4="APM Level 7",$B$4="R&amp;T Level 7"),F35&lt;&gt;""),$C35*Thresholds_Rates!$F$17,IF(SUMIF(Grades!$A:$A,$B$4,Grades!$BQ:$BQ)=1,$C35*Thresholds_Rates!$F$17,"")))))))))</f>
        <v>12119.640000000001</v>
      </c>
      <c r="H35" s="25">
        <f ca="1">IF($B35="","",ROUND(($C35-(Thresholds_Rates!$C$5*12))*Thresholds_Rates!$C$10,0))</f>
        <v>3162</v>
      </c>
      <c r="I35" s="25">
        <f ca="1">IF(B35="","",(C35*Thresholds_Rates!$C$12))</f>
        <v>155.38</v>
      </c>
      <c r="J35" s="25">
        <f ca="1">IF(B35="","",IF(AND($B$4="Salary Points 3 to 57",B35&gt;Thresholds_Rates!$C$17),"-",IF(SUMIF(Grades!$A:$A,$B$4,Grades!$BR:$BR)=0,"-",IF(AND($B$4="Salary Points 3 to 57",B35&lt;=Thresholds_Rates!$C$17),$C35*Thresholds_Rates!$F$18,IF(AND(OR($B$4="New Consultant Contract"),$B35&lt;&gt;""),$C35*Thresholds_Rates!$F$18,IF(AND(OR($B$4="Clinical Lecturer / Medical Research Fellow",$B$4="Clinical Consultant - Old Contract (GP)"),$B35&lt;&gt;""),$C35*Thresholds_Rates!$F$18,IF(AND(OR($B$4="APM Level 7",$B$4="R&amp;T Level 7"),H35&lt;&gt;""),$C35*Thresholds_Rates!$F$18,IF(SUMIF(Grades!$A:$A,$B$4,Grades!$BQ:$BQ)=1,$C35*Thresholds_Rates!$F$18,""))))))))</f>
        <v>3107.6000000000004</v>
      </c>
      <c r="K35" s="4"/>
      <c r="L35" s="25">
        <f t="shared" ca="1" si="1"/>
        <v>39987.06</v>
      </c>
      <c r="M35" s="25" t="str">
        <f t="shared" ca="1" si="2"/>
        <v>-</v>
      </c>
      <c r="N35" s="25">
        <f t="shared" ca="1" si="3"/>
        <v>46513.02</v>
      </c>
      <c r="O35" s="25">
        <f t="shared" ca="1" si="4"/>
        <v>37500.979999999996</v>
      </c>
      <c r="P35" s="25">
        <f t="shared" ca="1" si="5"/>
        <v>34393.379999999997</v>
      </c>
      <c r="R35" s="28" t="str">
        <f ca="1">IF(B35="","",IF($B$4="R&amp;T Level 5 - Clinical Lecturers (Vet School)",SUMIF(Points_Lookup!$M:$M,$B35,Points_Lookup!$N:$N),IF($B$4="R&amp;T Level 6 - Clinical Associate Professors and Clinical Readers (Vet School)",SUMIF(Points_Lookup!$T:$T,$B35,Points_Lookup!$U:$U),"")))</f>
        <v/>
      </c>
      <c r="S35" s="29" t="str">
        <f ca="1">IF(B35="","",IF($B$4="R&amp;T Level 5 - Clinical Lecturers (Vet School)",$C35-SUMIF(Points_Lookup!$M:$M,$B35,Points_Lookup!$O:$O),IF($B$4="R&amp;T Level 6 - Clinical Associate Professors and Clinical Readers (Vet School)",$C35-SUMIF(Points_Lookup!$T:$T,$B35,Points_Lookup!$V:$V),"")))</f>
        <v/>
      </c>
      <c r="T35" s="28" t="str">
        <f ca="1">IF(B35="","",IF($B$4="R&amp;T Level 5 - Clinical Lecturers (Vet School)",SUMIF(Points_Lookup!$M:$M,$B35,Points_Lookup!$Q:$Q),IF($B$4="R&amp;T Level 6 - Clinical Associate Professors and Clinical Readers (Vet School)",SUMIF(Points_Lookup!$T:$T,$B35,Points_Lookup!$X:$X),"")))</f>
        <v/>
      </c>
      <c r="U35" s="29" t="str">
        <f t="shared" ca="1" si="0"/>
        <v/>
      </c>
      <c r="Z35" s="26">
        <v>27</v>
      </c>
    </row>
    <row r="36" spans="2:26" x14ac:dyDescent="0.25">
      <c r="B36" s="4">
        <f ca="1">IFERROR(INDEX(Points_Lookup!$A:$A,MATCH($Z36,Points_Lookup!$AE:$AE,0)),"")</f>
        <v>30</v>
      </c>
      <c r="C36" s="25">
        <f ca="1">IF(B36="","",IF($B$4="Apprenticeship",SUMIF(Points_Lookup!$AA:$AA,B36,Points_Lookup!$AC:$AC),IF(AND(OR($B$4="New Consultant Contract"),$B36&lt;&gt;""),INDEX(Points_Lookup!$K:$K,MATCH($B36,Points_Lookup!$J:$J,0)),IF(AND(OR($B$4="Clinical Lecturer / Medical Research Fellow",$B$4="Clinical Consultant - Old Contract (GP)"),$B36&lt;&gt;""),INDEX(Points_Lookup!$H:$H,MATCH($B36,Points_Lookup!$G:$G,0)),IF(AND(OR($B$4="APM Level 7",$B$4="R&amp;T Level 7",$B$4="APM Level 8"),B36&lt;&gt;""),INDEX(Points_Lookup!$E:$E,MATCH($Z36,Points_Lookup!$AE:$AE,0)),IF($B$4="R&amp;T Level 5 - Clinical Lecturers (Vet School)",SUMIF(Points_Lookup!$M:$M,$B36,Points_Lookup!$P:$P),IF($B$4="R&amp;T Level 6 - Clinical Associate Professors and Clinical Readers (Vet School)",SUMIF(Points_Lookup!$T:$T,$B36,Points_Lookup!$W:$W),IFERROR(INDEX(Points_Lookup!$B:$B,MATCH($Z36,Points_Lookup!$AE:$AE,0)),""))))))))</f>
        <v>32004</v>
      </c>
      <c r="D36" s="36"/>
      <c r="E36" s="25">
        <f ca="1">IF($B36="","",IF(AND($B$4="Salary Points 3 to 57",B36&lt;Thresholds_Rates!$C$16),"-",IF(SUMIF(Grades!$A:$A,$B$4,Grades!$BO:$BO)=0,"-",IF(AND($B$4="Salary Points 3 to 57",B36&gt;=Thresholds_Rates!$C$16),$C36*Thresholds_Rates!$F$15,IF(AND(OR($B$4="New Consultant Contract"),$B36&lt;&gt;""),$C36*Thresholds_Rates!$F$15,IF(AND(OR($B$4="Clinical Lecturer / Medical Research Fellow",$B$4="Clinical Consultant - Old Contract (GP)"),$B36&lt;&gt;""),$C36*Thresholds_Rates!$F$15,IF(OR($B$4="APM Level 7",$B$4="R&amp;T Level 7"),$C36*Thresholds_Rates!$F$15,IF(SUMIF(Grades!$A:$A,$B$4,Grades!$BO:$BO)=1,$C36*Thresholds_Rates!$F$15,""))))))))</f>
        <v>5760.7199999999993</v>
      </c>
      <c r="F36" s="25" t="str">
        <f ca="1">IF(B36="","",IF($B$4="Salary Points 3 to 57","-",IF(SUMIF(Grades!$A:$A,$B$4,Grades!$BP:$BP)=0,"-",IF(AND(OR($B$4="New Consultant Contract"),$B36&lt;&gt;""),$C36*Thresholds_Rates!$F$16,IF(AND(OR($B$4="Clinical Lecturer / Medical Research Fellow",$B$4="Clinical Consultant - Old Contract (GP)"),$B36&lt;&gt;""),$C36*Thresholds_Rates!$F$16,IF(AND(OR($B$4="APM Level 7",$B$4="R&amp;T Level 7"),E36&lt;&gt;""),$C36*Thresholds_Rates!$F$16,IF(SUMIF(Grades!$A:$A,$B$4,Grades!$BP:$BP)=1,$C36*Thresholds_Rates!$F$16,"")))))))</f>
        <v>-</v>
      </c>
      <c r="G36" s="25">
        <f ca="1">IF($B$4="Apprenticeship","-",IF(B36="","",IF(SUMIF(Grades!$A:$A,$B$4,Grades!$BQ:$BQ)=0,"-",IF(AND($B$4="Salary Points 3 to 57",B36&gt;Thresholds_Rates!$C$17),"-",IF(AND($B$4="Salary Points 3 to 57",B36&lt;=Thresholds_Rates!$C$17),$C36*Thresholds_Rates!$F$17,IF(AND(OR($B$4="New Consultant Contract"),$B36&lt;&gt;""),$C36*Thresholds_Rates!$F$17,IF(AND(OR($B$4="Clinical Lecturer / Medical Research Fellow",$B$4="Clinical Consultant - Old Contract (GP)"),$B36&lt;&gt;""),$C36*Thresholds_Rates!$F$17,IF(AND(OR($B$4="APM Level 7",$B$4="R&amp;T Level 7"),F36&lt;&gt;""),$C36*Thresholds_Rates!$F$17,IF(SUMIF(Grades!$A:$A,$B$4,Grades!$BQ:$BQ)=1,$C36*Thresholds_Rates!$F$17,"")))))))))</f>
        <v>12481.560000000001</v>
      </c>
      <c r="H36" s="25">
        <f ca="1">IF($B36="","",ROUND(($C36-(Thresholds_Rates!$C$5*12))*Thresholds_Rates!$C$10,0))</f>
        <v>3290</v>
      </c>
      <c r="I36" s="25">
        <f ca="1">IF(B36="","",(C36*Thresholds_Rates!$C$12))</f>
        <v>160.02000000000001</v>
      </c>
      <c r="J36" s="25">
        <f ca="1">IF(B36="","",IF(AND($B$4="Salary Points 3 to 57",B36&gt;Thresholds_Rates!$C$17),"-",IF(SUMIF(Grades!$A:$A,$B$4,Grades!$BR:$BR)=0,"-",IF(AND($B$4="Salary Points 3 to 57",B36&lt;=Thresholds_Rates!$C$17),$C36*Thresholds_Rates!$F$18,IF(AND(OR($B$4="New Consultant Contract"),$B36&lt;&gt;""),$C36*Thresholds_Rates!$F$18,IF(AND(OR($B$4="Clinical Lecturer / Medical Research Fellow",$B$4="Clinical Consultant - Old Contract (GP)"),$B36&lt;&gt;""),$C36*Thresholds_Rates!$F$18,IF(AND(OR($B$4="APM Level 7",$B$4="R&amp;T Level 7"),H36&lt;&gt;""),$C36*Thresholds_Rates!$F$18,IF(SUMIF(Grades!$A:$A,$B$4,Grades!$BQ:$BQ)=1,$C36*Thresholds_Rates!$F$18,""))))))))</f>
        <v>3200.4</v>
      </c>
      <c r="K36" s="4"/>
      <c r="L36" s="25">
        <f t="shared" ca="1" si="1"/>
        <v>41214.74</v>
      </c>
      <c r="M36" s="25" t="str">
        <f t="shared" ca="1" si="2"/>
        <v>-</v>
      </c>
      <c r="N36" s="25">
        <f t="shared" ca="1" si="3"/>
        <v>47935.579999999994</v>
      </c>
      <c r="O36" s="25">
        <f t="shared" ca="1" si="4"/>
        <v>38654.42</v>
      </c>
      <c r="P36" s="25">
        <f t="shared" ca="1" si="5"/>
        <v>35454.019999999997</v>
      </c>
      <c r="R36" s="28" t="str">
        <f ca="1">IF(B36="","",IF($B$4="R&amp;T Level 5 - Clinical Lecturers (Vet School)",SUMIF(Points_Lookup!$M:$M,$B36,Points_Lookup!$N:$N),IF($B$4="R&amp;T Level 6 - Clinical Associate Professors and Clinical Readers (Vet School)",SUMIF(Points_Lookup!$T:$T,$B36,Points_Lookup!$U:$U),"")))</f>
        <v/>
      </c>
      <c r="S36" s="29" t="str">
        <f ca="1">IF(B36="","",IF($B$4="R&amp;T Level 5 - Clinical Lecturers (Vet School)",$C36-SUMIF(Points_Lookup!$M:$M,$B36,Points_Lookup!$O:$O),IF($B$4="R&amp;T Level 6 - Clinical Associate Professors and Clinical Readers (Vet School)",$C36-SUMIF(Points_Lookup!$T:$T,$B36,Points_Lookup!$V:$V),"")))</f>
        <v/>
      </c>
      <c r="T36" s="28" t="str">
        <f ca="1">IF(B36="","",IF($B$4="R&amp;T Level 5 - Clinical Lecturers (Vet School)",SUMIF(Points_Lookup!$M:$M,$B36,Points_Lookup!$Q:$Q),IF($B$4="R&amp;T Level 6 - Clinical Associate Professors and Clinical Readers (Vet School)",SUMIF(Points_Lookup!$T:$T,$B36,Points_Lookup!$X:$X),"")))</f>
        <v/>
      </c>
      <c r="U36" s="29" t="str">
        <f t="shared" ca="1" si="0"/>
        <v/>
      </c>
      <c r="Z36" s="26">
        <v>28</v>
      </c>
    </row>
    <row r="37" spans="2:26" x14ac:dyDescent="0.25">
      <c r="B37" s="4">
        <f ca="1">IFERROR(INDEX(Points_Lookup!$A:$A,MATCH($Z37,Points_Lookup!$AE:$AE,0)),"")</f>
        <v>31</v>
      </c>
      <c r="C37" s="25">
        <f ca="1">IF(B37="","",IF($B$4="Apprenticeship",SUMIF(Points_Lookup!$AA:$AA,B37,Points_Lookup!$AC:$AC),IF(AND(OR($B$4="New Consultant Contract"),$B37&lt;&gt;""),INDEX(Points_Lookup!$K:$K,MATCH($B37,Points_Lookup!$J:$J,0)),IF(AND(OR($B$4="Clinical Lecturer / Medical Research Fellow",$B$4="Clinical Consultant - Old Contract (GP)"),$B37&lt;&gt;""),INDEX(Points_Lookup!$H:$H,MATCH($B37,Points_Lookup!$G:$G,0)),IF(AND(OR($B$4="APM Level 7",$B$4="R&amp;T Level 7",$B$4="APM Level 8"),B37&lt;&gt;""),INDEX(Points_Lookup!$E:$E,MATCH($Z37,Points_Lookup!$AE:$AE,0)),IF($B$4="R&amp;T Level 5 - Clinical Lecturers (Vet School)",SUMIF(Points_Lookup!$M:$M,$B37,Points_Lookup!$P:$P),IF($B$4="R&amp;T Level 6 - Clinical Associate Professors and Clinical Readers (Vet School)",SUMIF(Points_Lookup!$T:$T,$B37,Points_Lookup!$W:$W),IFERROR(INDEX(Points_Lookup!$B:$B,MATCH($Z37,Points_Lookup!$AE:$AE,0)),""))))))))</f>
        <v>32958</v>
      </c>
      <c r="D37" s="36"/>
      <c r="E37" s="25">
        <f ca="1">IF($B37="","",IF(AND($B$4="Salary Points 3 to 57",B37&lt;Thresholds_Rates!$C$16),"-",IF(SUMIF(Grades!$A:$A,$B$4,Grades!$BO:$BO)=0,"-",IF(AND($B$4="Salary Points 3 to 57",B37&gt;=Thresholds_Rates!$C$16),$C37*Thresholds_Rates!$F$15,IF(AND(OR($B$4="New Consultant Contract"),$B37&lt;&gt;""),$C37*Thresholds_Rates!$F$15,IF(AND(OR($B$4="Clinical Lecturer / Medical Research Fellow",$B$4="Clinical Consultant - Old Contract (GP)"),$B37&lt;&gt;""),$C37*Thresholds_Rates!$F$15,IF(OR($B$4="APM Level 7",$B$4="R&amp;T Level 7"),$C37*Thresholds_Rates!$F$15,IF(SUMIF(Grades!$A:$A,$B$4,Grades!$BO:$BO)=1,$C37*Thresholds_Rates!$F$15,""))))))))</f>
        <v>5932.44</v>
      </c>
      <c r="F37" s="25" t="str">
        <f ca="1">IF(B37="","",IF($B$4="Salary Points 3 to 57","-",IF(SUMIF(Grades!$A:$A,$B$4,Grades!$BP:$BP)=0,"-",IF(AND(OR($B$4="New Consultant Contract"),$B37&lt;&gt;""),$C37*Thresholds_Rates!$F$16,IF(AND(OR($B$4="Clinical Lecturer / Medical Research Fellow",$B$4="Clinical Consultant - Old Contract (GP)"),$B37&lt;&gt;""),$C37*Thresholds_Rates!$F$16,IF(AND(OR($B$4="APM Level 7",$B$4="R&amp;T Level 7"),E37&lt;&gt;""),$C37*Thresholds_Rates!$F$16,IF(SUMIF(Grades!$A:$A,$B$4,Grades!$BP:$BP)=1,$C37*Thresholds_Rates!$F$16,"")))))))</f>
        <v>-</v>
      </c>
      <c r="G37" s="25" t="str">
        <f ca="1">IF($B$4="Apprenticeship","-",IF(B37="","",IF(SUMIF(Grades!$A:$A,$B$4,Grades!$BQ:$BQ)=0,"-",IF(AND($B$4="Salary Points 3 to 57",B37&gt;Thresholds_Rates!$C$17),"-",IF(AND($B$4="Salary Points 3 to 57",B37&lt;=Thresholds_Rates!$C$17),$C37*Thresholds_Rates!$F$17,IF(AND(OR($B$4="New Consultant Contract"),$B37&lt;&gt;""),$C37*Thresholds_Rates!$F$17,IF(AND(OR($B$4="Clinical Lecturer / Medical Research Fellow",$B$4="Clinical Consultant - Old Contract (GP)"),$B37&lt;&gt;""),$C37*Thresholds_Rates!$F$17,IF(AND(OR($B$4="APM Level 7",$B$4="R&amp;T Level 7"),F37&lt;&gt;""),$C37*Thresholds_Rates!$F$17,IF(SUMIF(Grades!$A:$A,$B$4,Grades!$BQ:$BQ)=1,$C37*Thresholds_Rates!$F$17,"")))))))))</f>
        <v>-</v>
      </c>
      <c r="H37" s="25">
        <f ca="1">IF($B37="","",ROUND(($C37-(Thresholds_Rates!$C$5*12))*Thresholds_Rates!$C$10,0))</f>
        <v>3422</v>
      </c>
      <c r="I37" s="25">
        <f ca="1">IF(B37="","",(C37*Thresholds_Rates!$C$12))</f>
        <v>164.79</v>
      </c>
      <c r="J37" s="25" t="str">
        <f ca="1">IF(B37="","",IF(AND($B$4="Salary Points 3 to 57",B37&gt;Thresholds_Rates!$C$17),"-",IF(SUMIF(Grades!$A:$A,$B$4,Grades!$BR:$BR)=0,"-",IF(AND($B$4="Salary Points 3 to 57",B37&lt;=Thresholds_Rates!$C$17),$C37*Thresholds_Rates!$F$18,IF(AND(OR($B$4="New Consultant Contract"),$B37&lt;&gt;""),$C37*Thresholds_Rates!$F$18,IF(AND(OR($B$4="Clinical Lecturer / Medical Research Fellow",$B$4="Clinical Consultant - Old Contract (GP)"),$B37&lt;&gt;""),$C37*Thresholds_Rates!$F$18,IF(AND(OR($B$4="APM Level 7",$B$4="R&amp;T Level 7"),H37&lt;&gt;""),$C37*Thresholds_Rates!$F$18,IF(SUMIF(Grades!$A:$A,$B$4,Grades!$BQ:$BQ)=1,$C37*Thresholds_Rates!$F$18,""))))))))</f>
        <v>-</v>
      </c>
      <c r="K37" s="4"/>
      <c r="L37" s="25">
        <f t="shared" ca="1" si="1"/>
        <v>42477.23</v>
      </c>
      <c r="M37" s="25" t="str">
        <f t="shared" ca="1" si="2"/>
        <v>-</v>
      </c>
      <c r="N37" s="25" t="str">
        <f t="shared" ca="1" si="3"/>
        <v>-</v>
      </c>
      <c r="O37" s="25" t="str">
        <f t="shared" ca="1" si="4"/>
        <v>-</v>
      </c>
      <c r="P37" s="25">
        <f t="shared" ca="1" si="5"/>
        <v>36544.79</v>
      </c>
      <c r="R37" s="28" t="str">
        <f ca="1">IF(B37="","",IF($B$4="R&amp;T Level 5 - Clinical Lecturers (Vet School)",SUMIF(Points_Lookup!$M:$M,$B37,Points_Lookup!$N:$N),IF($B$4="R&amp;T Level 6 - Clinical Associate Professors and Clinical Readers (Vet School)",SUMIF(Points_Lookup!$T:$T,$B37,Points_Lookup!$U:$U),"")))</f>
        <v/>
      </c>
      <c r="S37" s="29" t="str">
        <f ca="1">IF(B37="","",IF($B$4="R&amp;T Level 5 - Clinical Lecturers (Vet School)",$C37-SUMIF(Points_Lookup!$M:$M,$B37,Points_Lookup!$O:$O),IF($B$4="R&amp;T Level 6 - Clinical Associate Professors and Clinical Readers (Vet School)",$C37-SUMIF(Points_Lookup!$T:$T,$B37,Points_Lookup!$V:$V),"")))</f>
        <v/>
      </c>
      <c r="T37" s="28" t="str">
        <f ca="1">IF(B37="","",IF($B$4="R&amp;T Level 5 - Clinical Lecturers (Vet School)",SUMIF(Points_Lookup!$M:$M,$B37,Points_Lookup!$Q:$Q),IF($B$4="R&amp;T Level 6 - Clinical Associate Professors and Clinical Readers (Vet School)",SUMIF(Points_Lookup!$T:$T,$B37,Points_Lookup!$X:$X),"")))</f>
        <v/>
      </c>
      <c r="U37" s="29" t="str">
        <f t="shared" ca="1" si="0"/>
        <v/>
      </c>
      <c r="Z37" s="26">
        <v>29</v>
      </c>
    </row>
    <row r="38" spans="2:26" x14ac:dyDescent="0.25">
      <c r="B38" s="4">
        <f ca="1">IFERROR(INDEX(Points_Lookup!$A:$A,MATCH($Z38,Points_Lookup!$AE:$AE,0)),"")</f>
        <v>32</v>
      </c>
      <c r="C38" s="25">
        <f ca="1">IF(B38="","",IF($B$4="Apprenticeship",SUMIF(Points_Lookup!$AA:$AA,B38,Points_Lookup!$AC:$AC),IF(AND(OR($B$4="New Consultant Contract"),$B38&lt;&gt;""),INDEX(Points_Lookup!$K:$K,MATCH($B38,Points_Lookup!$J:$J,0)),IF(AND(OR($B$4="Clinical Lecturer / Medical Research Fellow",$B$4="Clinical Consultant - Old Contract (GP)"),$B38&lt;&gt;""),INDEX(Points_Lookup!$H:$H,MATCH($B38,Points_Lookup!$G:$G,0)),IF(AND(OR($B$4="APM Level 7",$B$4="R&amp;T Level 7",$B$4="APM Level 8"),B38&lt;&gt;""),INDEX(Points_Lookup!$E:$E,MATCH($Z38,Points_Lookup!$AE:$AE,0)),IF($B$4="R&amp;T Level 5 - Clinical Lecturers (Vet School)",SUMIF(Points_Lookup!$M:$M,$B38,Points_Lookup!$P:$P),IF($B$4="R&amp;T Level 6 - Clinical Associate Professors and Clinical Readers (Vet School)",SUMIF(Points_Lookup!$T:$T,$B38,Points_Lookup!$W:$W),IFERROR(INDEX(Points_Lookup!$B:$B,MATCH($Z38,Points_Lookup!$AE:$AE,0)),""))))))))</f>
        <v>33943</v>
      </c>
      <c r="D38" s="36"/>
      <c r="E38" s="25">
        <f ca="1">IF($B38="","",IF(AND($B$4="Salary Points 3 to 57",B38&lt;Thresholds_Rates!$C$16),"-",IF(SUMIF(Grades!$A:$A,$B$4,Grades!$BO:$BO)=0,"-",IF(AND($B$4="Salary Points 3 to 57",B38&gt;=Thresholds_Rates!$C$16),$C38*Thresholds_Rates!$F$15,IF(AND(OR($B$4="New Consultant Contract"),$B38&lt;&gt;""),$C38*Thresholds_Rates!$F$15,IF(AND(OR($B$4="Clinical Lecturer / Medical Research Fellow",$B$4="Clinical Consultant - Old Contract (GP)"),$B38&lt;&gt;""),$C38*Thresholds_Rates!$F$15,IF(OR($B$4="APM Level 7",$B$4="R&amp;T Level 7"),$C38*Thresholds_Rates!$F$15,IF(SUMIF(Grades!$A:$A,$B$4,Grades!$BO:$BO)=1,$C38*Thresholds_Rates!$F$15,""))))))))</f>
        <v>6109.74</v>
      </c>
      <c r="F38" s="25" t="str">
        <f ca="1">IF(B38="","",IF($B$4="Salary Points 3 to 57","-",IF(SUMIF(Grades!$A:$A,$B$4,Grades!$BP:$BP)=0,"-",IF(AND(OR($B$4="New Consultant Contract"),$B38&lt;&gt;""),$C38*Thresholds_Rates!$F$16,IF(AND(OR($B$4="Clinical Lecturer / Medical Research Fellow",$B$4="Clinical Consultant - Old Contract (GP)"),$B38&lt;&gt;""),$C38*Thresholds_Rates!$F$16,IF(AND(OR($B$4="APM Level 7",$B$4="R&amp;T Level 7"),E38&lt;&gt;""),$C38*Thresholds_Rates!$F$16,IF(SUMIF(Grades!$A:$A,$B$4,Grades!$BP:$BP)=1,$C38*Thresholds_Rates!$F$16,"")))))))</f>
        <v>-</v>
      </c>
      <c r="G38" s="25" t="str">
        <f ca="1">IF($B$4="Apprenticeship","-",IF(B38="","",IF(SUMIF(Grades!$A:$A,$B$4,Grades!$BQ:$BQ)=0,"-",IF(AND($B$4="Salary Points 3 to 57",B38&gt;Thresholds_Rates!$C$17),"-",IF(AND($B$4="Salary Points 3 to 57",B38&lt;=Thresholds_Rates!$C$17),$C38*Thresholds_Rates!$F$17,IF(AND(OR($B$4="New Consultant Contract"),$B38&lt;&gt;""),$C38*Thresholds_Rates!$F$17,IF(AND(OR($B$4="Clinical Lecturer / Medical Research Fellow",$B$4="Clinical Consultant - Old Contract (GP)"),$B38&lt;&gt;""),$C38*Thresholds_Rates!$F$17,IF(AND(OR($B$4="APM Level 7",$B$4="R&amp;T Level 7"),F38&lt;&gt;""),$C38*Thresholds_Rates!$F$17,IF(SUMIF(Grades!$A:$A,$B$4,Grades!$BQ:$BQ)=1,$C38*Thresholds_Rates!$F$17,"")))))))))</f>
        <v>-</v>
      </c>
      <c r="H38" s="25">
        <f ca="1">IF($B38="","",ROUND(($C38-(Thresholds_Rates!$C$5*12))*Thresholds_Rates!$C$10,0))</f>
        <v>3558</v>
      </c>
      <c r="I38" s="25">
        <f ca="1">IF(B38="","",(C38*Thresholds_Rates!$C$12))</f>
        <v>169.715</v>
      </c>
      <c r="J38" s="25" t="str">
        <f ca="1">IF(B38="","",IF(AND($B$4="Salary Points 3 to 57",B38&gt;Thresholds_Rates!$C$17),"-",IF(SUMIF(Grades!$A:$A,$B$4,Grades!$BR:$BR)=0,"-",IF(AND($B$4="Salary Points 3 to 57",B38&lt;=Thresholds_Rates!$C$17),$C38*Thresholds_Rates!$F$18,IF(AND(OR($B$4="New Consultant Contract"),$B38&lt;&gt;""),$C38*Thresholds_Rates!$F$18,IF(AND(OR($B$4="Clinical Lecturer / Medical Research Fellow",$B$4="Clinical Consultant - Old Contract (GP)"),$B38&lt;&gt;""),$C38*Thresholds_Rates!$F$18,IF(AND(OR($B$4="APM Level 7",$B$4="R&amp;T Level 7"),H38&lt;&gt;""),$C38*Thresholds_Rates!$F$18,IF(SUMIF(Grades!$A:$A,$B$4,Grades!$BQ:$BQ)=1,$C38*Thresholds_Rates!$F$18,""))))))))</f>
        <v>-</v>
      </c>
      <c r="K38" s="4"/>
      <c r="L38" s="25">
        <f t="shared" ca="1" si="1"/>
        <v>43780.454999999994</v>
      </c>
      <c r="M38" s="25" t="str">
        <f t="shared" ca="1" si="2"/>
        <v>-</v>
      </c>
      <c r="N38" s="25" t="str">
        <f t="shared" ca="1" si="3"/>
        <v>-</v>
      </c>
      <c r="O38" s="25" t="str">
        <f t="shared" ca="1" si="4"/>
        <v>-</v>
      </c>
      <c r="P38" s="25">
        <f t="shared" ca="1" si="5"/>
        <v>37670.714999999997</v>
      </c>
      <c r="R38" s="28" t="str">
        <f ca="1">IF(B38="","",IF($B$4="R&amp;T Level 5 - Clinical Lecturers (Vet School)",SUMIF(Points_Lookup!$M:$M,$B38,Points_Lookup!$N:$N),IF($B$4="R&amp;T Level 6 - Clinical Associate Professors and Clinical Readers (Vet School)",SUMIF(Points_Lookup!$T:$T,$B38,Points_Lookup!$U:$U),"")))</f>
        <v/>
      </c>
      <c r="S38" s="29" t="str">
        <f ca="1">IF(B38="","",IF($B$4="R&amp;T Level 5 - Clinical Lecturers (Vet School)",$C38-SUMIF(Points_Lookup!$M:$M,$B38,Points_Lookup!$O:$O),IF($B$4="R&amp;T Level 6 - Clinical Associate Professors and Clinical Readers (Vet School)",$C38-SUMIF(Points_Lookup!$T:$T,$B38,Points_Lookup!$V:$V),"")))</f>
        <v/>
      </c>
      <c r="T38" s="28" t="str">
        <f ca="1">IF(B38="","",IF($B$4="R&amp;T Level 5 - Clinical Lecturers (Vet School)",SUMIF(Points_Lookup!$M:$M,$B38,Points_Lookup!$Q:$Q),IF($B$4="R&amp;T Level 6 - Clinical Associate Professors and Clinical Readers (Vet School)",SUMIF(Points_Lookup!$T:$T,$B38,Points_Lookup!$X:$X),"")))</f>
        <v/>
      </c>
      <c r="U38" s="29" t="str">
        <f t="shared" ca="1" si="0"/>
        <v/>
      </c>
      <c r="Z38" s="26">
        <v>30</v>
      </c>
    </row>
    <row r="39" spans="2:26" x14ac:dyDescent="0.25">
      <c r="B39" s="4">
        <f ca="1">IFERROR(INDEX(Points_Lookup!$A:$A,MATCH($Z39,Points_Lookup!$AE:$AE,0)),"")</f>
        <v>33</v>
      </c>
      <c r="C39" s="25">
        <f ca="1">IF(B39="","",IF($B$4="Apprenticeship",SUMIF(Points_Lookup!$AA:$AA,B39,Points_Lookup!$AC:$AC),IF(AND(OR($B$4="New Consultant Contract"),$B39&lt;&gt;""),INDEX(Points_Lookup!$K:$K,MATCH($B39,Points_Lookup!$J:$J,0)),IF(AND(OR($B$4="Clinical Lecturer / Medical Research Fellow",$B$4="Clinical Consultant - Old Contract (GP)"),$B39&lt;&gt;""),INDEX(Points_Lookup!$H:$H,MATCH($B39,Points_Lookup!$G:$G,0)),IF(AND(OR($B$4="APM Level 7",$B$4="R&amp;T Level 7",$B$4="APM Level 8"),B39&lt;&gt;""),INDEX(Points_Lookup!$E:$E,MATCH($Z39,Points_Lookup!$AE:$AE,0)),IF($B$4="R&amp;T Level 5 - Clinical Lecturers (Vet School)",SUMIF(Points_Lookup!$M:$M,$B39,Points_Lookup!$P:$P),IF($B$4="R&amp;T Level 6 - Clinical Associate Professors and Clinical Readers (Vet School)",SUMIF(Points_Lookup!$T:$T,$B39,Points_Lookup!$W:$W),IFERROR(INDEX(Points_Lookup!$B:$B,MATCH($Z39,Points_Lookup!$AE:$AE,0)),""))))))))</f>
        <v>34956</v>
      </c>
      <c r="D39" s="36"/>
      <c r="E39" s="25">
        <f ca="1">IF($B39="","",IF(AND($B$4="Salary Points 3 to 57",B39&lt;Thresholds_Rates!$C$16),"-",IF(SUMIF(Grades!$A:$A,$B$4,Grades!$BO:$BO)=0,"-",IF(AND($B$4="Salary Points 3 to 57",B39&gt;=Thresholds_Rates!$C$16),$C39*Thresholds_Rates!$F$15,IF(AND(OR($B$4="New Consultant Contract"),$B39&lt;&gt;""),$C39*Thresholds_Rates!$F$15,IF(AND(OR($B$4="Clinical Lecturer / Medical Research Fellow",$B$4="Clinical Consultant - Old Contract (GP)"),$B39&lt;&gt;""),$C39*Thresholds_Rates!$F$15,IF(OR($B$4="APM Level 7",$B$4="R&amp;T Level 7"),$C39*Thresholds_Rates!$F$15,IF(SUMIF(Grades!$A:$A,$B$4,Grades!$BO:$BO)=1,$C39*Thresholds_Rates!$F$15,""))))))))</f>
        <v>6292.08</v>
      </c>
      <c r="F39" s="25" t="str">
        <f ca="1">IF(B39="","",IF($B$4="Salary Points 3 to 57","-",IF(SUMIF(Grades!$A:$A,$B$4,Grades!$BP:$BP)=0,"-",IF(AND(OR($B$4="New Consultant Contract"),$B39&lt;&gt;""),$C39*Thresholds_Rates!$F$16,IF(AND(OR($B$4="Clinical Lecturer / Medical Research Fellow",$B$4="Clinical Consultant - Old Contract (GP)"),$B39&lt;&gt;""),$C39*Thresholds_Rates!$F$16,IF(AND(OR($B$4="APM Level 7",$B$4="R&amp;T Level 7"),E39&lt;&gt;""),$C39*Thresholds_Rates!$F$16,IF(SUMIF(Grades!$A:$A,$B$4,Grades!$BP:$BP)=1,$C39*Thresholds_Rates!$F$16,"")))))))</f>
        <v>-</v>
      </c>
      <c r="G39" s="25" t="str">
        <f ca="1">IF($B$4="Apprenticeship","-",IF(B39="","",IF(SUMIF(Grades!$A:$A,$B$4,Grades!$BQ:$BQ)=0,"-",IF(AND($B$4="Salary Points 3 to 57",B39&gt;Thresholds_Rates!$C$17),"-",IF(AND($B$4="Salary Points 3 to 57",B39&lt;=Thresholds_Rates!$C$17),$C39*Thresholds_Rates!$F$17,IF(AND(OR($B$4="New Consultant Contract"),$B39&lt;&gt;""),$C39*Thresholds_Rates!$F$17,IF(AND(OR($B$4="Clinical Lecturer / Medical Research Fellow",$B$4="Clinical Consultant - Old Contract (GP)"),$B39&lt;&gt;""),$C39*Thresholds_Rates!$F$17,IF(AND(OR($B$4="APM Level 7",$B$4="R&amp;T Level 7"),F39&lt;&gt;""),$C39*Thresholds_Rates!$F$17,IF(SUMIF(Grades!$A:$A,$B$4,Grades!$BQ:$BQ)=1,$C39*Thresholds_Rates!$F$17,"")))))))))</f>
        <v>-</v>
      </c>
      <c r="H39" s="25">
        <f ca="1">IF($B39="","",ROUND(($C39-(Thresholds_Rates!$C$5*12))*Thresholds_Rates!$C$10,0))</f>
        <v>3698</v>
      </c>
      <c r="I39" s="25">
        <f ca="1">IF(B39="","",(C39*Thresholds_Rates!$C$12))</f>
        <v>174.78</v>
      </c>
      <c r="J39" s="25" t="str">
        <f ca="1">IF(B39="","",IF(AND($B$4="Salary Points 3 to 57",B39&gt;Thresholds_Rates!$C$17),"-",IF(SUMIF(Grades!$A:$A,$B$4,Grades!$BR:$BR)=0,"-",IF(AND($B$4="Salary Points 3 to 57",B39&lt;=Thresholds_Rates!$C$17),$C39*Thresholds_Rates!$F$18,IF(AND(OR($B$4="New Consultant Contract"),$B39&lt;&gt;""),$C39*Thresholds_Rates!$F$18,IF(AND(OR($B$4="Clinical Lecturer / Medical Research Fellow",$B$4="Clinical Consultant - Old Contract (GP)"),$B39&lt;&gt;""),$C39*Thresholds_Rates!$F$18,IF(AND(OR($B$4="APM Level 7",$B$4="R&amp;T Level 7"),H39&lt;&gt;""),$C39*Thresholds_Rates!$F$18,IF(SUMIF(Grades!$A:$A,$B$4,Grades!$BQ:$BQ)=1,$C39*Thresholds_Rates!$F$18,""))))))))</f>
        <v>-</v>
      </c>
      <c r="K39" s="4"/>
      <c r="L39" s="25">
        <f t="shared" ca="1" si="1"/>
        <v>45120.86</v>
      </c>
      <c r="M39" s="25" t="str">
        <f t="shared" ca="1" si="2"/>
        <v>-</v>
      </c>
      <c r="N39" s="25" t="str">
        <f t="shared" ca="1" si="3"/>
        <v>-</v>
      </c>
      <c r="O39" s="25" t="str">
        <f t="shared" ca="1" si="4"/>
        <v>-</v>
      </c>
      <c r="P39" s="25">
        <f t="shared" ca="1" si="5"/>
        <v>38828.78</v>
      </c>
      <c r="R39" s="28" t="str">
        <f ca="1">IF(B39="","",IF($B$4="R&amp;T Level 5 - Clinical Lecturers (Vet School)",SUMIF(Points_Lookup!$M:$M,$B39,Points_Lookup!$N:$N),IF($B$4="R&amp;T Level 6 - Clinical Associate Professors and Clinical Readers (Vet School)",SUMIF(Points_Lookup!$T:$T,$B39,Points_Lookup!$U:$U),"")))</f>
        <v/>
      </c>
      <c r="S39" s="29" t="str">
        <f ca="1">IF(B39="","",IF($B$4="R&amp;T Level 5 - Clinical Lecturers (Vet School)",$C39-SUMIF(Points_Lookup!$M:$M,$B39,Points_Lookup!$O:$O),IF($B$4="R&amp;T Level 6 - Clinical Associate Professors and Clinical Readers (Vet School)",$C39-SUMIF(Points_Lookup!$T:$T,$B39,Points_Lookup!$V:$V),"")))</f>
        <v/>
      </c>
      <c r="T39" s="28" t="str">
        <f ca="1">IF(B39="","",IF($B$4="R&amp;T Level 5 - Clinical Lecturers (Vet School)",SUMIF(Points_Lookup!$M:$M,$B39,Points_Lookup!$Q:$Q),IF($B$4="R&amp;T Level 6 - Clinical Associate Professors and Clinical Readers (Vet School)",SUMIF(Points_Lookup!$T:$T,$B39,Points_Lookup!$X:$X),"")))</f>
        <v/>
      </c>
      <c r="U39" s="29" t="str">
        <f t="shared" ca="1" si="0"/>
        <v/>
      </c>
      <c r="Z39" s="26">
        <v>31</v>
      </c>
    </row>
    <row r="40" spans="2:26" x14ac:dyDescent="0.25">
      <c r="B40" s="4">
        <f ca="1">IFERROR(INDEX(Points_Lookup!$A:$A,MATCH($Z40,Points_Lookup!$AE:$AE,0)),"")</f>
        <v>34</v>
      </c>
      <c r="C40" s="25">
        <f ca="1">IF(B40="","",IF($B$4="Apprenticeship",SUMIF(Points_Lookup!$AA:$AA,B40,Points_Lookup!$AC:$AC),IF(AND(OR($B$4="New Consultant Contract"),$B40&lt;&gt;""),INDEX(Points_Lookup!$K:$K,MATCH($B40,Points_Lookup!$J:$J,0)),IF(AND(OR($B$4="Clinical Lecturer / Medical Research Fellow",$B$4="Clinical Consultant - Old Contract (GP)"),$B40&lt;&gt;""),INDEX(Points_Lookup!$H:$H,MATCH($B40,Points_Lookup!$G:$G,0)),IF(AND(OR($B$4="APM Level 7",$B$4="R&amp;T Level 7",$B$4="APM Level 8"),B40&lt;&gt;""),INDEX(Points_Lookup!$E:$E,MATCH($Z40,Points_Lookup!$AE:$AE,0)),IF($B$4="R&amp;T Level 5 - Clinical Lecturers (Vet School)",SUMIF(Points_Lookup!$M:$M,$B40,Points_Lookup!$P:$P),IF($B$4="R&amp;T Level 6 - Clinical Associate Professors and Clinical Readers (Vet School)",SUMIF(Points_Lookup!$T:$T,$B40,Points_Lookup!$W:$W),IFERROR(INDEX(Points_Lookup!$B:$B,MATCH($Z40,Points_Lookup!$AE:$AE,0)),""))))))))</f>
        <v>36001</v>
      </c>
      <c r="D40" s="36"/>
      <c r="E40" s="25">
        <f ca="1">IF($B40="","",IF(AND($B$4="Salary Points 3 to 57",B40&lt;Thresholds_Rates!$C$16),"-",IF(SUMIF(Grades!$A:$A,$B$4,Grades!$BO:$BO)=0,"-",IF(AND($B$4="Salary Points 3 to 57",B40&gt;=Thresholds_Rates!$C$16),$C40*Thresholds_Rates!$F$15,IF(AND(OR($B$4="New Consultant Contract"),$B40&lt;&gt;""),$C40*Thresholds_Rates!$F$15,IF(AND(OR($B$4="Clinical Lecturer / Medical Research Fellow",$B$4="Clinical Consultant - Old Contract (GP)"),$B40&lt;&gt;""),$C40*Thresholds_Rates!$F$15,IF(OR($B$4="APM Level 7",$B$4="R&amp;T Level 7"),$C40*Thresholds_Rates!$F$15,IF(SUMIF(Grades!$A:$A,$B$4,Grades!$BO:$BO)=1,$C40*Thresholds_Rates!$F$15,""))))))))</f>
        <v>6480.1799999999994</v>
      </c>
      <c r="F40" s="25" t="str">
        <f ca="1">IF(B40="","",IF($B$4="Salary Points 3 to 57","-",IF(SUMIF(Grades!$A:$A,$B$4,Grades!$BP:$BP)=0,"-",IF(AND(OR($B$4="New Consultant Contract"),$B40&lt;&gt;""),$C40*Thresholds_Rates!$F$16,IF(AND(OR($B$4="Clinical Lecturer / Medical Research Fellow",$B$4="Clinical Consultant - Old Contract (GP)"),$B40&lt;&gt;""),$C40*Thresholds_Rates!$F$16,IF(AND(OR($B$4="APM Level 7",$B$4="R&amp;T Level 7"),E40&lt;&gt;""),$C40*Thresholds_Rates!$F$16,IF(SUMIF(Grades!$A:$A,$B$4,Grades!$BP:$BP)=1,$C40*Thresholds_Rates!$F$16,"")))))))</f>
        <v>-</v>
      </c>
      <c r="G40" s="25" t="str">
        <f ca="1">IF($B$4="Apprenticeship","-",IF(B40="","",IF(SUMIF(Grades!$A:$A,$B$4,Grades!$BQ:$BQ)=0,"-",IF(AND($B$4="Salary Points 3 to 57",B40&gt;Thresholds_Rates!$C$17),"-",IF(AND($B$4="Salary Points 3 to 57",B40&lt;=Thresholds_Rates!$C$17),$C40*Thresholds_Rates!$F$17,IF(AND(OR($B$4="New Consultant Contract"),$B40&lt;&gt;""),$C40*Thresholds_Rates!$F$17,IF(AND(OR($B$4="Clinical Lecturer / Medical Research Fellow",$B$4="Clinical Consultant - Old Contract (GP)"),$B40&lt;&gt;""),$C40*Thresholds_Rates!$F$17,IF(AND(OR($B$4="APM Level 7",$B$4="R&amp;T Level 7"),F40&lt;&gt;""),$C40*Thresholds_Rates!$F$17,IF(SUMIF(Grades!$A:$A,$B$4,Grades!$BQ:$BQ)=1,$C40*Thresholds_Rates!$F$17,"")))))))))</f>
        <v>-</v>
      </c>
      <c r="H40" s="25">
        <f ca="1">IF($B40="","",ROUND(($C40-(Thresholds_Rates!$C$5*12))*Thresholds_Rates!$C$10,0))</f>
        <v>3842</v>
      </c>
      <c r="I40" s="25">
        <f ca="1">IF(B40="","",(C40*Thresholds_Rates!$C$12))</f>
        <v>180.005</v>
      </c>
      <c r="J40" s="25" t="str">
        <f ca="1">IF(B40="","",IF(AND($B$4="Salary Points 3 to 57",B40&gt;Thresholds_Rates!$C$17),"-",IF(SUMIF(Grades!$A:$A,$B$4,Grades!$BR:$BR)=0,"-",IF(AND($B$4="Salary Points 3 to 57",B40&lt;=Thresholds_Rates!$C$17),$C40*Thresholds_Rates!$F$18,IF(AND(OR($B$4="New Consultant Contract"),$B40&lt;&gt;""),$C40*Thresholds_Rates!$F$18,IF(AND(OR($B$4="Clinical Lecturer / Medical Research Fellow",$B$4="Clinical Consultant - Old Contract (GP)"),$B40&lt;&gt;""),$C40*Thresholds_Rates!$F$18,IF(AND(OR($B$4="APM Level 7",$B$4="R&amp;T Level 7"),H40&lt;&gt;""),$C40*Thresholds_Rates!$F$18,IF(SUMIF(Grades!$A:$A,$B$4,Grades!$BQ:$BQ)=1,$C40*Thresholds_Rates!$F$18,""))))))))</f>
        <v>-</v>
      </c>
      <c r="K40" s="4"/>
      <c r="L40" s="25">
        <f t="shared" ca="1" si="1"/>
        <v>46503.184999999998</v>
      </c>
      <c r="M40" s="25" t="str">
        <f t="shared" ca="1" si="2"/>
        <v>-</v>
      </c>
      <c r="N40" s="25" t="str">
        <f t="shared" ca="1" si="3"/>
        <v>-</v>
      </c>
      <c r="O40" s="25" t="str">
        <f t="shared" ca="1" si="4"/>
        <v>-</v>
      </c>
      <c r="P40" s="25">
        <f t="shared" ca="1" si="5"/>
        <v>40023.004999999997</v>
      </c>
      <c r="R40" s="28" t="str">
        <f ca="1">IF(B40="","",IF($B$4="R&amp;T Level 5 - Clinical Lecturers (Vet School)",SUMIF(Points_Lookup!$M:$M,$B40,Points_Lookup!$N:$N),IF($B$4="R&amp;T Level 6 - Clinical Associate Professors and Clinical Readers (Vet School)",SUMIF(Points_Lookup!$T:$T,$B40,Points_Lookup!$U:$U),"")))</f>
        <v/>
      </c>
      <c r="S40" s="29" t="str">
        <f ca="1">IF(B40="","",IF($B$4="R&amp;T Level 5 - Clinical Lecturers (Vet School)",$C40-SUMIF(Points_Lookup!$M:$M,$B40,Points_Lookup!$O:$O),IF($B$4="R&amp;T Level 6 - Clinical Associate Professors and Clinical Readers (Vet School)",$C40-SUMIF(Points_Lookup!$T:$T,$B40,Points_Lookup!$V:$V),"")))</f>
        <v/>
      </c>
      <c r="T40" s="28" t="str">
        <f ca="1">IF(B40="","",IF($B$4="R&amp;T Level 5 - Clinical Lecturers (Vet School)",SUMIF(Points_Lookup!$M:$M,$B40,Points_Lookup!$Q:$Q),IF($B$4="R&amp;T Level 6 - Clinical Associate Professors and Clinical Readers (Vet School)",SUMIF(Points_Lookup!$T:$T,$B40,Points_Lookup!$X:$X),"")))</f>
        <v/>
      </c>
      <c r="U40" s="29" t="str">
        <f t="shared" ca="1" si="0"/>
        <v/>
      </c>
      <c r="Z40" s="26">
        <v>32</v>
      </c>
    </row>
    <row r="41" spans="2:26" x14ac:dyDescent="0.25">
      <c r="B41" s="4">
        <f ca="1">IFERROR(INDEX(Points_Lookup!$A:$A,MATCH($Z41,Points_Lookup!$AE:$AE,0)),"")</f>
        <v>35</v>
      </c>
      <c r="C41" s="25">
        <f ca="1">IF(B41="","",IF($B$4="Apprenticeship",SUMIF(Points_Lookup!$AA:$AA,B41,Points_Lookup!$AC:$AC),IF(AND(OR($B$4="New Consultant Contract"),$B41&lt;&gt;""),INDEX(Points_Lookup!$K:$K,MATCH($B41,Points_Lookup!$J:$J,0)),IF(AND(OR($B$4="Clinical Lecturer / Medical Research Fellow",$B$4="Clinical Consultant - Old Contract (GP)"),$B41&lt;&gt;""),INDEX(Points_Lookup!$H:$H,MATCH($B41,Points_Lookup!$G:$G,0)),IF(AND(OR($B$4="APM Level 7",$B$4="R&amp;T Level 7",$B$4="APM Level 8"),B41&lt;&gt;""),INDEX(Points_Lookup!$E:$E,MATCH($Z41,Points_Lookup!$AE:$AE,0)),IF($B$4="R&amp;T Level 5 - Clinical Lecturers (Vet School)",SUMIF(Points_Lookup!$M:$M,$B41,Points_Lookup!$P:$P),IF($B$4="R&amp;T Level 6 - Clinical Associate Professors and Clinical Readers (Vet School)",SUMIF(Points_Lookup!$T:$T,$B41,Points_Lookup!$W:$W),IFERROR(INDEX(Points_Lookup!$B:$B,MATCH($Z41,Points_Lookup!$AE:$AE,0)),""))))))))</f>
        <v>37075</v>
      </c>
      <c r="D41" s="36"/>
      <c r="E41" s="25">
        <f ca="1">IF($B41="","",IF(AND($B$4="Salary Points 3 to 57",B41&lt;Thresholds_Rates!$C$16),"-",IF(SUMIF(Grades!$A:$A,$B$4,Grades!$BO:$BO)=0,"-",IF(AND($B$4="Salary Points 3 to 57",B41&gt;=Thresholds_Rates!$C$16),$C41*Thresholds_Rates!$F$15,IF(AND(OR($B$4="New Consultant Contract"),$B41&lt;&gt;""),$C41*Thresholds_Rates!$F$15,IF(AND(OR($B$4="Clinical Lecturer / Medical Research Fellow",$B$4="Clinical Consultant - Old Contract (GP)"),$B41&lt;&gt;""),$C41*Thresholds_Rates!$F$15,IF(OR($B$4="APM Level 7",$B$4="R&amp;T Level 7"),$C41*Thresholds_Rates!$F$15,IF(SUMIF(Grades!$A:$A,$B$4,Grades!$BO:$BO)=1,$C41*Thresholds_Rates!$F$15,""))))))))</f>
        <v>6673.5</v>
      </c>
      <c r="F41" s="25" t="str">
        <f ca="1">IF(B41="","",IF($B$4="Salary Points 3 to 57","-",IF(SUMIF(Grades!$A:$A,$B$4,Grades!$BP:$BP)=0,"-",IF(AND(OR($B$4="New Consultant Contract"),$B41&lt;&gt;""),$C41*Thresholds_Rates!$F$16,IF(AND(OR($B$4="Clinical Lecturer / Medical Research Fellow",$B$4="Clinical Consultant - Old Contract (GP)"),$B41&lt;&gt;""),$C41*Thresholds_Rates!$F$16,IF(AND(OR($B$4="APM Level 7",$B$4="R&amp;T Level 7"),E41&lt;&gt;""),$C41*Thresholds_Rates!$F$16,IF(SUMIF(Grades!$A:$A,$B$4,Grades!$BP:$BP)=1,$C41*Thresholds_Rates!$F$16,"")))))))</f>
        <v>-</v>
      </c>
      <c r="G41" s="25" t="str">
        <f ca="1">IF($B$4="Apprenticeship","-",IF(B41="","",IF(SUMIF(Grades!$A:$A,$B$4,Grades!$BQ:$BQ)=0,"-",IF(AND($B$4="Salary Points 3 to 57",B41&gt;Thresholds_Rates!$C$17),"-",IF(AND($B$4="Salary Points 3 to 57",B41&lt;=Thresholds_Rates!$C$17),$C41*Thresholds_Rates!$F$17,IF(AND(OR($B$4="New Consultant Contract"),$B41&lt;&gt;""),$C41*Thresholds_Rates!$F$17,IF(AND(OR($B$4="Clinical Lecturer / Medical Research Fellow",$B$4="Clinical Consultant - Old Contract (GP)"),$B41&lt;&gt;""),$C41*Thresholds_Rates!$F$17,IF(AND(OR($B$4="APM Level 7",$B$4="R&amp;T Level 7"),F41&lt;&gt;""),$C41*Thresholds_Rates!$F$17,IF(SUMIF(Grades!$A:$A,$B$4,Grades!$BQ:$BQ)=1,$C41*Thresholds_Rates!$F$17,"")))))))))</f>
        <v>-</v>
      </c>
      <c r="H41" s="25">
        <f ca="1">IF($B41="","",ROUND(($C41-(Thresholds_Rates!$C$5*12))*Thresholds_Rates!$C$10,0))</f>
        <v>3990</v>
      </c>
      <c r="I41" s="25">
        <f ca="1">IF(B41="","",(C41*Thresholds_Rates!$C$12))</f>
        <v>185.375</v>
      </c>
      <c r="J41" s="25" t="str">
        <f ca="1">IF(B41="","",IF(AND($B$4="Salary Points 3 to 57",B41&gt;Thresholds_Rates!$C$17),"-",IF(SUMIF(Grades!$A:$A,$B$4,Grades!$BR:$BR)=0,"-",IF(AND($B$4="Salary Points 3 to 57",B41&lt;=Thresholds_Rates!$C$17),$C41*Thresholds_Rates!$F$18,IF(AND(OR($B$4="New Consultant Contract"),$B41&lt;&gt;""),$C41*Thresholds_Rates!$F$18,IF(AND(OR($B$4="Clinical Lecturer / Medical Research Fellow",$B$4="Clinical Consultant - Old Contract (GP)"),$B41&lt;&gt;""),$C41*Thresholds_Rates!$F$18,IF(AND(OR($B$4="APM Level 7",$B$4="R&amp;T Level 7"),H41&lt;&gt;""),$C41*Thresholds_Rates!$F$18,IF(SUMIF(Grades!$A:$A,$B$4,Grades!$BQ:$BQ)=1,$C41*Thresholds_Rates!$F$18,""))))))))</f>
        <v>-</v>
      </c>
      <c r="K41" s="4"/>
      <c r="L41" s="25">
        <f t="shared" ca="1" si="1"/>
        <v>47923.875</v>
      </c>
      <c r="M41" s="25" t="str">
        <f t="shared" ca="1" si="2"/>
        <v>-</v>
      </c>
      <c r="N41" s="25" t="str">
        <f t="shared" ca="1" si="3"/>
        <v>-</v>
      </c>
      <c r="O41" s="25" t="str">
        <f t="shared" ca="1" si="4"/>
        <v>-</v>
      </c>
      <c r="P41" s="25">
        <f t="shared" ca="1" si="5"/>
        <v>41250.375</v>
      </c>
      <c r="R41" s="28" t="str">
        <f ca="1">IF(B41="","",IF($B$4="R&amp;T Level 5 - Clinical Lecturers (Vet School)",SUMIF(Points_Lookup!$M:$M,$B41,Points_Lookup!$N:$N),IF($B$4="R&amp;T Level 6 - Clinical Associate Professors and Clinical Readers (Vet School)",SUMIF(Points_Lookup!$T:$T,$B41,Points_Lookup!$U:$U),"")))</f>
        <v/>
      </c>
      <c r="S41" s="29" t="str">
        <f ca="1">IF(B41="","",IF($B$4="R&amp;T Level 5 - Clinical Lecturers (Vet School)",$C41-SUMIF(Points_Lookup!$M:$M,$B41,Points_Lookup!$O:$O),IF($B$4="R&amp;T Level 6 - Clinical Associate Professors and Clinical Readers (Vet School)",$C41-SUMIF(Points_Lookup!$T:$T,$B41,Points_Lookup!$V:$V),"")))</f>
        <v/>
      </c>
      <c r="T41" s="28" t="str">
        <f ca="1">IF(B41="","",IF($B$4="R&amp;T Level 5 - Clinical Lecturers (Vet School)",SUMIF(Points_Lookup!$M:$M,$B41,Points_Lookup!$Q:$Q),IF($B$4="R&amp;T Level 6 - Clinical Associate Professors and Clinical Readers (Vet School)",SUMIF(Points_Lookup!$T:$T,$B41,Points_Lookup!$X:$X),"")))</f>
        <v/>
      </c>
      <c r="U41" s="29" t="str">
        <f t="shared" ref="U41:U72" ca="1" si="6">IF(B41="","",IF($B$4="R&amp;T Level 5 - Clinical Lecturers (Vet School)",ROUND(C41*T41,0),IF($B$4="R&amp;T Level 6 - Clinical Associate Professors and Clinical Readers (Vet School)",ROUND(C41*T41,0),"")))</f>
        <v/>
      </c>
      <c r="Z41" s="26">
        <v>33</v>
      </c>
    </row>
    <row r="42" spans="2:26" x14ac:dyDescent="0.25">
      <c r="B42" s="4">
        <f ca="1">IFERROR(INDEX(Points_Lookup!$A:$A,MATCH($Z42,Points_Lookup!$AE:$AE,0)),"")</f>
        <v>36</v>
      </c>
      <c r="C42" s="25">
        <f ca="1">IF(B42="","",IF($B$4="Apprenticeship",SUMIF(Points_Lookup!$AA:$AA,B42,Points_Lookup!$AC:$AC),IF(AND(OR($B$4="New Consultant Contract"),$B42&lt;&gt;""),INDEX(Points_Lookup!$K:$K,MATCH($B42,Points_Lookup!$J:$J,0)),IF(AND(OR($B$4="Clinical Lecturer / Medical Research Fellow",$B$4="Clinical Consultant - Old Contract (GP)"),$B42&lt;&gt;""),INDEX(Points_Lookup!$H:$H,MATCH($B42,Points_Lookup!$G:$G,0)),IF(AND(OR($B$4="APM Level 7",$B$4="R&amp;T Level 7",$B$4="APM Level 8"),B42&lt;&gt;""),INDEX(Points_Lookup!$E:$E,MATCH($Z42,Points_Lookup!$AE:$AE,0)),IF($B$4="R&amp;T Level 5 - Clinical Lecturers (Vet School)",SUMIF(Points_Lookup!$M:$M,$B42,Points_Lookup!$P:$P),IF($B$4="R&amp;T Level 6 - Clinical Associate Professors and Clinical Readers (Vet School)",SUMIF(Points_Lookup!$T:$T,$B42,Points_Lookup!$W:$W),IFERROR(INDEX(Points_Lookup!$B:$B,MATCH($Z42,Points_Lookup!$AE:$AE,0)),""))))))))</f>
        <v>38183</v>
      </c>
      <c r="D42" s="36"/>
      <c r="E42" s="25">
        <f ca="1">IF($B42="","",IF(AND($B$4="Salary Points 3 to 57",B42&lt;Thresholds_Rates!$C$16),"-",IF(SUMIF(Grades!$A:$A,$B$4,Grades!$BO:$BO)=0,"-",IF(AND($B$4="Salary Points 3 to 57",B42&gt;=Thresholds_Rates!$C$16),$C42*Thresholds_Rates!$F$15,IF(AND(OR($B$4="New Consultant Contract"),$B42&lt;&gt;""),$C42*Thresholds_Rates!$F$15,IF(AND(OR($B$4="Clinical Lecturer / Medical Research Fellow",$B$4="Clinical Consultant - Old Contract (GP)"),$B42&lt;&gt;""),$C42*Thresholds_Rates!$F$15,IF(OR($B$4="APM Level 7",$B$4="R&amp;T Level 7"),$C42*Thresholds_Rates!$F$15,IF(SUMIF(Grades!$A:$A,$B$4,Grades!$BO:$BO)=1,$C42*Thresholds_Rates!$F$15,""))))))))</f>
        <v>6872.94</v>
      </c>
      <c r="F42" s="25" t="str">
        <f ca="1">IF(B42="","",IF($B$4="Salary Points 3 to 57","-",IF(SUMIF(Grades!$A:$A,$B$4,Grades!$BP:$BP)=0,"-",IF(AND(OR($B$4="New Consultant Contract"),$B42&lt;&gt;""),$C42*Thresholds_Rates!$F$16,IF(AND(OR($B$4="Clinical Lecturer / Medical Research Fellow",$B$4="Clinical Consultant - Old Contract (GP)"),$B42&lt;&gt;""),$C42*Thresholds_Rates!$F$16,IF(AND(OR($B$4="APM Level 7",$B$4="R&amp;T Level 7"),E42&lt;&gt;""),$C42*Thresholds_Rates!$F$16,IF(SUMIF(Grades!$A:$A,$B$4,Grades!$BP:$BP)=1,$C42*Thresholds_Rates!$F$16,"")))))))</f>
        <v>-</v>
      </c>
      <c r="G42" s="25" t="str">
        <f ca="1">IF($B$4="Apprenticeship","-",IF(B42="","",IF(SUMIF(Grades!$A:$A,$B$4,Grades!$BQ:$BQ)=0,"-",IF(AND($B$4="Salary Points 3 to 57",B42&gt;Thresholds_Rates!$C$17),"-",IF(AND($B$4="Salary Points 3 to 57",B42&lt;=Thresholds_Rates!$C$17),$C42*Thresholds_Rates!$F$17,IF(AND(OR($B$4="New Consultant Contract"),$B42&lt;&gt;""),$C42*Thresholds_Rates!$F$17,IF(AND(OR($B$4="Clinical Lecturer / Medical Research Fellow",$B$4="Clinical Consultant - Old Contract (GP)"),$B42&lt;&gt;""),$C42*Thresholds_Rates!$F$17,IF(AND(OR($B$4="APM Level 7",$B$4="R&amp;T Level 7"),F42&lt;&gt;""),$C42*Thresholds_Rates!$F$17,IF(SUMIF(Grades!$A:$A,$B$4,Grades!$BQ:$BQ)=1,$C42*Thresholds_Rates!$F$17,"")))))))))</f>
        <v>-</v>
      </c>
      <c r="H42" s="25">
        <f ca="1">IF($B42="","",ROUND(($C42-(Thresholds_Rates!$C$5*12))*Thresholds_Rates!$C$10,0))</f>
        <v>4143</v>
      </c>
      <c r="I42" s="25">
        <f ca="1">IF(B42="","",(C42*Thresholds_Rates!$C$12))</f>
        <v>190.91499999999999</v>
      </c>
      <c r="J42" s="25" t="str">
        <f ca="1">IF(B42="","",IF(AND($B$4="Salary Points 3 to 57",B42&gt;Thresholds_Rates!$C$17),"-",IF(SUMIF(Grades!$A:$A,$B$4,Grades!$BR:$BR)=0,"-",IF(AND($B$4="Salary Points 3 to 57",B42&lt;=Thresholds_Rates!$C$17),$C42*Thresholds_Rates!$F$18,IF(AND(OR($B$4="New Consultant Contract"),$B42&lt;&gt;""),$C42*Thresholds_Rates!$F$18,IF(AND(OR($B$4="Clinical Lecturer / Medical Research Fellow",$B$4="Clinical Consultant - Old Contract (GP)"),$B42&lt;&gt;""),$C42*Thresholds_Rates!$F$18,IF(AND(OR($B$4="APM Level 7",$B$4="R&amp;T Level 7"),H42&lt;&gt;""),$C42*Thresholds_Rates!$F$18,IF(SUMIF(Grades!$A:$A,$B$4,Grades!$BQ:$BQ)=1,$C42*Thresholds_Rates!$F$18,""))))))))</f>
        <v>-</v>
      </c>
      <c r="K42" s="4"/>
      <c r="L42" s="25">
        <f t="shared" ca="1" si="1"/>
        <v>49389.855000000003</v>
      </c>
      <c r="M42" s="25" t="str">
        <f t="shared" ca="1" si="2"/>
        <v>-</v>
      </c>
      <c r="N42" s="25" t="str">
        <f t="shared" ca="1" si="3"/>
        <v>-</v>
      </c>
      <c r="O42" s="25" t="str">
        <f t="shared" ca="1" si="4"/>
        <v>-</v>
      </c>
      <c r="P42" s="25">
        <f t="shared" ca="1" si="5"/>
        <v>42516.915000000001</v>
      </c>
      <c r="R42" s="28" t="str">
        <f ca="1">IF(B42="","",IF($B$4="R&amp;T Level 5 - Clinical Lecturers (Vet School)",SUMIF(Points_Lookup!$M:$M,$B42,Points_Lookup!$N:$N),IF($B$4="R&amp;T Level 6 - Clinical Associate Professors and Clinical Readers (Vet School)",SUMIF(Points_Lookup!$T:$T,$B42,Points_Lookup!$U:$U),"")))</f>
        <v/>
      </c>
      <c r="S42" s="29" t="str">
        <f ca="1">IF(B42="","",IF($B$4="R&amp;T Level 5 - Clinical Lecturers (Vet School)",$C42-SUMIF(Points_Lookup!$M:$M,$B42,Points_Lookup!$O:$O),IF($B$4="R&amp;T Level 6 - Clinical Associate Professors and Clinical Readers (Vet School)",$C42-SUMIF(Points_Lookup!$T:$T,$B42,Points_Lookup!$V:$V),"")))</f>
        <v/>
      </c>
      <c r="T42" s="28" t="str">
        <f ca="1">IF(B42="","",IF($B$4="R&amp;T Level 5 - Clinical Lecturers (Vet School)",SUMIF(Points_Lookup!$M:$M,$B42,Points_Lookup!$Q:$Q),IF($B$4="R&amp;T Level 6 - Clinical Associate Professors and Clinical Readers (Vet School)",SUMIF(Points_Lookup!$T:$T,$B42,Points_Lookup!$X:$X),"")))</f>
        <v/>
      </c>
      <c r="U42" s="29" t="str">
        <f t="shared" ca="1" si="6"/>
        <v/>
      </c>
      <c r="Z42" s="26">
        <v>34</v>
      </c>
    </row>
    <row r="43" spans="2:26" x14ac:dyDescent="0.25">
      <c r="B43" s="4">
        <f ca="1">IFERROR(INDEX(Points_Lookup!$A:$A,MATCH($Z43,Points_Lookup!$AE:$AE,0)),"")</f>
        <v>37</v>
      </c>
      <c r="C43" s="25">
        <f ca="1">IF(B43="","",IF($B$4="Apprenticeship",SUMIF(Points_Lookup!$AA:$AA,B43,Points_Lookup!$AC:$AC),IF(AND(OR($B$4="New Consultant Contract"),$B43&lt;&gt;""),INDEX(Points_Lookup!$K:$K,MATCH($B43,Points_Lookup!$J:$J,0)),IF(AND(OR($B$4="Clinical Lecturer / Medical Research Fellow",$B$4="Clinical Consultant - Old Contract (GP)"),$B43&lt;&gt;""),INDEX(Points_Lookup!$H:$H,MATCH($B43,Points_Lookup!$G:$G,0)),IF(AND(OR($B$4="APM Level 7",$B$4="R&amp;T Level 7",$B$4="APM Level 8"),B43&lt;&gt;""),INDEX(Points_Lookup!$E:$E,MATCH($Z43,Points_Lookup!$AE:$AE,0)),IF($B$4="R&amp;T Level 5 - Clinical Lecturers (Vet School)",SUMIF(Points_Lookup!$M:$M,$B43,Points_Lookup!$P:$P),IF($B$4="R&amp;T Level 6 - Clinical Associate Professors and Clinical Readers (Vet School)",SUMIF(Points_Lookup!$T:$T,$B43,Points_Lookup!$W:$W),IFERROR(INDEX(Points_Lookup!$B:$B,MATCH($Z43,Points_Lookup!$AE:$AE,0)),""))))))))</f>
        <v>39324</v>
      </c>
      <c r="D43" s="36"/>
      <c r="E43" s="25">
        <f ca="1">IF($B43="","",IF(AND($B$4="Salary Points 3 to 57",B43&lt;Thresholds_Rates!$C$16),"-",IF(SUMIF(Grades!$A:$A,$B$4,Grades!$BO:$BO)=0,"-",IF(AND($B$4="Salary Points 3 to 57",B43&gt;=Thresholds_Rates!$C$16),$C43*Thresholds_Rates!$F$15,IF(AND(OR($B$4="New Consultant Contract"),$B43&lt;&gt;""),$C43*Thresholds_Rates!$F$15,IF(AND(OR($B$4="Clinical Lecturer / Medical Research Fellow",$B$4="Clinical Consultant - Old Contract (GP)"),$B43&lt;&gt;""),$C43*Thresholds_Rates!$F$15,IF(OR($B$4="APM Level 7",$B$4="R&amp;T Level 7"),$C43*Thresholds_Rates!$F$15,IF(SUMIF(Grades!$A:$A,$B$4,Grades!$BO:$BO)=1,$C43*Thresholds_Rates!$F$15,""))))))))</f>
        <v>7078.32</v>
      </c>
      <c r="F43" s="25" t="str">
        <f ca="1">IF(B43="","",IF($B$4="Salary Points 3 to 57","-",IF(SUMIF(Grades!$A:$A,$B$4,Grades!$BP:$BP)=0,"-",IF(AND(OR($B$4="New Consultant Contract"),$B43&lt;&gt;""),$C43*Thresholds_Rates!$F$16,IF(AND(OR($B$4="Clinical Lecturer / Medical Research Fellow",$B$4="Clinical Consultant - Old Contract (GP)"),$B43&lt;&gt;""),$C43*Thresholds_Rates!$F$16,IF(AND(OR($B$4="APM Level 7",$B$4="R&amp;T Level 7"),E43&lt;&gt;""),$C43*Thresholds_Rates!$F$16,IF(SUMIF(Grades!$A:$A,$B$4,Grades!$BP:$BP)=1,$C43*Thresholds_Rates!$F$16,"")))))))</f>
        <v>-</v>
      </c>
      <c r="G43" s="25" t="str">
        <f ca="1">IF($B$4="Apprenticeship","-",IF(B43="","",IF(SUMIF(Grades!$A:$A,$B$4,Grades!$BQ:$BQ)=0,"-",IF(AND($B$4="Salary Points 3 to 57",B43&gt;Thresholds_Rates!$C$17),"-",IF(AND($B$4="Salary Points 3 to 57",B43&lt;=Thresholds_Rates!$C$17),$C43*Thresholds_Rates!$F$17,IF(AND(OR($B$4="New Consultant Contract"),$B43&lt;&gt;""),$C43*Thresholds_Rates!$F$17,IF(AND(OR($B$4="Clinical Lecturer / Medical Research Fellow",$B$4="Clinical Consultant - Old Contract (GP)"),$B43&lt;&gt;""),$C43*Thresholds_Rates!$F$17,IF(AND(OR($B$4="APM Level 7",$B$4="R&amp;T Level 7"),F43&lt;&gt;""),$C43*Thresholds_Rates!$F$17,IF(SUMIF(Grades!$A:$A,$B$4,Grades!$BQ:$BQ)=1,$C43*Thresholds_Rates!$F$17,"")))))))))</f>
        <v>-</v>
      </c>
      <c r="H43" s="25">
        <f ca="1">IF($B43="","",ROUND(($C43-(Thresholds_Rates!$C$5*12))*Thresholds_Rates!$C$10,0))</f>
        <v>4301</v>
      </c>
      <c r="I43" s="25">
        <f ca="1">IF(B43="","",(C43*Thresholds_Rates!$C$12))</f>
        <v>196.62</v>
      </c>
      <c r="J43" s="25" t="str">
        <f ca="1">IF(B43="","",IF(AND($B$4="Salary Points 3 to 57",B43&gt;Thresholds_Rates!$C$17),"-",IF(SUMIF(Grades!$A:$A,$B$4,Grades!$BR:$BR)=0,"-",IF(AND($B$4="Salary Points 3 to 57",B43&lt;=Thresholds_Rates!$C$17),$C43*Thresholds_Rates!$F$18,IF(AND(OR($B$4="New Consultant Contract"),$B43&lt;&gt;""),$C43*Thresholds_Rates!$F$18,IF(AND(OR($B$4="Clinical Lecturer / Medical Research Fellow",$B$4="Clinical Consultant - Old Contract (GP)"),$B43&lt;&gt;""),$C43*Thresholds_Rates!$F$18,IF(AND(OR($B$4="APM Level 7",$B$4="R&amp;T Level 7"),H43&lt;&gt;""),$C43*Thresholds_Rates!$F$18,IF(SUMIF(Grades!$A:$A,$B$4,Grades!$BQ:$BQ)=1,$C43*Thresholds_Rates!$F$18,""))))))))</f>
        <v>-</v>
      </c>
      <c r="K43" s="4"/>
      <c r="L43" s="25">
        <f t="shared" ca="1" si="1"/>
        <v>50899.94</v>
      </c>
      <c r="M43" s="25" t="str">
        <f t="shared" ca="1" si="2"/>
        <v>-</v>
      </c>
      <c r="N43" s="25" t="str">
        <f t="shared" ca="1" si="3"/>
        <v>-</v>
      </c>
      <c r="O43" s="25" t="str">
        <f t="shared" ca="1" si="4"/>
        <v>-</v>
      </c>
      <c r="P43" s="25">
        <f t="shared" ca="1" si="5"/>
        <v>43821.62</v>
      </c>
      <c r="R43" s="28" t="str">
        <f ca="1">IF(B43="","",IF($B$4="R&amp;T Level 5 - Clinical Lecturers (Vet School)",SUMIF(Points_Lookup!$M:$M,$B43,Points_Lookup!$N:$N),IF($B$4="R&amp;T Level 6 - Clinical Associate Professors and Clinical Readers (Vet School)",SUMIF(Points_Lookup!$T:$T,$B43,Points_Lookup!$U:$U),"")))</f>
        <v/>
      </c>
      <c r="S43" s="29" t="str">
        <f ca="1">IF(B43="","",IF($B$4="R&amp;T Level 5 - Clinical Lecturers (Vet School)",$C43-SUMIF(Points_Lookup!$M:$M,$B43,Points_Lookup!$O:$O),IF($B$4="R&amp;T Level 6 - Clinical Associate Professors and Clinical Readers (Vet School)",$C43-SUMIF(Points_Lookup!$T:$T,$B43,Points_Lookup!$V:$V),"")))</f>
        <v/>
      </c>
      <c r="T43" s="28" t="str">
        <f ca="1">IF(B43="","",IF($B$4="R&amp;T Level 5 - Clinical Lecturers (Vet School)",SUMIF(Points_Lookup!$M:$M,$B43,Points_Lookup!$Q:$Q),IF($B$4="R&amp;T Level 6 - Clinical Associate Professors and Clinical Readers (Vet School)",SUMIF(Points_Lookup!$T:$T,$B43,Points_Lookup!$X:$X),"")))</f>
        <v/>
      </c>
      <c r="U43" s="29" t="str">
        <f t="shared" ca="1" si="6"/>
        <v/>
      </c>
      <c r="Z43" s="26">
        <v>35</v>
      </c>
    </row>
    <row r="44" spans="2:26" x14ac:dyDescent="0.25">
      <c r="B44" s="4">
        <f ca="1">IFERROR(INDEX(Points_Lookup!$A:$A,MATCH($Z44,Points_Lookup!$AE:$AE,0)),"")</f>
        <v>38</v>
      </c>
      <c r="C44" s="25">
        <f ca="1">IF(B44="","",IF($B$4="Apprenticeship",SUMIF(Points_Lookup!$AA:$AA,B44,Points_Lookup!$AC:$AC),IF(AND(OR($B$4="New Consultant Contract"),$B44&lt;&gt;""),INDEX(Points_Lookup!$K:$K,MATCH($B44,Points_Lookup!$J:$J,0)),IF(AND(OR($B$4="Clinical Lecturer / Medical Research Fellow",$B$4="Clinical Consultant - Old Contract (GP)"),$B44&lt;&gt;""),INDEX(Points_Lookup!$H:$H,MATCH($B44,Points_Lookup!$G:$G,0)),IF(AND(OR($B$4="APM Level 7",$B$4="R&amp;T Level 7",$B$4="APM Level 8"),B44&lt;&gt;""),INDEX(Points_Lookup!$E:$E,MATCH($Z44,Points_Lookup!$AE:$AE,0)),IF($B$4="R&amp;T Level 5 - Clinical Lecturers (Vet School)",SUMIF(Points_Lookup!$M:$M,$B44,Points_Lookup!$P:$P),IF($B$4="R&amp;T Level 6 - Clinical Associate Professors and Clinical Readers (Vet School)",SUMIF(Points_Lookup!$T:$T,$B44,Points_Lookup!$W:$W),IFERROR(INDEX(Points_Lookup!$B:$B,MATCH($Z44,Points_Lookup!$AE:$AE,0)),""))))))))</f>
        <v>40523</v>
      </c>
      <c r="D44" s="36"/>
      <c r="E44" s="25">
        <f ca="1">IF($B44="","",IF(AND($B$4="Salary Points 3 to 57",B44&lt;Thresholds_Rates!$C$16),"-",IF(SUMIF(Grades!$A:$A,$B$4,Grades!$BO:$BO)=0,"-",IF(AND($B$4="Salary Points 3 to 57",B44&gt;=Thresholds_Rates!$C$16),$C44*Thresholds_Rates!$F$15,IF(AND(OR($B$4="New Consultant Contract"),$B44&lt;&gt;""),$C44*Thresholds_Rates!$F$15,IF(AND(OR($B$4="Clinical Lecturer / Medical Research Fellow",$B$4="Clinical Consultant - Old Contract (GP)"),$B44&lt;&gt;""),$C44*Thresholds_Rates!$F$15,IF(OR($B$4="APM Level 7",$B$4="R&amp;T Level 7"),$C44*Thresholds_Rates!$F$15,IF(SUMIF(Grades!$A:$A,$B$4,Grades!$BO:$BO)=1,$C44*Thresholds_Rates!$F$15,""))))))))</f>
        <v>7294.1399999999994</v>
      </c>
      <c r="F44" s="25" t="str">
        <f ca="1">IF(B44="","",IF($B$4="Salary Points 3 to 57","-",IF(SUMIF(Grades!$A:$A,$B$4,Grades!$BP:$BP)=0,"-",IF(AND(OR($B$4="New Consultant Contract"),$B44&lt;&gt;""),$C44*Thresholds_Rates!$F$16,IF(AND(OR($B$4="Clinical Lecturer / Medical Research Fellow",$B$4="Clinical Consultant - Old Contract (GP)"),$B44&lt;&gt;""),$C44*Thresholds_Rates!$F$16,IF(AND(OR($B$4="APM Level 7",$B$4="R&amp;T Level 7"),E44&lt;&gt;""),$C44*Thresholds_Rates!$F$16,IF(SUMIF(Grades!$A:$A,$B$4,Grades!$BP:$BP)=1,$C44*Thresholds_Rates!$F$16,"")))))))</f>
        <v>-</v>
      </c>
      <c r="G44" s="25" t="str">
        <f ca="1">IF($B$4="Apprenticeship","-",IF(B44="","",IF(SUMIF(Grades!$A:$A,$B$4,Grades!$BQ:$BQ)=0,"-",IF(AND($B$4="Salary Points 3 to 57",B44&gt;Thresholds_Rates!$C$17),"-",IF(AND($B$4="Salary Points 3 to 57",B44&lt;=Thresholds_Rates!$C$17),$C44*Thresholds_Rates!$F$17,IF(AND(OR($B$4="New Consultant Contract"),$B44&lt;&gt;""),$C44*Thresholds_Rates!$F$17,IF(AND(OR($B$4="Clinical Lecturer / Medical Research Fellow",$B$4="Clinical Consultant - Old Contract (GP)"),$B44&lt;&gt;""),$C44*Thresholds_Rates!$F$17,IF(AND(OR($B$4="APM Level 7",$B$4="R&amp;T Level 7"),F44&lt;&gt;""),$C44*Thresholds_Rates!$F$17,IF(SUMIF(Grades!$A:$A,$B$4,Grades!$BQ:$BQ)=1,$C44*Thresholds_Rates!$F$17,"")))))))))</f>
        <v>-</v>
      </c>
      <c r="H44" s="25">
        <f ca="1">IF($B44="","",ROUND(($C44-(Thresholds_Rates!$C$5*12))*Thresholds_Rates!$C$10,0))</f>
        <v>4466</v>
      </c>
      <c r="I44" s="25">
        <f ca="1">IF(B44="","",(C44*Thresholds_Rates!$C$12))</f>
        <v>202.61500000000001</v>
      </c>
      <c r="J44" s="25" t="str">
        <f ca="1">IF(B44="","",IF(AND($B$4="Salary Points 3 to 57",B44&gt;Thresholds_Rates!$C$17),"-",IF(SUMIF(Grades!$A:$A,$B$4,Grades!$BR:$BR)=0,"-",IF(AND($B$4="Salary Points 3 to 57",B44&lt;=Thresholds_Rates!$C$17),$C44*Thresholds_Rates!$F$18,IF(AND(OR($B$4="New Consultant Contract"),$B44&lt;&gt;""),$C44*Thresholds_Rates!$F$18,IF(AND(OR($B$4="Clinical Lecturer / Medical Research Fellow",$B$4="Clinical Consultant - Old Contract (GP)"),$B44&lt;&gt;""),$C44*Thresholds_Rates!$F$18,IF(AND(OR($B$4="APM Level 7",$B$4="R&amp;T Level 7"),H44&lt;&gt;""),$C44*Thresholds_Rates!$F$18,IF(SUMIF(Grades!$A:$A,$B$4,Grades!$BQ:$BQ)=1,$C44*Thresholds_Rates!$F$18,""))))))))</f>
        <v>-</v>
      </c>
      <c r="K44" s="4"/>
      <c r="L44" s="25">
        <f t="shared" ca="1" si="1"/>
        <v>52485.754999999997</v>
      </c>
      <c r="M44" s="25" t="str">
        <f t="shared" ca="1" si="2"/>
        <v>-</v>
      </c>
      <c r="N44" s="25" t="str">
        <f t="shared" ca="1" si="3"/>
        <v>-</v>
      </c>
      <c r="O44" s="25" t="str">
        <f t="shared" ca="1" si="4"/>
        <v>-</v>
      </c>
      <c r="P44" s="25">
        <f t="shared" ca="1" si="5"/>
        <v>45191.614999999998</v>
      </c>
      <c r="R44" s="28" t="str">
        <f ca="1">IF(B44="","",IF($B$4="R&amp;T Level 5 - Clinical Lecturers (Vet School)",SUMIF(Points_Lookup!$M:$M,$B44,Points_Lookup!$N:$N),IF($B$4="R&amp;T Level 6 - Clinical Associate Professors and Clinical Readers (Vet School)",SUMIF(Points_Lookup!$T:$T,$B44,Points_Lookup!$U:$U),"")))</f>
        <v/>
      </c>
      <c r="S44" s="29" t="str">
        <f ca="1">IF(B44="","",IF($B$4="R&amp;T Level 5 - Clinical Lecturers (Vet School)",$C44-SUMIF(Points_Lookup!$M:$M,$B44,Points_Lookup!$O:$O),IF($B$4="R&amp;T Level 6 - Clinical Associate Professors and Clinical Readers (Vet School)",$C44-SUMIF(Points_Lookup!$T:$T,$B44,Points_Lookup!$V:$V),"")))</f>
        <v/>
      </c>
      <c r="T44" s="28" t="str">
        <f ca="1">IF(B44="","",IF($B$4="R&amp;T Level 5 - Clinical Lecturers (Vet School)",SUMIF(Points_Lookup!$M:$M,$B44,Points_Lookup!$Q:$Q),IF($B$4="R&amp;T Level 6 - Clinical Associate Professors and Clinical Readers (Vet School)",SUMIF(Points_Lookup!$T:$T,$B44,Points_Lookup!$X:$X),"")))</f>
        <v/>
      </c>
      <c r="U44" s="29" t="str">
        <f t="shared" ca="1" si="6"/>
        <v/>
      </c>
      <c r="Z44" s="26">
        <v>36</v>
      </c>
    </row>
    <row r="45" spans="2:26" x14ac:dyDescent="0.25">
      <c r="B45" s="4">
        <f ca="1">IFERROR(INDEX(Points_Lookup!$A:$A,MATCH($Z45,Points_Lookup!$AE:$AE,0)),"")</f>
        <v>39</v>
      </c>
      <c r="C45" s="25">
        <f ca="1">IF(B45="","",IF($B$4="Apprenticeship",SUMIF(Points_Lookup!$AA:$AA,B45,Points_Lookup!$AC:$AC),IF(AND(OR($B$4="New Consultant Contract"),$B45&lt;&gt;""),INDEX(Points_Lookup!$K:$K,MATCH($B45,Points_Lookup!$J:$J,0)),IF(AND(OR($B$4="Clinical Lecturer / Medical Research Fellow",$B$4="Clinical Consultant - Old Contract (GP)"),$B45&lt;&gt;""),INDEX(Points_Lookup!$H:$H,MATCH($B45,Points_Lookup!$G:$G,0)),IF(AND(OR($B$4="APM Level 7",$B$4="R&amp;T Level 7",$B$4="APM Level 8"),B45&lt;&gt;""),INDEX(Points_Lookup!$E:$E,MATCH($Z45,Points_Lookup!$AE:$AE,0)),IF($B$4="R&amp;T Level 5 - Clinical Lecturers (Vet School)",SUMIF(Points_Lookup!$M:$M,$B45,Points_Lookup!$P:$P),IF($B$4="R&amp;T Level 6 - Clinical Associate Professors and Clinical Readers (Vet School)",SUMIF(Points_Lookup!$T:$T,$B45,Points_Lookup!$W:$W),IFERROR(INDEX(Points_Lookup!$B:$B,MATCH($Z45,Points_Lookup!$AE:$AE,0)),""))))))))</f>
        <v>41709</v>
      </c>
      <c r="D45" s="36"/>
      <c r="E45" s="25">
        <f ca="1">IF($B45="","",IF(AND($B$4="Salary Points 3 to 57",B45&lt;Thresholds_Rates!$C$16),"-",IF(SUMIF(Grades!$A:$A,$B$4,Grades!$BO:$BO)=0,"-",IF(AND($B$4="Salary Points 3 to 57",B45&gt;=Thresholds_Rates!$C$16),$C45*Thresholds_Rates!$F$15,IF(AND(OR($B$4="New Consultant Contract"),$B45&lt;&gt;""),$C45*Thresholds_Rates!$F$15,IF(AND(OR($B$4="Clinical Lecturer / Medical Research Fellow",$B$4="Clinical Consultant - Old Contract (GP)"),$B45&lt;&gt;""),$C45*Thresholds_Rates!$F$15,IF(OR($B$4="APM Level 7",$B$4="R&amp;T Level 7"),$C45*Thresholds_Rates!$F$15,IF(SUMIF(Grades!$A:$A,$B$4,Grades!$BO:$BO)=1,$C45*Thresholds_Rates!$F$15,""))))))))</f>
        <v>7507.62</v>
      </c>
      <c r="F45" s="25" t="str">
        <f ca="1">IF(B45="","",IF($B$4="Salary Points 3 to 57","-",IF(SUMIF(Grades!$A:$A,$B$4,Grades!$BP:$BP)=0,"-",IF(AND(OR($B$4="New Consultant Contract"),$B45&lt;&gt;""),$C45*Thresholds_Rates!$F$16,IF(AND(OR($B$4="Clinical Lecturer / Medical Research Fellow",$B$4="Clinical Consultant - Old Contract (GP)"),$B45&lt;&gt;""),$C45*Thresholds_Rates!$F$16,IF(AND(OR($B$4="APM Level 7",$B$4="R&amp;T Level 7"),E45&lt;&gt;""),$C45*Thresholds_Rates!$F$16,IF(SUMIF(Grades!$A:$A,$B$4,Grades!$BP:$BP)=1,$C45*Thresholds_Rates!$F$16,"")))))))</f>
        <v>-</v>
      </c>
      <c r="G45" s="25" t="str">
        <f ca="1">IF($B$4="Apprenticeship","-",IF(B45="","",IF(SUMIF(Grades!$A:$A,$B$4,Grades!$BQ:$BQ)=0,"-",IF(AND($B$4="Salary Points 3 to 57",B45&gt;Thresholds_Rates!$C$17),"-",IF(AND($B$4="Salary Points 3 to 57",B45&lt;=Thresholds_Rates!$C$17),$C45*Thresholds_Rates!$F$17,IF(AND(OR($B$4="New Consultant Contract"),$B45&lt;&gt;""),$C45*Thresholds_Rates!$F$17,IF(AND(OR($B$4="Clinical Lecturer / Medical Research Fellow",$B$4="Clinical Consultant - Old Contract (GP)"),$B45&lt;&gt;""),$C45*Thresholds_Rates!$F$17,IF(AND(OR($B$4="APM Level 7",$B$4="R&amp;T Level 7"),F45&lt;&gt;""),$C45*Thresholds_Rates!$F$17,IF(SUMIF(Grades!$A:$A,$B$4,Grades!$BQ:$BQ)=1,$C45*Thresholds_Rates!$F$17,"")))))))))</f>
        <v>-</v>
      </c>
      <c r="H45" s="25">
        <f ca="1">IF($B45="","",ROUND(($C45-(Thresholds_Rates!$C$5*12))*Thresholds_Rates!$C$10,0))</f>
        <v>4630</v>
      </c>
      <c r="I45" s="25">
        <f ca="1">IF(B45="","",(C45*Thresholds_Rates!$C$12))</f>
        <v>208.54500000000002</v>
      </c>
      <c r="J45" s="25" t="str">
        <f ca="1">IF(B45="","",IF(AND($B$4="Salary Points 3 to 57",B45&gt;Thresholds_Rates!$C$17),"-",IF(SUMIF(Grades!$A:$A,$B$4,Grades!$BR:$BR)=0,"-",IF(AND($B$4="Salary Points 3 to 57",B45&lt;=Thresholds_Rates!$C$17),$C45*Thresholds_Rates!$F$18,IF(AND(OR($B$4="New Consultant Contract"),$B45&lt;&gt;""),$C45*Thresholds_Rates!$F$18,IF(AND(OR($B$4="Clinical Lecturer / Medical Research Fellow",$B$4="Clinical Consultant - Old Contract (GP)"),$B45&lt;&gt;""),$C45*Thresholds_Rates!$F$18,IF(AND(OR($B$4="APM Level 7",$B$4="R&amp;T Level 7"),H45&lt;&gt;""),$C45*Thresholds_Rates!$F$18,IF(SUMIF(Grades!$A:$A,$B$4,Grades!$BQ:$BQ)=1,$C45*Thresholds_Rates!$F$18,""))))))))</f>
        <v>-</v>
      </c>
      <c r="K45" s="4"/>
      <c r="L45" s="25">
        <f t="shared" ca="1" si="1"/>
        <v>54055.165000000001</v>
      </c>
      <c r="M45" s="25" t="str">
        <f t="shared" ca="1" si="2"/>
        <v>-</v>
      </c>
      <c r="N45" s="25" t="str">
        <f t="shared" ca="1" si="3"/>
        <v>-</v>
      </c>
      <c r="O45" s="25" t="str">
        <f t="shared" ca="1" si="4"/>
        <v>-</v>
      </c>
      <c r="P45" s="25">
        <f t="shared" ca="1" si="5"/>
        <v>46547.544999999998</v>
      </c>
      <c r="R45" s="28" t="str">
        <f ca="1">IF(B45="","",IF($B$4="R&amp;T Level 5 - Clinical Lecturers (Vet School)",SUMIF(Points_Lookup!$M:$M,$B45,Points_Lookup!$N:$N),IF($B$4="R&amp;T Level 6 - Clinical Associate Professors and Clinical Readers (Vet School)",SUMIF(Points_Lookup!$T:$T,$B45,Points_Lookup!$U:$U),"")))</f>
        <v/>
      </c>
      <c r="S45" s="29" t="str">
        <f ca="1">IF(B45="","",IF($B$4="R&amp;T Level 5 - Clinical Lecturers (Vet School)",$C45-SUMIF(Points_Lookup!$M:$M,$B45,Points_Lookup!$O:$O),IF($B$4="R&amp;T Level 6 - Clinical Associate Professors and Clinical Readers (Vet School)",$C45-SUMIF(Points_Lookup!$T:$T,$B45,Points_Lookup!$V:$V),"")))</f>
        <v/>
      </c>
      <c r="T45" s="28" t="str">
        <f ca="1">IF(B45="","",IF($B$4="R&amp;T Level 5 - Clinical Lecturers (Vet School)",SUMIF(Points_Lookup!$M:$M,$B45,Points_Lookup!$Q:$Q),IF($B$4="R&amp;T Level 6 - Clinical Associate Professors and Clinical Readers (Vet School)",SUMIF(Points_Lookup!$T:$T,$B45,Points_Lookup!$X:$X),"")))</f>
        <v/>
      </c>
      <c r="U45" s="29" t="str">
        <f t="shared" ca="1" si="6"/>
        <v/>
      </c>
      <c r="Z45" s="26">
        <v>37</v>
      </c>
    </row>
    <row r="46" spans="2:26" x14ac:dyDescent="0.25">
      <c r="B46" s="4">
        <f ca="1">IFERROR(INDEX(Points_Lookup!$A:$A,MATCH($Z46,Points_Lookup!$AE:$AE,0)),"")</f>
        <v>40</v>
      </c>
      <c r="C46" s="25">
        <f ca="1">IF(B46="","",IF($B$4="Apprenticeship",SUMIF(Points_Lookup!$AA:$AA,B46,Points_Lookup!$AC:$AC),IF(AND(OR($B$4="New Consultant Contract"),$B46&lt;&gt;""),INDEX(Points_Lookup!$K:$K,MATCH($B46,Points_Lookup!$J:$J,0)),IF(AND(OR($B$4="Clinical Lecturer / Medical Research Fellow",$B$4="Clinical Consultant - Old Contract (GP)"),$B46&lt;&gt;""),INDEX(Points_Lookup!$H:$H,MATCH($B46,Points_Lookup!$G:$G,0)),IF(AND(OR($B$4="APM Level 7",$B$4="R&amp;T Level 7",$B$4="APM Level 8"),B46&lt;&gt;""),INDEX(Points_Lookup!$E:$E,MATCH($Z46,Points_Lookup!$AE:$AE,0)),IF($B$4="R&amp;T Level 5 - Clinical Lecturers (Vet School)",SUMIF(Points_Lookup!$M:$M,$B46,Points_Lookup!$P:$P),IF($B$4="R&amp;T Level 6 - Clinical Associate Professors and Clinical Readers (Vet School)",SUMIF(Points_Lookup!$T:$T,$B46,Points_Lookup!$W:$W),IFERROR(INDEX(Points_Lookup!$B:$B,MATCH($Z46,Points_Lookup!$AE:$AE,0)),""))))))))</f>
        <v>42955</v>
      </c>
      <c r="D46" s="36"/>
      <c r="E46" s="25">
        <f ca="1">IF($B46="","",IF(AND($B$4="Salary Points 3 to 57",B46&lt;Thresholds_Rates!$C$16),"-",IF(SUMIF(Grades!$A:$A,$B$4,Grades!$BO:$BO)=0,"-",IF(AND($B$4="Salary Points 3 to 57",B46&gt;=Thresholds_Rates!$C$16),$C46*Thresholds_Rates!$F$15,IF(AND(OR($B$4="New Consultant Contract"),$B46&lt;&gt;""),$C46*Thresholds_Rates!$F$15,IF(AND(OR($B$4="Clinical Lecturer / Medical Research Fellow",$B$4="Clinical Consultant - Old Contract (GP)"),$B46&lt;&gt;""),$C46*Thresholds_Rates!$F$15,IF(OR($B$4="APM Level 7",$B$4="R&amp;T Level 7"),$C46*Thresholds_Rates!$F$15,IF(SUMIF(Grades!$A:$A,$B$4,Grades!$BO:$BO)=1,$C46*Thresholds_Rates!$F$15,""))))))))</f>
        <v>7731.9</v>
      </c>
      <c r="F46" s="25" t="str">
        <f ca="1">IF(B46="","",IF($B$4="Salary Points 3 to 57","-",IF(SUMIF(Grades!$A:$A,$B$4,Grades!$BP:$BP)=0,"-",IF(AND(OR($B$4="New Consultant Contract"),$B46&lt;&gt;""),$C46*Thresholds_Rates!$F$16,IF(AND(OR($B$4="Clinical Lecturer / Medical Research Fellow",$B$4="Clinical Consultant - Old Contract (GP)"),$B46&lt;&gt;""),$C46*Thresholds_Rates!$F$16,IF(AND(OR($B$4="APM Level 7",$B$4="R&amp;T Level 7"),E46&lt;&gt;""),$C46*Thresholds_Rates!$F$16,IF(SUMIF(Grades!$A:$A,$B$4,Grades!$BP:$BP)=1,$C46*Thresholds_Rates!$F$16,"")))))))</f>
        <v>-</v>
      </c>
      <c r="G46" s="25" t="str">
        <f ca="1">IF($B$4="Apprenticeship","-",IF(B46="","",IF(SUMIF(Grades!$A:$A,$B$4,Grades!$BQ:$BQ)=0,"-",IF(AND($B$4="Salary Points 3 to 57",B46&gt;Thresholds_Rates!$C$17),"-",IF(AND($B$4="Salary Points 3 to 57",B46&lt;=Thresholds_Rates!$C$17),$C46*Thresholds_Rates!$F$17,IF(AND(OR($B$4="New Consultant Contract"),$B46&lt;&gt;""),$C46*Thresholds_Rates!$F$17,IF(AND(OR($B$4="Clinical Lecturer / Medical Research Fellow",$B$4="Clinical Consultant - Old Contract (GP)"),$B46&lt;&gt;""),$C46*Thresholds_Rates!$F$17,IF(AND(OR($B$4="APM Level 7",$B$4="R&amp;T Level 7"),F46&lt;&gt;""),$C46*Thresholds_Rates!$F$17,IF(SUMIF(Grades!$A:$A,$B$4,Grades!$BQ:$BQ)=1,$C46*Thresholds_Rates!$F$17,"")))))))))</f>
        <v>-</v>
      </c>
      <c r="H46" s="25">
        <f ca="1">IF($B46="","",ROUND(($C46-(Thresholds_Rates!$C$5*12))*Thresholds_Rates!$C$10,0))</f>
        <v>4802</v>
      </c>
      <c r="I46" s="25">
        <f ca="1">IF(B46="","",(C46*Thresholds_Rates!$C$12))</f>
        <v>214.77500000000001</v>
      </c>
      <c r="J46" s="25" t="str">
        <f ca="1">IF(B46="","",IF(AND($B$4="Salary Points 3 to 57",B46&gt;Thresholds_Rates!$C$17),"-",IF(SUMIF(Grades!$A:$A,$B$4,Grades!$BR:$BR)=0,"-",IF(AND($B$4="Salary Points 3 to 57",B46&lt;=Thresholds_Rates!$C$17),$C46*Thresholds_Rates!$F$18,IF(AND(OR($B$4="New Consultant Contract"),$B46&lt;&gt;""),$C46*Thresholds_Rates!$F$18,IF(AND(OR($B$4="Clinical Lecturer / Medical Research Fellow",$B$4="Clinical Consultant - Old Contract (GP)"),$B46&lt;&gt;""),$C46*Thresholds_Rates!$F$18,IF(AND(OR($B$4="APM Level 7",$B$4="R&amp;T Level 7"),H46&lt;&gt;""),$C46*Thresholds_Rates!$F$18,IF(SUMIF(Grades!$A:$A,$B$4,Grades!$BQ:$BQ)=1,$C46*Thresholds_Rates!$F$18,""))))))))</f>
        <v>-</v>
      </c>
      <c r="K46" s="4"/>
      <c r="L46" s="25">
        <f t="shared" ca="1" si="1"/>
        <v>55703.675000000003</v>
      </c>
      <c r="M46" s="25" t="str">
        <f t="shared" ca="1" si="2"/>
        <v>-</v>
      </c>
      <c r="N46" s="25" t="str">
        <f t="shared" ca="1" si="3"/>
        <v>-</v>
      </c>
      <c r="O46" s="25" t="str">
        <f t="shared" ca="1" si="4"/>
        <v>-</v>
      </c>
      <c r="P46" s="25">
        <f t="shared" ca="1" si="5"/>
        <v>47971.775000000001</v>
      </c>
      <c r="R46" s="28" t="str">
        <f ca="1">IF(B46="","",IF($B$4="R&amp;T Level 5 - Clinical Lecturers (Vet School)",SUMIF(Points_Lookup!$M:$M,$B46,Points_Lookup!$N:$N),IF($B$4="R&amp;T Level 6 - Clinical Associate Professors and Clinical Readers (Vet School)",SUMIF(Points_Lookup!$T:$T,$B46,Points_Lookup!$U:$U),"")))</f>
        <v/>
      </c>
      <c r="S46" s="29" t="str">
        <f ca="1">IF(B46="","",IF($B$4="R&amp;T Level 5 - Clinical Lecturers (Vet School)",$C46-SUMIF(Points_Lookup!$M:$M,$B46,Points_Lookup!$O:$O),IF($B$4="R&amp;T Level 6 - Clinical Associate Professors and Clinical Readers (Vet School)",$C46-SUMIF(Points_Lookup!$T:$T,$B46,Points_Lookup!$V:$V),"")))</f>
        <v/>
      </c>
      <c r="T46" s="28" t="str">
        <f ca="1">IF(B46="","",IF($B$4="R&amp;T Level 5 - Clinical Lecturers (Vet School)",SUMIF(Points_Lookup!$M:$M,$B46,Points_Lookup!$Q:$Q),IF($B$4="R&amp;T Level 6 - Clinical Associate Professors and Clinical Readers (Vet School)",SUMIF(Points_Lookup!$T:$T,$B46,Points_Lookup!$X:$X),"")))</f>
        <v/>
      </c>
      <c r="U46" s="29" t="str">
        <f t="shared" ca="1" si="6"/>
        <v/>
      </c>
      <c r="Z46" s="26">
        <v>38</v>
      </c>
    </row>
    <row r="47" spans="2:26" x14ac:dyDescent="0.25">
      <c r="B47" s="4">
        <f ca="1">IFERROR(INDEX(Points_Lookup!$A:$A,MATCH($Z47,Points_Lookup!$AE:$AE,0)),"")</f>
        <v>41</v>
      </c>
      <c r="C47" s="25">
        <f ca="1">IF(B47="","",IF($B$4="Apprenticeship",SUMIF(Points_Lookup!$AA:$AA,B47,Points_Lookup!$AC:$AC),IF(AND(OR($B$4="New Consultant Contract"),$B47&lt;&gt;""),INDEX(Points_Lookup!$K:$K,MATCH($B47,Points_Lookup!$J:$J,0)),IF(AND(OR($B$4="Clinical Lecturer / Medical Research Fellow",$B$4="Clinical Consultant - Old Contract (GP)"),$B47&lt;&gt;""),INDEX(Points_Lookup!$H:$H,MATCH($B47,Points_Lookup!$G:$G,0)),IF(AND(OR($B$4="APM Level 7",$B$4="R&amp;T Level 7",$B$4="APM Level 8"),B47&lt;&gt;""),INDEX(Points_Lookup!$E:$E,MATCH($Z47,Points_Lookup!$AE:$AE,0)),IF($B$4="R&amp;T Level 5 - Clinical Lecturers (Vet School)",SUMIF(Points_Lookup!$M:$M,$B47,Points_Lookup!$P:$P),IF($B$4="R&amp;T Level 6 - Clinical Associate Professors and Clinical Readers (Vet School)",SUMIF(Points_Lookup!$T:$T,$B47,Points_Lookup!$W:$W),IFERROR(INDEX(Points_Lookup!$B:$B,MATCH($Z47,Points_Lookup!$AE:$AE,0)),""))))))))</f>
        <v>44240</v>
      </c>
      <c r="D47" s="36"/>
      <c r="E47" s="25">
        <f ca="1">IF($B47="","",IF(AND($B$4="Salary Points 3 to 57",B47&lt;Thresholds_Rates!$C$16),"-",IF(SUMIF(Grades!$A:$A,$B$4,Grades!$BO:$BO)=0,"-",IF(AND($B$4="Salary Points 3 to 57",B47&gt;=Thresholds_Rates!$C$16),$C47*Thresholds_Rates!$F$15,IF(AND(OR($B$4="New Consultant Contract"),$B47&lt;&gt;""),$C47*Thresholds_Rates!$F$15,IF(AND(OR($B$4="Clinical Lecturer / Medical Research Fellow",$B$4="Clinical Consultant - Old Contract (GP)"),$B47&lt;&gt;""),$C47*Thresholds_Rates!$F$15,IF(OR($B$4="APM Level 7",$B$4="R&amp;T Level 7"),$C47*Thresholds_Rates!$F$15,IF(SUMIF(Grades!$A:$A,$B$4,Grades!$BO:$BO)=1,$C47*Thresholds_Rates!$F$15,""))))))))</f>
        <v>7963.2</v>
      </c>
      <c r="F47" s="25" t="str">
        <f ca="1">IF(B47="","",IF($B$4="Salary Points 3 to 57","-",IF(SUMIF(Grades!$A:$A,$B$4,Grades!$BP:$BP)=0,"-",IF(AND(OR($B$4="New Consultant Contract"),$B47&lt;&gt;""),$C47*Thresholds_Rates!$F$16,IF(AND(OR($B$4="Clinical Lecturer / Medical Research Fellow",$B$4="Clinical Consultant - Old Contract (GP)"),$B47&lt;&gt;""),$C47*Thresholds_Rates!$F$16,IF(AND(OR($B$4="APM Level 7",$B$4="R&amp;T Level 7"),E47&lt;&gt;""),$C47*Thresholds_Rates!$F$16,IF(SUMIF(Grades!$A:$A,$B$4,Grades!$BP:$BP)=1,$C47*Thresholds_Rates!$F$16,"")))))))</f>
        <v>-</v>
      </c>
      <c r="G47" s="25" t="str">
        <f ca="1">IF($B$4="Apprenticeship","-",IF(B47="","",IF(SUMIF(Grades!$A:$A,$B$4,Grades!$BQ:$BQ)=0,"-",IF(AND($B$4="Salary Points 3 to 57",B47&gt;Thresholds_Rates!$C$17),"-",IF(AND($B$4="Salary Points 3 to 57",B47&lt;=Thresholds_Rates!$C$17),$C47*Thresholds_Rates!$F$17,IF(AND(OR($B$4="New Consultant Contract"),$B47&lt;&gt;""),$C47*Thresholds_Rates!$F$17,IF(AND(OR($B$4="Clinical Lecturer / Medical Research Fellow",$B$4="Clinical Consultant - Old Contract (GP)"),$B47&lt;&gt;""),$C47*Thresholds_Rates!$F$17,IF(AND(OR($B$4="APM Level 7",$B$4="R&amp;T Level 7"),F47&lt;&gt;""),$C47*Thresholds_Rates!$F$17,IF(SUMIF(Grades!$A:$A,$B$4,Grades!$BQ:$BQ)=1,$C47*Thresholds_Rates!$F$17,"")))))))))</f>
        <v>-</v>
      </c>
      <c r="H47" s="25">
        <f ca="1">IF($B47="","",ROUND(($C47-(Thresholds_Rates!$C$5*12))*Thresholds_Rates!$C$10,0))</f>
        <v>4979</v>
      </c>
      <c r="I47" s="25">
        <f ca="1">IF(B47="","",(C47*Thresholds_Rates!$C$12))</f>
        <v>221.20000000000002</v>
      </c>
      <c r="J47" s="25" t="str">
        <f ca="1">IF(B47="","",IF(AND($B$4="Salary Points 3 to 57",B47&gt;Thresholds_Rates!$C$17),"-",IF(SUMIF(Grades!$A:$A,$B$4,Grades!$BR:$BR)=0,"-",IF(AND($B$4="Salary Points 3 to 57",B47&lt;=Thresholds_Rates!$C$17),$C47*Thresholds_Rates!$F$18,IF(AND(OR($B$4="New Consultant Contract"),$B47&lt;&gt;""),$C47*Thresholds_Rates!$F$18,IF(AND(OR($B$4="Clinical Lecturer / Medical Research Fellow",$B$4="Clinical Consultant - Old Contract (GP)"),$B47&lt;&gt;""),$C47*Thresholds_Rates!$F$18,IF(AND(OR($B$4="APM Level 7",$B$4="R&amp;T Level 7"),H47&lt;&gt;""),$C47*Thresholds_Rates!$F$18,IF(SUMIF(Grades!$A:$A,$B$4,Grades!$BQ:$BQ)=1,$C47*Thresholds_Rates!$F$18,""))))))))</f>
        <v>-</v>
      </c>
      <c r="K47" s="4"/>
      <c r="L47" s="25">
        <f t="shared" ca="1" si="1"/>
        <v>57403.399999999994</v>
      </c>
      <c r="M47" s="25" t="str">
        <f t="shared" ca="1" si="2"/>
        <v>-</v>
      </c>
      <c r="N47" s="25" t="str">
        <f t="shared" ca="1" si="3"/>
        <v>-</v>
      </c>
      <c r="O47" s="25" t="str">
        <f t="shared" ca="1" si="4"/>
        <v>-</v>
      </c>
      <c r="P47" s="25">
        <f t="shared" ca="1" si="5"/>
        <v>49440.2</v>
      </c>
      <c r="R47" s="28" t="str">
        <f ca="1">IF(B47="","",IF($B$4="R&amp;T Level 5 - Clinical Lecturers (Vet School)",SUMIF(Points_Lookup!$M:$M,$B47,Points_Lookup!$N:$N),IF($B$4="R&amp;T Level 6 - Clinical Associate Professors and Clinical Readers (Vet School)",SUMIF(Points_Lookup!$T:$T,$B47,Points_Lookup!$U:$U),"")))</f>
        <v/>
      </c>
      <c r="S47" s="29" t="str">
        <f ca="1">IF(B47="","",IF($B$4="R&amp;T Level 5 - Clinical Lecturers (Vet School)",$C47-SUMIF(Points_Lookup!$M:$M,$B47,Points_Lookup!$O:$O),IF($B$4="R&amp;T Level 6 - Clinical Associate Professors and Clinical Readers (Vet School)",$C47-SUMIF(Points_Lookup!$T:$T,$B47,Points_Lookup!$V:$V),"")))</f>
        <v/>
      </c>
      <c r="T47" s="28" t="str">
        <f ca="1">IF(B47="","",IF($B$4="R&amp;T Level 5 - Clinical Lecturers (Vet School)",SUMIF(Points_Lookup!$M:$M,$B47,Points_Lookup!$Q:$Q),IF($B$4="R&amp;T Level 6 - Clinical Associate Professors and Clinical Readers (Vet School)",SUMIF(Points_Lookup!$T:$T,$B47,Points_Lookup!$X:$X),"")))</f>
        <v/>
      </c>
      <c r="U47" s="29" t="str">
        <f t="shared" ca="1" si="6"/>
        <v/>
      </c>
      <c r="Z47" s="26">
        <v>39</v>
      </c>
    </row>
    <row r="48" spans="2:26" x14ac:dyDescent="0.25">
      <c r="B48" s="4">
        <f ca="1">IFERROR(INDEX(Points_Lookup!$A:$A,MATCH($Z48,Points_Lookup!$AE:$AE,0)),"")</f>
        <v>42</v>
      </c>
      <c r="C48" s="25">
        <f ca="1">IF(B48="","",IF($B$4="Apprenticeship",SUMIF(Points_Lookup!$AA:$AA,B48,Points_Lookup!$AC:$AC),IF(AND(OR($B$4="New Consultant Contract"),$B48&lt;&gt;""),INDEX(Points_Lookup!$K:$K,MATCH($B48,Points_Lookup!$J:$J,0)),IF(AND(OR($B$4="Clinical Lecturer / Medical Research Fellow",$B$4="Clinical Consultant - Old Contract (GP)"),$B48&lt;&gt;""),INDEX(Points_Lookup!$H:$H,MATCH($B48,Points_Lookup!$G:$G,0)),IF(AND(OR($B$4="APM Level 7",$B$4="R&amp;T Level 7",$B$4="APM Level 8"),B48&lt;&gt;""),INDEX(Points_Lookup!$E:$E,MATCH($Z48,Points_Lookup!$AE:$AE,0)),IF($B$4="R&amp;T Level 5 - Clinical Lecturers (Vet School)",SUMIF(Points_Lookup!$M:$M,$B48,Points_Lookup!$P:$P),IF($B$4="R&amp;T Level 6 - Clinical Associate Professors and Clinical Readers (Vet School)",SUMIF(Points_Lookup!$T:$T,$B48,Points_Lookup!$W:$W),IFERROR(INDEX(Points_Lookup!$B:$B,MATCH($Z48,Points_Lookup!$AE:$AE,0)),""))))))))</f>
        <v>45562</v>
      </c>
      <c r="D48" s="36"/>
      <c r="E48" s="25">
        <f ca="1">IF($B48="","",IF(AND($B$4="Salary Points 3 to 57",B48&lt;Thresholds_Rates!$C$16),"-",IF(SUMIF(Grades!$A:$A,$B$4,Grades!$BO:$BO)=0,"-",IF(AND($B$4="Salary Points 3 to 57",B48&gt;=Thresholds_Rates!$C$16),$C48*Thresholds_Rates!$F$15,IF(AND(OR($B$4="New Consultant Contract"),$B48&lt;&gt;""),$C48*Thresholds_Rates!$F$15,IF(AND(OR($B$4="Clinical Lecturer / Medical Research Fellow",$B$4="Clinical Consultant - Old Contract (GP)"),$B48&lt;&gt;""),$C48*Thresholds_Rates!$F$15,IF(OR($B$4="APM Level 7",$B$4="R&amp;T Level 7"),$C48*Thresholds_Rates!$F$15,IF(SUMIF(Grades!$A:$A,$B$4,Grades!$BO:$BO)=1,$C48*Thresholds_Rates!$F$15,""))))))))</f>
        <v>8201.16</v>
      </c>
      <c r="F48" s="25" t="str">
        <f ca="1">IF(B48="","",IF($B$4="Salary Points 3 to 57","-",IF(SUMIF(Grades!$A:$A,$B$4,Grades!$BP:$BP)=0,"-",IF(AND(OR($B$4="New Consultant Contract"),$B48&lt;&gt;""),$C48*Thresholds_Rates!$F$16,IF(AND(OR($B$4="Clinical Lecturer / Medical Research Fellow",$B$4="Clinical Consultant - Old Contract (GP)"),$B48&lt;&gt;""),$C48*Thresholds_Rates!$F$16,IF(AND(OR($B$4="APM Level 7",$B$4="R&amp;T Level 7"),E48&lt;&gt;""),$C48*Thresholds_Rates!$F$16,IF(SUMIF(Grades!$A:$A,$B$4,Grades!$BP:$BP)=1,$C48*Thresholds_Rates!$F$16,"")))))))</f>
        <v>-</v>
      </c>
      <c r="G48" s="25" t="str">
        <f ca="1">IF($B$4="Apprenticeship","-",IF(B48="","",IF(SUMIF(Grades!$A:$A,$B$4,Grades!$BQ:$BQ)=0,"-",IF(AND($B$4="Salary Points 3 to 57",B48&gt;Thresholds_Rates!$C$17),"-",IF(AND($B$4="Salary Points 3 to 57",B48&lt;=Thresholds_Rates!$C$17),$C48*Thresholds_Rates!$F$17,IF(AND(OR($B$4="New Consultant Contract"),$B48&lt;&gt;""),$C48*Thresholds_Rates!$F$17,IF(AND(OR($B$4="Clinical Lecturer / Medical Research Fellow",$B$4="Clinical Consultant - Old Contract (GP)"),$B48&lt;&gt;""),$C48*Thresholds_Rates!$F$17,IF(AND(OR($B$4="APM Level 7",$B$4="R&amp;T Level 7"),F48&lt;&gt;""),$C48*Thresholds_Rates!$F$17,IF(SUMIF(Grades!$A:$A,$B$4,Grades!$BQ:$BQ)=1,$C48*Thresholds_Rates!$F$17,"")))))))))</f>
        <v>-</v>
      </c>
      <c r="H48" s="25">
        <f ca="1">IF($B48="","",ROUND(($C48-(Thresholds_Rates!$C$5*12))*Thresholds_Rates!$C$10,0))</f>
        <v>5161</v>
      </c>
      <c r="I48" s="25">
        <f ca="1">IF(B48="","",(C48*Thresholds_Rates!$C$12))</f>
        <v>227.81</v>
      </c>
      <c r="J48" s="25" t="str">
        <f ca="1">IF(B48="","",IF(AND($B$4="Salary Points 3 to 57",B48&gt;Thresholds_Rates!$C$17),"-",IF(SUMIF(Grades!$A:$A,$B$4,Grades!$BR:$BR)=0,"-",IF(AND($B$4="Salary Points 3 to 57",B48&lt;=Thresholds_Rates!$C$17),$C48*Thresholds_Rates!$F$18,IF(AND(OR($B$4="New Consultant Contract"),$B48&lt;&gt;""),$C48*Thresholds_Rates!$F$18,IF(AND(OR($B$4="Clinical Lecturer / Medical Research Fellow",$B$4="Clinical Consultant - Old Contract (GP)"),$B48&lt;&gt;""),$C48*Thresholds_Rates!$F$18,IF(AND(OR($B$4="APM Level 7",$B$4="R&amp;T Level 7"),H48&lt;&gt;""),$C48*Thresholds_Rates!$F$18,IF(SUMIF(Grades!$A:$A,$B$4,Grades!$BQ:$BQ)=1,$C48*Thresholds_Rates!$F$18,""))))))))</f>
        <v>-</v>
      </c>
      <c r="K48" s="4"/>
      <c r="L48" s="25">
        <f t="shared" ca="1" si="1"/>
        <v>59151.97</v>
      </c>
      <c r="M48" s="25" t="str">
        <f t="shared" ca="1" si="2"/>
        <v>-</v>
      </c>
      <c r="N48" s="25" t="str">
        <f t="shared" ca="1" si="3"/>
        <v>-</v>
      </c>
      <c r="O48" s="25" t="str">
        <f t="shared" ca="1" si="4"/>
        <v>-</v>
      </c>
      <c r="P48" s="25">
        <f t="shared" ca="1" si="5"/>
        <v>50950.81</v>
      </c>
      <c r="R48" s="28" t="str">
        <f ca="1">IF(B48="","",IF($B$4="R&amp;T Level 5 - Clinical Lecturers (Vet School)",SUMIF(Points_Lookup!$M:$M,$B48,Points_Lookup!$N:$N),IF($B$4="R&amp;T Level 6 - Clinical Associate Professors and Clinical Readers (Vet School)",SUMIF(Points_Lookup!$T:$T,$B48,Points_Lookup!$U:$U),"")))</f>
        <v/>
      </c>
      <c r="S48" s="29" t="str">
        <f ca="1">IF(B48="","",IF($B$4="R&amp;T Level 5 - Clinical Lecturers (Vet School)",$C48-SUMIF(Points_Lookup!$M:$M,$B48,Points_Lookup!$O:$O),IF($B$4="R&amp;T Level 6 - Clinical Associate Professors and Clinical Readers (Vet School)",$C48-SUMIF(Points_Lookup!$T:$T,$B48,Points_Lookup!$V:$V),"")))</f>
        <v/>
      </c>
      <c r="T48" s="28" t="str">
        <f ca="1">IF(B48="","",IF($B$4="R&amp;T Level 5 - Clinical Lecturers (Vet School)",SUMIF(Points_Lookup!$M:$M,$B48,Points_Lookup!$Q:$Q),IF($B$4="R&amp;T Level 6 - Clinical Associate Professors and Clinical Readers (Vet School)",SUMIF(Points_Lookup!$T:$T,$B48,Points_Lookup!$X:$X),"")))</f>
        <v/>
      </c>
      <c r="U48" s="29" t="str">
        <f t="shared" ca="1" si="6"/>
        <v/>
      </c>
      <c r="Z48" s="26">
        <v>40</v>
      </c>
    </row>
    <row r="49" spans="2:26" x14ac:dyDescent="0.25">
      <c r="B49" s="4">
        <f ca="1">IFERROR(INDEX(Points_Lookup!$A:$A,MATCH($Z49,Points_Lookup!$AE:$AE,0)),"")</f>
        <v>43</v>
      </c>
      <c r="C49" s="25">
        <f ca="1">IF(B49="","",IF($B$4="Apprenticeship",SUMIF(Points_Lookup!$AA:$AA,B49,Points_Lookup!$AC:$AC),IF(AND(OR($B$4="New Consultant Contract"),$B49&lt;&gt;""),INDEX(Points_Lookup!$K:$K,MATCH($B49,Points_Lookup!$J:$J,0)),IF(AND(OR($B$4="Clinical Lecturer / Medical Research Fellow",$B$4="Clinical Consultant - Old Contract (GP)"),$B49&lt;&gt;""),INDEX(Points_Lookup!$H:$H,MATCH($B49,Points_Lookup!$G:$G,0)),IF(AND(OR($B$4="APM Level 7",$B$4="R&amp;T Level 7",$B$4="APM Level 8"),B49&lt;&gt;""),INDEX(Points_Lookup!$E:$E,MATCH($Z49,Points_Lookup!$AE:$AE,0)),IF($B$4="R&amp;T Level 5 - Clinical Lecturers (Vet School)",SUMIF(Points_Lookup!$M:$M,$B49,Points_Lookup!$P:$P),IF($B$4="R&amp;T Level 6 - Clinical Associate Professors and Clinical Readers (Vet School)",SUMIF(Points_Lookup!$T:$T,$B49,Points_Lookup!$W:$W),IFERROR(INDEX(Points_Lookup!$B:$B,MATCH($Z49,Points_Lookup!$AE:$AE,0)),""))))))))</f>
        <v>46924</v>
      </c>
      <c r="D49" s="36"/>
      <c r="E49" s="25">
        <f ca="1">IF($B49="","",IF(AND($B$4="Salary Points 3 to 57",B49&lt;Thresholds_Rates!$C$16),"-",IF(SUMIF(Grades!$A:$A,$B$4,Grades!$BO:$BO)=0,"-",IF(AND($B$4="Salary Points 3 to 57",B49&gt;=Thresholds_Rates!$C$16),$C49*Thresholds_Rates!$F$15,IF(AND(OR($B$4="New Consultant Contract"),$B49&lt;&gt;""),$C49*Thresholds_Rates!$F$15,IF(AND(OR($B$4="Clinical Lecturer / Medical Research Fellow",$B$4="Clinical Consultant - Old Contract (GP)"),$B49&lt;&gt;""),$C49*Thresholds_Rates!$F$15,IF(OR($B$4="APM Level 7",$B$4="R&amp;T Level 7"),$C49*Thresholds_Rates!$F$15,IF(SUMIF(Grades!$A:$A,$B$4,Grades!$BO:$BO)=1,$C49*Thresholds_Rates!$F$15,""))))))))</f>
        <v>8446.32</v>
      </c>
      <c r="F49" s="25" t="str">
        <f ca="1">IF(B49="","",IF($B$4="Salary Points 3 to 57","-",IF(SUMIF(Grades!$A:$A,$B$4,Grades!$BP:$BP)=0,"-",IF(AND(OR($B$4="New Consultant Contract"),$B49&lt;&gt;""),$C49*Thresholds_Rates!$F$16,IF(AND(OR($B$4="Clinical Lecturer / Medical Research Fellow",$B$4="Clinical Consultant - Old Contract (GP)"),$B49&lt;&gt;""),$C49*Thresholds_Rates!$F$16,IF(AND(OR($B$4="APM Level 7",$B$4="R&amp;T Level 7"),E49&lt;&gt;""),$C49*Thresholds_Rates!$F$16,IF(SUMIF(Grades!$A:$A,$B$4,Grades!$BP:$BP)=1,$C49*Thresholds_Rates!$F$16,"")))))))</f>
        <v>-</v>
      </c>
      <c r="G49" s="25" t="str">
        <f ca="1">IF($B$4="Apprenticeship","-",IF(B49="","",IF(SUMIF(Grades!$A:$A,$B$4,Grades!$BQ:$BQ)=0,"-",IF(AND($B$4="Salary Points 3 to 57",B49&gt;Thresholds_Rates!$C$17),"-",IF(AND($B$4="Salary Points 3 to 57",B49&lt;=Thresholds_Rates!$C$17),$C49*Thresholds_Rates!$F$17,IF(AND(OR($B$4="New Consultant Contract"),$B49&lt;&gt;""),$C49*Thresholds_Rates!$F$17,IF(AND(OR($B$4="Clinical Lecturer / Medical Research Fellow",$B$4="Clinical Consultant - Old Contract (GP)"),$B49&lt;&gt;""),$C49*Thresholds_Rates!$F$17,IF(AND(OR($B$4="APM Level 7",$B$4="R&amp;T Level 7"),F49&lt;&gt;""),$C49*Thresholds_Rates!$F$17,IF(SUMIF(Grades!$A:$A,$B$4,Grades!$BQ:$BQ)=1,$C49*Thresholds_Rates!$F$17,"")))))))))</f>
        <v>-</v>
      </c>
      <c r="H49" s="25">
        <f ca="1">IF($B49="","",ROUND(($C49-(Thresholds_Rates!$C$5*12))*Thresholds_Rates!$C$10,0))</f>
        <v>5349</v>
      </c>
      <c r="I49" s="25">
        <f ca="1">IF(B49="","",(C49*Thresholds_Rates!$C$12))</f>
        <v>234.62</v>
      </c>
      <c r="J49" s="25" t="str">
        <f ca="1">IF(B49="","",IF(AND($B$4="Salary Points 3 to 57",B49&gt;Thresholds_Rates!$C$17),"-",IF(SUMIF(Grades!$A:$A,$B$4,Grades!$BR:$BR)=0,"-",IF(AND($B$4="Salary Points 3 to 57",B49&lt;=Thresholds_Rates!$C$17),$C49*Thresholds_Rates!$F$18,IF(AND(OR($B$4="New Consultant Contract"),$B49&lt;&gt;""),$C49*Thresholds_Rates!$F$18,IF(AND(OR($B$4="Clinical Lecturer / Medical Research Fellow",$B$4="Clinical Consultant - Old Contract (GP)"),$B49&lt;&gt;""),$C49*Thresholds_Rates!$F$18,IF(AND(OR($B$4="APM Level 7",$B$4="R&amp;T Level 7"),H49&lt;&gt;""),$C49*Thresholds_Rates!$F$18,IF(SUMIF(Grades!$A:$A,$B$4,Grades!$BQ:$BQ)=1,$C49*Thresholds_Rates!$F$18,""))))))))</f>
        <v>-</v>
      </c>
      <c r="K49" s="4"/>
      <c r="L49" s="25">
        <f t="shared" ca="1" si="1"/>
        <v>60953.94</v>
      </c>
      <c r="M49" s="25" t="str">
        <f t="shared" ca="1" si="2"/>
        <v>-</v>
      </c>
      <c r="N49" s="25" t="str">
        <f t="shared" ca="1" si="3"/>
        <v>-</v>
      </c>
      <c r="O49" s="25" t="str">
        <f t="shared" ca="1" si="4"/>
        <v>-</v>
      </c>
      <c r="P49" s="25">
        <f t="shared" ca="1" si="5"/>
        <v>52507.62</v>
      </c>
      <c r="R49" s="28" t="str">
        <f ca="1">IF(B49="","",IF($B$4="R&amp;T Level 5 - Clinical Lecturers (Vet School)",SUMIF(Points_Lookup!$M:$M,$B49,Points_Lookup!$N:$N),IF($B$4="R&amp;T Level 6 - Clinical Associate Professors and Clinical Readers (Vet School)",SUMIF(Points_Lookup!$T:$T,$B49,Points_Lookup!$U:$U),"")))</f>
        <v/>
      </c>
      <c r="S49" s="29" t="str">
        <f ca="1">IF(B49="","",IF($B$4="R&amp;T Level 5 - Clinical Lecturers (Vet School)",$C49-SUMIF(Points_Lookup!$M:$M,$B49,Points_Lookup!$O:$O),IF($B$4="R&amp;T Level 6 - Clinical Associate Professors and Clinical Readers (Vet School)",$C49-SUMIF(Points_Lookup!$T:$T,$B49,Points_Lookup!$V:$V),"")))</f>
        <v/>
      </c>
      <c r="T49" s="28" t="str">
        <f ca="1">IF(B49="","",IF($B$4="R&amp;T Level 5 - Clinical Lecturers (Vet School)",SUMIF(Points_Lookup!$M:$M,$B49,Points_Lookup!$Q:$Q),IF($B$4="R&amp;T Level 6 - Clinical Associate Professors and Clinical Readers (Vet School)",SUMIF(Points_Lookup!$T:$T,$B49,Points_Lookup!$X:$X),"")))</f>
        <v/>
      </c>
      <c r="U49" s="29" t="str">
        <f t="shared" ca="1" si="6"/>
        <v/>
      </c>
      <c r="Z49" s="26">
        <v>41</v>
      </c>
    </row>
    <row r="50" spans="2:26" x14ac:dyDescent="0.25">
      <c r="B50" s="4">
        <f ca="1">IFERROR(INDEX(Points_Lookup!$A:$A,MATCH($Z50,Points_Lookup!$AE:$AE,0)),"")</f>
        <v>44</v>
      </c>
      <c r="C50" s="25">
        <f ca="1">IF(B50="","",IF($B$4="Apprenticeship",SUMIF(Points_Lookup!$AA:$AA,B50,Points_Lookup!$AC:$AC),IF(AND(OR($B$4="New Consultant Contract"),$B50&lt;&gt;""),INDEX(Points_Lookup!$K:$K,MATCH($B50,Points_Lookup!$J:$J,0)),IF(AND(OR($B$4="Clinical Lecturer / Medical Research Fellow",$B$4="Clinical Consultant - Old Contract (GP)"),$B50&lt;&gt;""),INDEX(Points_Lookup!$H:$H,MATCH($B50,Points_Lookup!$G:$G,0)),IF(AND(OR($B$4="APM Level 7",$B$4="R&amp;T Level 7",$B$4="APM Level 8"),B50&lt;&gt;""),INDEX(Points_Lookup!$E:$E,MATCH($Z50,Points_Lookup!$AE:$AE,0)),IF($B$4="R&amp;T Level 5 - Clinical Lecturers (Vet School)",SUMIF(Points_Lookup!$M:$M,$B50,Points_Lookup!$P:$P),IF($B$4="R&amp;T Level 6 - Clinical Associate Professors and Clinical Readers (Vet School)",SUMIF(Points_Lookup!$T:$T,$B50,Points_Lookup!$W:$W),IFERROR(INDEX(Points_Lookup!$B:$B,MATCH($Z50,Points_Lookup!$AE:$AE,0)),""))))))))</f>
        <v>48327</v>
      </c>
      <c r="D50" s="36"/>
      <c r="E50" s="25">
        <f ca="1">IF($B50="","",IF(AND($B$4="Salary Points 3 to 57",B50&lt;Thresholds_Rates!$C$16),"-",IF(SUMIF(Grades!$A:$A,$B$4,Grades!$BO:$BO)=0,"-",IF(AND($B$4="Salary Points 3 to 57",B50&gt;=Thresholds_Rates!$C$16),$C50*Thresholds_Rates!$F$15,IF(AND(OR($B$4="New Consultant Contract"),$B50&lt;&gt;""),$C50*Thresholds_Rates!$F$15,IF(AND(OR($B$4="Clinical Lecturer / Medical Research Fellow",$B$4="Clinical Consultant - Old Contract (GP)"),$B50&lt;&gt;""),$C50*Thresholds_Rates!$F$15,IF(OR($B$4="APM Level 7",$B$4="R&amp;T Level 7"),$C50*Thresholds_Rates!$F$15,IF(SUMIF(Grades!$A:$A,$B$4,Grades!$BO:$BO)=1,$C50*Thresholds_Rates!$F$15,""))))))))</f>
        <v>8698.86</v>
      </c>
      <c r="F50" s="25" t="str">
        <f ca="1">IF(B50="","",IF($B$4="Salary Points 3 to 57","-",IF(SUMIF(Grades!$A:$A,$B$4,Grades!$BP:$BP)=0,"-",IF(AND(OR($B$4="New Consultant Contract"),$B50&lt;&gt;""),$C50*Thresholds_Rates!$F$16,IF(AND(OR($B$4="Clinical Lecturer / Medical Research Fellow",$B$4="Clinical Consultant - Old Contract (GP)"),$B50&lt;&gt;""),$C50*Thresholds_Rates!$F$16,IF(AND(OR($B$4="APM Level 7",$B$4="R&amp;T Level 7"),E50&lt;&gt;""),$C50*Thresholds_Rates!$F$16,IF(SUMIF(Grades!$A:$A,$B$4,Grades!$BP:$BP)=1,$C50*Thresholds_Rates!$F$16,"")))))))</f>
        <v>-</v>
      </c>
      <c r="G50" s="25" t="str">
        <f ca="1">IF($B$4="Apprenticeship","-",IF(B50="","",IF(SUMIF(Grades!$A:$A,$B$4,Grades!$BQ:$BQ)=0,"-",IF(AND($B$4="Salary Points 3 to 57",B50&gt;Thresholds_Rates!$C$17),"-",IF(AND($B$4="Salary Points 3 to 57",B50&lt;=Thresholds_Rates!$C$17),$C50*Thresholds_Rates!$F$17,IF(AND(OR($B$4="New Consultant Contract"),$B50&lt;&gt;""),$C50*Thresholds_Rates!$F$17,IF(AND(OR($B$4="Clinical Lecturer / Medical Research Fellow",$B$4="Clinical Consultant - Old Contract (GP)"),$B50&lt;&gt;""),$C50*Thresholds_Rates!$F$17,IF(AND(OR($B$4="APM Level 7",$B$4="R&amp;T Level 7"),F50&lt;&gt;""),$C50*Thresholds_Rates!$F$17,IF(SUMIF(Grades!$A:$A,$B$4,Grades!$BQ:$BQ)=1,$C50*Thresholds_Rates!$F$17,"")))))))))</f>
        <v>-</v>
      </c>
      <c r="H50" s="25">
        <f ca="1">IF($B50="","",ROUND(($C50-(Thresholds_Rates!$C$5*12))*Thresholds_Rates!$C$10,0))</f>
        <v>5543</v>
      </c>
      <c r="I50" s="25">
        <f ca="1">IF(B50="","",(C50*Thresholds_Rates!$C$12))</f>
        <v>241.63499999999999</v>
      </c>
      <c r="J50" s="25" t="str">
        <f ca="1">IF(B50="","",IF(AND($B$4="Salary Points 3 to 57",B50&gt;Thresholds_Rates!$C$17),"-",IF(SUMIF(Grades!$A:$A,$B$4,Grades!$BR:$BR)=0,"-",IF(AND($B$4="Salary Points 3 to 57",B50&lt;=Thresholds_Rates!$C$17),$C50*Thresholds_Rates!$F$18,IF(AND(OR($B$4="New Consultant Contract"),$B50&lt;&gt;""),$C50*Thresholds_Rates!$F$18,IF(AND(OR($B$4="Clinical Lecturer / Medical Research Fellow",$B$4="Clinical Consultant - Old Contract (GP)"),$B50&lt;&gt;""),$C50*Thresholds_Rates!$F$18,IF(AND(OR($B$4="APM Level 7",$B$4="R&amp;T Level 7"),H50&lt;&gt;""),$C50*Thresholds_Rates!$F$18,IF(SUMIF(Grades!$A:$A,$B$4,Grades!$BQ:$BQ)=1,$C50*Thresholds_Rates!$F$18,""))))))))</f>
        <v>-</v>
      </c>
      <c r="K50" s="4"/>
      <c r="L50" s="25">
        <f t="shared" ca="1" si="1"/>
        <v>62810.495000000003</v>
      </c>
      <c r="M50" s="25" t="str">
        <f t="shared" ca="1" si="2"/>
        <v>-</v>
      </c>
      <c r="N50" s="25" t="str">
        <f t="shared" ca="1" si="3"/>
        <v>-</v>
      </c>
      <c r="O50" s="25" t="str">
        <f t="shared" ca="1" si="4"/>
        <v>-</v>
      </c>
      <c r="P50" s="25">
        <f t="shared" ca="1" si="5"/>
        <v>54111.635000000002</v>
      </c>
      <c r="R50" s="28" t="str">
        <f ca="1">IF(B50="","",IF($B$4="R&amp;T Level 5 - Clinical Lecturers (Vet School)",SUMIF(Points_Lookup!$M:$M,$B50,Points_Lookup!$N:$N),IF($B$4="R&amp;T Level 6 - Clinical Associate Professors and Clinical Readers (Vet School)",SUMIF(Points_Lookup!$T:$T,$B50,Points_Lookup!$U:$U),"")))</f>
        <v/>
      </c>
      <c r="S50" s="29" t="str">
        <f ca="1">IF(B50="","",IF($B$4="R&amp;T Level 5 - Clinical Lecturers (Vet School)",$C50-SUMIF(Points_Lookup!$M:$M,$B50,Points_Lookup!$O:$O),IF($B$4="R&amp;T Level 6 - Clinical Associate Professors and Clinical Readers (Vet School)",$C50-SUMIF(Points_Lookup!$T:$T,$B50,Points_Lookup!$V:$V),"")))</f>
        <v/>
      </c>
      <c r="T50" s="28" t="str">
        <f ca="1">IF(B50="","",IF($B$4="R&amp;T Level 5 - Clinical Lecturers (Vet School)",SUMIF(Points_Lookup!$M:$M,$B50,Points_Lookup!$Q:$Q),IF($B$4="R&amp;T Level 6 - Clinical Associate Professors and Clinical Readers (Vet School)",SUMIF(Points_Lookup!$T:$T,$B50,Points_Lookup!$X:$X),"")))</f>
        <v/>
      </c>
      <c r="U50" s="29" t="str">
        <f t="shared" ca="1" si="6"/>
        <v/>
      </c>
      <c r="Z50" s="26">
        <v>42</v>
      </c>
    </row>
    <row r="51" spans="2:26" x14ac:dyDescent="0.25">
      <c r="B51" s="4">
        <f ca="1">IFERROR(INDEX(Points_Lookup!$A:$A,MATCH($Z51,Points_Lookup!$AE:$AE,0)),"")</f>
        <v>45</v>
      </c>
      <c r="C51" s="25">
        <f ca="1">IF(B51="","",IF($B$4="Apprenticeship",SUMIF(Points_Lookup!$AA:$AA,B51,Points_Lookup!$AC:$AC),IF(AND(OR($B$4="New Consultant Contract"),$B51&lt;&gt;""),INDEX(Points_Lookup!$K:$K,MATCH($B51,Points_Lookup!$J:$J,0)),IF(AND(OR($B$4="Clinical Lecturer / Medical Research Fellow",$B$4="Clinical Consultant - Old Contract (GP)"),$B51&lt;&gt;""),INDEX(Points_Lookup!$H:$H,MATCH($B51,Points_Lookup!$G:$G,0)),IF(AND(OR($B$4="APM Level 7",$B$4="R&amp;T Level 7",$B$4="APM Level 8"),B51&lt;&gt;""),INDEX(Points_Lookup!$E:$E,MATCH($Z51,Points_Lookup!$AE:$AE,0)),IF($B$4="R&amp;T Level 5 - Clinical Lecturers (Vet School)",SUMIF(Points_Lookup!$M:$M,$B51,Points_Lookup!$P:$P),IF($B$4="R&amp;T Level 6 - Clinical Associate Professors and Clinical Readers (Vet School)",SUMIF(Points_Lookup!$T:$T,$B51,Points_Lookup!$W:$W),IFERROR(INDEX(Points_Lookup!$B:$B,MATCH($Z51,Points_Lookup!$AE:$AE,0)),""))))))))</f>
        <v>49772</v>
      </c>
      <c r="D51" s="36"/>
      <c r="E51" s="25">
        <f ca="1">IF($B51="","",IF(AND($B$4="Salary Points 3 to 57",B51&lt;Thresholds_Rates!$C$16),"-",IF(SUMIF(Grades!$A:$A,$B$4,Grades!$BO:$BO)=0,"-",IF(AND($B$4="Salary Points 3 to 57",B51&gt;=Thresholds_Rates!$C$16),$C51*Thresholds_Rates!$F$15,IF(AND(OR($B$4="New Consultant Contract"),$B51&lt;&gt;""),$C51*Thresholds_Rates!$F$15,IF(AND(OR($B$4="Clinical Lecturer / Medical Research Fellow",$B$4="Clinical Consultant - Old Contract (GP)"),$B51&lt;&gt;""),$C51*Thresholds_Rates!$F$15,IF(OR($B$4="APM Level 7",$B$4="R&amp;T Level 7"),$C51*Thresholds_Rates!$F$15,IF(SUMIF(Grades!$A:$A,$B$4,Grades!$BO:$BO)=1,$C51*Thresholds_Rates!$F$15,""))))))))</f>
        <v>8958.9599999999991</v>
      </c>
      <c r="F51" s="25" t="str">
        <f ca="1">IF(B51="","",IF($B$4="Salary Points 3 to 57","-",IF(SUMIF(Grades!$A:$A,$B$4,Grades!$BP:$BP)=0,"-",IF(AND(OR($B$4="New Consultant Contract"),$B51&lt;&gt;""),$C51*Thresholds_Rates!$F$16,IF(AND(OR($B$4="Clinical Lecturer / Medical Research Fellow",$B$4="Clinical Consultant - Old Contract (GP)"),$B51&lt;&gt;""),$C51*Thresholds_Rates!$F$16,IF(AND(OR($B$4="APM Level 7",$B$4="R&amp;T Level 7"),E51&lt;&gt;""),$C51*Thresholds_Rates!$F$16,IF(SUMIF(Grades!$A:$A,$B$4,Grades!$BP:$BP)=1,$C51*Thresholds_Rates!$F$16,"")))))))</f>
        <v>-</v>
      </c>
      <c r="G51" s="25" t="str">
        <f ca="1">IF($B$4="Apprenticeship","-",IF(B51="","",IF(SUMIF(Grades!$A:$A,$B$4,Grades!$BQ:$BQ)=0,"-",IF(AND($B$4="Salary Points 3 to 57",B51&gt;Thresholds_Rates!$C$17),"-",IF(AND($B$4="Salary Points 3 to 57",B51&lt;=Thresholds_Rates!$C$17),$C51*Thresholds_Rates!$F$17,IF(AND(OR($B$4="New Consultant Contract"),$B51&lt;&gt;""),$C51*Thresholds_Rates!$F$17,IF(AND(OR($B$4="Clinical Lecturer / Medical Research Fellow",$B$4="Clinical Consultant - Old Contract (GP)"),$B51&lt;&gt;""),$C51*Thresholds_Rates!$F$17,IF(AND(OR($B$4="APM Level 7",$B$4="R&amp;T Level 7"),F51&lt;&gt;""),$C51*Thresholds_Rates!$F$17,IF(SUMIF(Grades!$A:$A,$B$4,Grades!$BQ:$BQ)=1,$C51*Thresholds_Rates!$F$17,"")))))))))</f>
        <v>-</v>
      </c>
      <c r="H51" s="25">
        <f ca="1">IF($B51="","",ROUND(($C51-(Thresholds_Rates!$C$5*12))*Thresholds_Rates!$C$10,0))</f>
        <v>5742</v>
      </c>
      <c r="I51" s="25">
        <f ca="1">IF(B51="","",(C51*Thresholds_Rates!$C$12))</f>
        <v>248.86</v>
      </c>
      <c r="J51" s="25" t="str">
        <f ca="1">IF(B51="","",IF(AND($B$4="Salary Points 3 to 57",B51&gt;Thresholds_Rates!$C$17),"-",IF(SUMIF(Grades!$A:$A,$B$4,Grades!$BR:$BR)=0,"-",IF(AND($B$4="Salary Points 3 to 57",B51&lt;=Thresholds_Rates!$C$17),$C51*Thresholds_Rates!$F$18,IF(AND(OR($B$4="New Consultant Contract"),$B51&lt;&gt;""),$C51*Thresholds_Rates!$F$18,IF(AND(OR($B$4="Clinical Lecturer / Medical Research Fellow",$B$4="Clinical Consultant - Old Contract (GP)"),$B51&lt;&gt;""),$C51*Thresholds_Rates!$F$18,IF(AND(OR($B$4="APM Level 7",$B$4="R&amp;T Level 7"),H51&lt;&gt;""),$C51*Thresholds_Rates!$F$18,IF(SUMIF(Grades!$A:$A,$B$4,Grades!$BQ:$BQ)=1,$C51*Thresholds_Rates!$F$18,""))))))))</f>
        <v>-</v>
      </c>
      <c r="K51" s="4"/>
      <c r="L51" s="25">
        <f t="shared" ca="1" si="1"/>
        <v>64721.82</v>
      </c>
      <c r="M51" s="25" t="str">
        <f t="shared" ca="1" si="2"/>
        <v>-</v>
      </c>
      <c r="N51" s="25" t="str">
        <f t="shared" ca="1" si="3"/>
        <v>-</v>
      </c>
      <c r="O51" s="25" t="str">
        <f t="shared" ca="1" si="4"/>
        <v>-</v>
      </c>
      <c r="P51" s="25">
        <f t="shared" ca="1" si="5"/>
        <v>55762.86</v>
      </c>
      <c r="R51" s="28" t="str">
        <f ca="1">IF(B51="","",IF($B$4="R&amp;T Level 5 - Clinical Lecturers (Vet School)",SUMIF(Points_Lookup!$M:$M,$B51,Points_Lookup!$N:$N),IF($B$4="R&amp;T Level 6 - Clinical Associate Professors and Clinical Readers (Vet School)",SUMIF(Points_Lookup!$T:$T,$B51,Points_Lookup!$U:$U),"")))</f>
        <v/>
      </c>
      <c r="S51" s="29" t="str">
        <f ca="1">IF(B51="","",IF($B$4="R&amp;T Level 5 - Clinical Lecturers (Vet School)",$C51-SUMIF(Points_Lookup!$M:$M,$B51,Points_Lookup!$O:$O),IF($B$4="R&amp;T Level 6 - Clinical Associate Professors and Clinical Readers (Vet School)",$C51-SUMIF(Points_Lookup!$T:$T,$B51,Points_Lookup!$V:$V),"")))</f>
        <v/>
      </c>
      <c r="T51" s="28" t="str">
        <f ca="1">IF(B51="","",IF($B$4="R&amp;T Level 5 - Clinical Lecturers (Vet School)",SUMIF(Points_Lookup!$M:$M,$B51,Points_Lookup!$Q:$Q),IF($B$4="R&amp;T Level 6 - Clinical Associate Professors and Clinical Readers (Vet School)",SUMIF(Points_Lookup!$T:$T,$B51,Points_Lookup!$X:$X),"")))</f>
        <v/>
      </c>
      <c r="U51" s="29" t="str">
        <f t="shared" ca="1" si="6"/>
        <v/>
      </c>
      <c r="Z51" s="26">
        <v>43</v>
      </c>
    </row>
    <row r="52" spans="2:26" x14ac:dyDescent="0.25">
      <c r="B52" s="4">
        <f ca="1">IFERROR(INDEX(Points_Lookup!$A:$A,MATCH($Z52,Points_Lookup!$AE:$AE,0)),"")</f>
        <v>46</v>
      </c>
      <c r="C52" s="25">
        <f ca="1">IF(B52="","",IF($B$4="Apprenticeship",SUMIF(Points_Lookup!$AA:$AA,B52,Points_Lookup!$AC:$AC),IF(AND(OR($B$4="New Consultant Contract"),$B52&lt;&gt;""),INDEX(Points_Lookup!$K:$K,MATCH($B52,Points_Lookup!$J:$J,0)),IF(AND(OR($B$4="Clinical Lecturer / Medical Research Fellow",$B$4="Clinical Consultant - Old Contract (GP)"),$B52&lt;&gt;""),INDEX(Points_Lookup!$H:$H,MATCH($B52,Points_Lookup!$G:$G,0)),IF(AND(OR($B$4="APM Level 7",$B$4="R&amp;T Level 7",$B$4="APM Level 8"),B52&lt;&gt;""),INDEX(Points_Lookup!$E:$E,MATCH($Z52,Points_Lookup!$AE:$AE,0)),IF($B$4="R&amp;T Level 5 - Clinical Lecturers (Vet School)",SUMIF(Points_Lookup!$M:$M,$B52,Points_Lookup!$P:$P),IF($B$4="R&amp;T Level 6 - Clinical Associate Professors and Clinical Readers (Vet School)",SUMIF(Points_Lookup!$T:$T,$B52,Points_Lookup!$W:$W),IFERROR(INDEX(Points_Lookup!$B:$B,MATCH($Z52,Points_Lookup!$AE:$AE,0)),""))))))))</f>
        <v>51260</v>
      </c>
      <c r="D52" s="36"/>
      <c r="E52" s="25">
        <f ca="1">IF($B52="","",IF(AND($B$4="Salary Points 3 to 57",B52&lt;Thresholds_Rates!$C$16),"-",IF(SUMIF(Grades!$A:$A,$B$4,Grades!$BO:$BO)=0,"-",IF(AND($B$4="Salary Points 3 to 57",B52&gt;=Thresholds_Rates!$C$16),$C52*Thresholds_Rates!$F$15,IF(AND(OR($B$4="New Consultant Contract"),$B52&lt;&gt;""),$C52*Thresholds_Rates!$F$15,IF(AND(OR($B$4="Clinical Lecturer / Medical Research Fellow",$B$4="Clinical Consultant - Old Contract (GP)"),$B52&lt;&gt;""),$C52*Thresholds_Rates!$F$15,IF(OR($B$4="APM Level 7",$B$4="R&amp;T Level 7"),$C52*Thresholds_Rates!$F$15,IF(SUMIF(Grades!$A:$A,$B$4,Grades!$BO:$BO)=1,$C52*Thresholds_Rates!$F$15,""))))))))</f>
        <v>9226.7999999999993</v>
      </c>
      <c r="F52" s="25" t="str">
        <f ca="1">IF(B52="","",IF($B$4="Salary Points 3 to 57","-",IF(SUMIF(Grades!$A:$A,$B$4,Grades!$BP:$BP)=0,"-",IF(AND(OR($B$4="New Consultant Contract"),$B52&lt;&gt;""),$C52*Thresholds_Rates!$F$16,IF(AND(OR($B$4="Clinical Lecturer / Medical Research Fellow",$B$4="Clinical Consultant - Old Contract (GP)"),$B52&lt;&gt;""),$C52*Thresholds_Rates!$F$16,IF(AND(OR($B$4="APM Level 7",$B$4="R&amp;T Level 7"),E52&lt;&gt;""),$C52*Thresholds_Rates!$F$16,IF(SUMIF(Grades!$A:$A,$B$4,Grades!$BP:$BP)=1,$C52*Thresholds_Rates!$F$16,"")))))))</f>
        <v>-</v>
      </c>
      <c r="G52" s="25" t="str">
        <f ca="1">IF($B$4="Apprenticeship","-",IF(B52="","",IF(SUMIF(Grades!$A:$A,$B$4,Grades!$BQ:$BQ)=0,"-",IF(AND($B$4="Salary Points 3 to 57",B52&gt;Thresholds_Rates!$C$17),"-",IF(AND($B$4="Salary Points 3 to 57",B52&lt;=Thresholds_Rates!$C$17),$C52*Thresholds_Rates!$F$17,IF(AND(OR($B$4="New Consultant Contract"),$B52&lt;&gt;""),$C52*Thresholds_Rates!$F$17,IF(AND(OR($B$4="Clinical Lecturer / Medical Research Fellow",$B$4="Clinical Consultant - Old Contract (GP)"),$B52&lt;&gt;""),$C52*Thresholds_Rates!$F$17,IF(AND(OR($B$4="APM Level 7",$B$4="R&amp;T Level 7"),F52&lt;&gt;""),$C52*Thresholds_Rates!$F$17,IF(SUMIF(Grades!$A:$A,$B$4,Grades!$BQ:$BQ)=1,$C52*Thresholds_Rates!$F$17,"")))))))))</f>
        <v>-</v>
      </c>
      <c r="H52" s="25">
        <f ca="1">IF($B52="","",ROUND(($C52-(Thresholds_Rates!$C$5*12))*Thresholds_Rates!$C$10,0))</f>
        <v>5948</v>
      </c>
      <c r="I52" s="25">
        <f ca="1">IF(B52="","",(C52*Thresholds_Rates!$C$12))</f>
        <v>256.3</v>
      </c>
      <c r="J52" s="25" t="str">
        <f ca="1">IF(B52="","",IF(AND($B$4="Salary Points 3 to 57",B52&gt;Thresholds_Rates!$C$17),"-",IF(SUMIF(Grades!$A:$A,$B$4,Grades!$BR:$BR)=0,"-",IF(AND($B$4="Salary Points 3 to 57",B52&lt;=Thresholds_Rates!$C$17),$C52*Thresholds_Rates!$F$18,IF(AND(OR($B$4="New Consultant Contract"),$B52&lt;&gt;""),$C52*Thresholds_Rates!$F$18,IF(AND(OR($B$4="Clinical Lecturer / Medical Research Fellow",$B$4="Clinical Consultant - Old Contract (GP)"),$B52&lt;&gt;""),$C52*Thresholds_Rates!$F$18,IF(AND(OR($B$4="APM Level 7",$B$4="R&amp;T Level 7"),H52&lt;&gt;""),$C52*Thresholds_Rates!$F$18,IF(SUMIF(Grades!$A:$A,$B$4,Grades!$BQ:$BQ)=1,$C52*Thresholds_Rates!$F$18,""))))))))</f>
        <v>-</v>
      </c>
      <c r="K52" s="4"/>
      <c r="L52" s="25">
        <f t="shared" ca="1" si="1"/>
        <v>66691.100000000006</v>
      </c>
      <c r="M52" s="25" t="str">
        <f t="shared" ca="1" si="2"/>
        <v>-</v>
      </c>
      <c r="N52" s="25" t="str">
        <f t="shared" ca="1" si="3"/>
        <v>-</v>
      </c>
      <c r="O52" s="25" t="str">
        <f t="shared" ca="1" si="4"/>
        <v>-</v>
      </c>
      <c r="P52" s="25">
        <f t="shared" ca="1" si="5"/>
        <v>57464.3</v>
      </c>
      <c r="R52" s="28" t="str">
        <f ca="1">IF(B52="","",IF($B$4="R&amp;T Level 5 - Clinical Lecturers (Vet School)",SUMIF(Points_Lookup!$M:$M,$B52,Points_Lookup!$N:$N),IF($B$4="R&amp;T Level 6 - Clinical Associate Professors and Clinical Readers (Vet School)",SUMIF(Points_Lookup!$T:$T,$B52,Points_Lookup!$U:$U),"")))</f>
        <v/>
      </c>
      <c r="S52" s="29" t="str">
        <f ca="1">IF(B52="","",IF($B$4="R&amp;T Level 5 - Clinical Lecturers (Vet School)",$C52-SUMIF(Points_Lookup!$M:$M,$B52,Points_Lookup!$O:$O),IF($B$4="R&amp;T Level 6 - Clinical Associate Professors and Clinical Readers (Vet School)",$C52-SUMIF(Points_Lookup!$T:$T,$B52,Points_Lookup!$V:$V),"")))</f>
        <v/>
      </c>
      <c r="T52" s="28" t="str">
        <f ca="1">IF(B52="","",IF($B$4="R&amp;T Level 5 - Clinical Lecturers (Vet School)",SUMIF(Points_Lookup!$M:$M,$B52,Points_Lookup!$Q:$Q),IF($B$4="R&amp;T Level 6 - Clinical Associate Professors and Clinical Readers (Vet School)",SUMIF(Points_Lookup!$T:$T,$B52,Points_Lookup!$X:$X),"")))</f>
        <v/>
      </c>
      <c r="U52" s="29" t="str">
        <f t="shared" ca="1" si="6"/>
        <v/>
      </c>
      <c r="Z52" s="26">
        <v>44</v>
      </c>
    </row>
    <row r="53" spans="2:26" x14ac:dyDescent="0.25">
      <c r="B53" s="4">
        <f ca="1">IFERROR(INDEX(Points_Lookup!$A:$A,MATCH($Z53,Points_Lookup!$AE:$AE,0)),"")</f>
        <v>47</v>
      </c>
      <c r="C53" s="25">
        <f ca="1">IF(B53="","",IF($B$4="Apprenticeship",SUMIF(Points_Lookup!$AA:$AA,B53,Points_Lookup!$AC:$AC),IF(AND(OR($B$4="New Consultant Contract"),$B53&lt;&gt;""),INDEX(Points_Lookup!$K:$K,MATCH($B53,Points_Lookup!$J:$J,0)),IF(AND(OR($B$4="Clinical Lecturer / Medical Research Fellow",$B$4="Clinical Consultant - Old Contract (GP)"),$B53&lt;&gt;""),INDEX(Points_Lookup!$H:$H,MATCH($B53,Points_Lookup!$G:$G,0)),IF(AND(OR($B$4="APM Level 7",$B$4="R&amp;T Level 7",$B$4="APM Level 8"),B53&lt;&gt;""),INDEX(Points_Lookup!$E:$E,MATCH($Z53,Points_Lookup!$AE:$AE,0)),IF($B$4="R&amp;T Level 5 - Clinical Lecturers (Vet School)",SUMIF(Points_Lookup!$M:$M,$B53,Points_Lookup!$P:$P),IF($B$4="R&amp;T Level 6 - Clinical Associate Professors and Clinical Readers (Vet School)",SUMIF(Points_Lookup!$T:$T,$B53,Points_Lookup!$W:$W),IFERROR(INDEX(Points_Lookup!$B:$B,MATCH($Z53,Points_Lookup!$AE:$AE,0)),""))))))))</f>
        <v>52793</v>
      </c>
      <c r="D53" s="36"/>
      <c r="E53" s="25">
        <f ca="1">IF($B53="","",IF(AND($B$4="Salary Points 3 to 57",B53&lt;Thresholds_Rates!$C$16),"-",IF(SUMIF(Grades!$A:$A,$B$4,Grades!$BO:$BO)=0,"-",IF(AND($B$4="Salary Points 3 to 57",B53&gt;=Thresholds_Rates!$C$16),$C53*Thresholds_Rates!$F$15,IF(AND(OR($B$4="New Consultant Contract"),$B53&lt;&gt;""),$C53*Thresholds_Rates!$F$15,IF(AND(OR($B$4="Clinical Lecturer / Medical Research Fellow",$B$4="Clinical Consultant - Old Contract (GP)"),$B53&lt;&gt;""),$C53*Thresholds_Rates!$F$15,IF(OR($B$4="APM Level 7",$B$4="R&amp;T Level 7"),$C53*Thresholds_Rates!$F$15,IF(SUMIF(Grades!$A:$A,$B$4,Grades!$BO:$BO)=1,$C53*Thresholds_Rates!$F$15,""))))))))</f>
        <v>9502.74</v>
      </c>
      <c r="F53" s="25" t="str">
        <f ca="1">IF(B53="","",IF($B$4="Salary Points 3 to 57","-",IF(SUMIF(Grades!$A:$A,$B$4,Grades!$BP:$BP)=0,"-",IF(AND(OR($B$4="New Consultant Contract"),$B53&lt;&gt;""),$C53*Thresholds_Rates!$F$16,IF(AND(OR($B$4="Clinical Lecturer / Medical Research Fellow",$B$4="Clinical Consultant - Old Contract (GP)"),$B53&lt;&gt;""),$C53*Thresholds_Rates!$F$16,IF(AND(OR($B$4="APM Level 7",$B$4="R&amp;T Level 7"),E53&lt;&gt;""),$C53*Thresholds_Rates!$F$16,IF(SUMIF(Grades!$A:$A,$B$4,Grades!$BP:$BP)=1,$C53*Thresholds_Rates!$F$16,"")))))))</f>
        <v>-</v>
      </c>
      <c r="G53" s="25" t="str">
        <f ca="1">IF($B$4="Apprenticeship","-",IF(B53="","",IF(SUMIF(Grades!$A:$A,$B$4,Grades!$BQ:$BQ)=0,"-",IF(AND($B$4="Salary Points 3 to 57",B53&gt;Thresholds_Rates!$C$17),"-",IF(AND($B$4="Salary Points 3 to 57",B53&lt;=Thresholds_Rates!$C$17),$C53*Thresholds_Rates!$F$17,IF(AND(OR($B$4="New Consultant Contract"),$B53&lt;&gt;""),$C53*Thresholds_Rates!$F$17,IF(AND(OR($B$4="Clinical Lecturer / Medical Research Fellow",$B$4="Clinical Consultant - Old Contract (GP)"),$B53&lt;&gt;""),$C53*Thresholds_Rates!$F$17,IF(AND(OR($B$4="APM Level 7",$B$4="R&amp;T Level 7"),F53&lt;&gt;""),$C53*Thresholds_Rates!$F$17,IF(SUMIF(Grades!$A:$A,$B$4,Grades!$BQ:$BQ)=1,$C53*Thresholds_Rates!$F$17,"")))))))))</f>
        <v>-</v>
      </c>
      <c r="H53" s="25">
        <f ca="1">IF($B53="","",ROUND(($C53-(Thresholds_Rates!$C$5*12))*Thresholds_Rates!$C$10,0))</f>
        <v>6159</v>
      </c>
      <c r="I53" s="25">
        <f ca="1">IF(B53="","",(C53*Thresholds_Rates!$C$12))</f>
        <v>263.96500000000003</v>
      </c>
      <c r="J53" s="25" t="str">
        <f ca="1">IF(B53="","",IF(AND($B$4="Salary Points 3 to 57",B53&gt;Thresholds_Rates!$C$17),"-",IF(SUMIF(Grades!$A:$A,$B$4,Grades!$BR:$BR)=0,"-",IF(AND($B$4="Salary Points 3 to 57",B53&lt;=Thresholds_Rates!$C$17),$C53*Thresholds_Rates!$F$18,IF(AND(OR($B$4="New Consultant Contract"),$B53&lt;&gt;""),$C53*Thresholds_Rates!$F$18,IF(AND(OR($B$4="Clinical Lecturer / Medical Research Fellow",$B$4="Clinical Consultant - Old Contract (GP)"),$B53&lt;&gt;""),$C53*Thresholds_Rates!$F$18,IF(AND(OR($B$4="APM Level 7",$B$4="R&amp;T Level 7"),H53&lt;&gt;""),$C53*Thresholds_Rates!$F$18,IF(SUMIF(Grades!$A:$A,$B$4,Grades!$BQ:$BQ)=1,$C53*Thresholds_Rates!$F$18,""))))))))</f>
        <v>-</v>
      </c>
      <c r="K53" s="4"/>
      <c r="L53" s="25">
        <f t="shared" ca="1" si="1"/>
        <v>68718.705000000002</v>
      </c>
      <c r="M53" s="25" t="str">
        <f t="shared" ca="1" si="2"/>
        <v>-</v>
      </c>
      <c r="N53" s="25" t="str">
        <f t="shared" ca="1" si="3"/>
        <v>-</v>
      </c>
      <c r="O53" s="25" t="str">
        <f t="shared" ca="1" si="4"/>
        <v>-</v>
      </c>
      <c r="P53" s="25">
        <f t="shared" ca="1" si="5"/>
        <v>59215.964999999997</v>
      </c>
      <c r="R53" s="28" t="str">
        <f ca="1">IF(B53="","",IF($B$4="R&amp;T Level 5 - Clinical Lecturers (Vet School)",SUMIF(Points_Lookup!$M:$M,$B53,Points_Lookup!$N:$N),IF($B$4="R&amp;T Level 6 - Clinical Associate Professors and Clinical Readers (Vet School)",SUMIF(Points_Lookup!$T:$T,$B53,Points_Lookup!$U:$U),"")))</f>
        <v/>
      </c>
      <c r="S53" s="29" t="str">
        <f ca="1">IF(B53="","",IF($B$4="R&amp;T Level 5 - Clinical Lecturers (Vet School)",$C53-SUMIF(Points_Lookup!$M:$M,$B53,Points_Lookup!$O:$O),IF($B$4="R&amp;T Level 6 - Clinical Associate Professors and Clinical Readers (Vet School)",$C53-SUMIF(Points_Lookup!$T:$T,$B53,Points_Lookup!$V:$V),"")))</f>
        <v/>
      </c>
      <c r="T53" s="28" t="str">
        <f ca="1">IF(B53="","",IF($B$4="R&amp;T Level 5 - Clinical Lecturers (Vet School)",SUMIF(Points_Lookup!$M:$M,$B53,Points_Lookup!$Q:$Q),IF($B$4="R&amp;T Level 6 - Clinical Associate Professors and Clinical Readers (Vet School)",SUMIF(Points_Lookup!$T:$T,$B53,Points_Lookup!$X:$X),"")))</f>
        <v/>
      </c>
      <c r="U53" s="29" t="str">
        <f t="shared" ca="1" si="6"/>
        <v/>
      </c>
      <c r="Z53" s="26">
        <v>45</v>
      </c>
    </row>
    <row r="54" spans="2:26" x14ac:dyDescent="0.25">
      <c r="B54" s="4">
        <f ca="1">IFERROR(INDEX(Points_Lookup!$A:$A,MATCH($Z54,Points_Lookup!$AE:$AE,0)),"")</f>
        <v>48</v>
      </c>
      <c r="C54" s="25">
        <f ca="1">IF(B54="","",IF($B$4="Apprenticeship",SUMIF(Points_Lookup!$AA:$AA,B54,Points_Lookup!$AC:$AC),IF(AND(OR($B$4="New Consultant Contract"),$B54&lt;&gt;""),INDEX(Points_Lookup!$K:$K,MATCH($B54,Points_Lookup!$J:$J,0)),IF(AND(OR($B$4="Clinical Lecturer / Medical Research Fellow",$B$4="Clinical Consultant - Old Contract (GP)"),$B54&lt;&gt;""),INDEX(Points_Lookup!$H:$H,MATCH($B54,Points_Lookup!$G:$G,0)),IF(AND(OR($B$4="APM Level 7",$B$4="R&amp;T Level 7",$B$4="APM Level 8"),B54&lt;&gt;""),INDEX(Points_Lookup!$E:$E,MATCH($Z54,Points_Lookup!$AE:$AE,0)),IF($B$4="R&amp;T Level 5 - Clinical Lecturers (Vet School)",SUMIF(Points_Lookup!$M:$M,$B54,Points_Lookup!$P:$P),IF($B$4="R&amp;T Level 6 - Clinical Associate Professors and Clinical Readers (Vet School)",SUMIF(Points_Lookup!$T:$T,$B54,Points_Lookup!$W:$W),IFERROR(INDEX(Points_Lookup!$B:$B,MATCH($Z54,Points_Lookup!$AE:$AE,0)),""))))))))</f>
        <v>54372</v>
      </c>
      <c r="D54" s="36"/>
      <c r="E54" s="25">
        <f ca="1">IF($B54="","",IF(AND($B$4="Salary Points 3 to 57",B54&lt;Thresholds_Rates!$C$16),"-",IF(SUMIF(Grades!$A:$A,$B$4,Grades!$BO:$BO)=0,"-",IF(AND($B$4="Salary Points 3 to 57",B54&gt;=Thresholds_Rates!$C$16),$C54*Thresholds_Rates!$F$15,IF(AND(OR($B$4="New Consultant Contract"),$B54&lt;&gt;""),$C54*Thresholds_Rates!$F$15,IF(AND(OR($B$4="Clinical Lecturer / Medical Research Fellow",$B$4="Clinical Consultant - Old Contract (GP)"),$B54&lt;&gt;""),$C54*Thresholds_Rates!$F$15,IF(OR($B$4="APM Level 7",$B$4="R&amp;T Level 7"),$C54*Thresholds_Rates!$F$15,IF(SUMIF(Grades!$A:$A,$B$4,Grades!$BO:$BO)=1,$C54*Thresholds_Rates!$F$15,""))))))))</f>
        <v>9786.9599999999991</v>
      </c>
      <c r="F54" s="25" t="str">
        <f ca="1">IF(B54="","",IF($B$4="Salary Points 3 to 57","-",IF(SUMIF(Grades!$A:$A,$B$4,Grades!$BP:$BP)=0,"-",IF(AND(OR($B$4="New Consultant Contract"),$B54&lt;&gt;""),$C54*Thresholds_Rates!$F$16,IF(AND(OR($B$4="Clinical Lecturer / Medical Research Fellow",$B$4="Clinical Consultant - Old Contract (GP)"),$B54&lt;&gt;""),$C54*Thresholds_Rates!$F$16,IF(AND(OR($B$4="APM Level 7",$B$4="R&amp;T Level 7"),E54&lt;&gt;""),$C54*Thresholds_Rates!$F$16,IF(SUMIF(Grades!$A:$A,$B$4,Grades!$BP:$BP)=1,$C54*Thresholds_Rates!$F$16,"")))))))</f>
        <v>-</v>
      </c>
      <c r="G54" s="25" t="str">
        <f ca="1">IF($B$4="Apprenticeship","-",IF(B54="","",IF(SUMIF(Grades!$A:$A,$B$4,Grades!$BQ:$BQ)=0,"-",IF(AND($B$4="Salary Points 3 to 57",B54&gt;Thresholds_Rates!$C$17),"-",IF(AND($B$4="Salary Points 3 to 57",B54&lt;=Thresholds_Rates!$C$17),$C54*Thresholds_Rates!$F$17,IF(AND(OR($B$4="New Consultant Contract"),$B54&lt;&gt;""),$C54*Thresholds_Rates!$F$17,IF(AND(OR($B$4="Clinical Lecturer / Medical Research Fellow",$B$4="Clinical Consultant - Old Contract (GP)"),$B54&lt;&gt;""),$C54*Thresholds_Rates!$F$17,IF(AND(OR($B$4="APM Level 7",$B$4="R&amp;T Level 7"),F54&lt;&gt;""),$C54*Thresholds_Rates!$F$17,IF(SUMIF(Grades!$A:$A,$B$4,Grades!$BQ:$BQ)=1,$C54*Thresholds_Rates!$F$17,"")))))))))</f>
        <v>-</v>
      </c>
      <c r="H54" s="25">
        <f ca="1">IF($B54="","",ROUND(($C54-(Thresholds_Rates!$C$5*12))*Thresholds_Rates!$C$10,0))</f>
        <v>6377</v>
      </c>
      <c r="I54" s="25">
        <f ca="1">IF(B54="","",(C54*Thresholds_Rates!$C$12))</f>
        <v>271.86</v>
      </c>
      <c r="J54" s="25" t="str">
        <f ca="1">IF(B54="","",IF(AND($B$4="Salary Points 3 to 57",B54&gt;Thresholds_Rates!$C$17),"-",IF(SUMIF(Grades!$A:$A,$B$4,Grades!$BR:$BR)=0,"-",IF(AND($B$4="Salary Points 3 to 57",B54&lt;=Thresholds_Rates!$C$17),$C54*Thresholds_Rates!$F$18,IF(AND(OR($B$4="New Consultant Contract"),$B54&lt;&gt;""),$C54*Thresholds_Rates!$F$18,IF(AND(OR($B$4="Clinical Lecturer / Medical Research Fellow",$B$4="Clinical Consultant - Old Contract (GP)"),$B54&lt;&gt;""),$C54*Thresholds_Rates!$F$18,IF(AND(OR($B$4="APM Level 7",$B$4="R&amp;T Level 7"),H54&lt;&gt;""),$C54*Thresholds_Rates!$F$18,IF(SUMIF(Grades!$A:$A,$B$4,Grades!$BQ:$BQ)=1,$C54*Thresholds_Rates!$F$18,""))))))))</f>
        <v>-</v>
      </c>
      <c r="K54" s="4"/>
      <c r="L54" s="25">
        <f t="shared" ca="1" si="1"/>
        <v>70807.819999999992</v>
      </c>
      <c r="M54" s="25" t="str">
        <f t="shared" ca="1" si="2"/>
        <v>-</v>
      </c>
      <c r="N54" s="25" t="str">
        <f t="shared" ca="1" si="3"/>
        <v>-</v>
      </c>
      <c r="O54" s="25" t="str">
        <f t="shared" ca="1" si="4"/>
        <v>-</v>
      </c>
      <c r="P54" s="25">
        <f t="shared" ca="1" si="5"/>
        <v>61020.86</v>
      </c>
      <c r="R54" s="28" t="str">
        <f ca="1">IF(B54="","",IF($B$4="R&amp;T Level 5 - Clinical Lecturers (Vet School)",SUMIF(Points_Lookup!$M:$M,$B54,Points_Lookup!$N:$N),IF($B$4="R&amp;T Level 6 - Clinical Associate Professors and Clinical Readers (Vet School)",SUMIF(Points_Lookup!$T:$T,$B54,Points_Lookup!$U:$U),"")))</f>
        <v/>
      </c>
      <c r="S54" s="29" t="str">
        <f ca="1">IF(B54="","",IF($B$4="R&amp;T Level 5 - Clinical Lecturers (Vet School)",$C54-SUMIF(Points_Lookup!$M:$M,$B54,Points_Lookup!$O:$O),IF($B$4="R&amp;T Level 6 - Clinical Associate Professors and Clinical Readers (Vet School)",$C54-SUMIF(Points_Lookup!$T:$T,$B54,Points_Lookup!$V:$V),"")))</f>
        <v/>
      </c>
      <c r="T54" s="28" t="str">
        <f ca="1">IF(B54="","",IF($B$4="R&amp;T Level 5 - Clinical Lecturers (Vet School)",SUMIF(Points_Lookup!$M:$M,$B54,Points_Lookup!$Q:$Q),IF($B$4="R&amp;T Level 6 - Clinical Associate Professors and Clinical Readers (Vet School)",SUMIF(Points_Lookup!$T:$T,$B54,Points_Lookup!$X:$X),"")))</f>
        <v/>
      </c>
      <c r="U54" s="29" t="str">
        <f t="shared" ca="1" si="6"/>
        <v/>
      </c>
      <c r="Z54" s="26">
        <v>46</v>
      </c>
    </row>
    <row r="55" spans="2:26" x14ac:dyDescent="0.25">
      <c r="B55" s="4">
        <f ca="1">IFERROR(INDEX(Points_Lookup!$A:$A,MATCH($Z55,Points_Lookup!$AE:$AE,0)),"")</f>
        <v>49</v>
      </c>
      <c r="C55" s="25">
        <f ca="1">IF(B55="","",IF($B$4="Apprenticeship",SUMIF(Points_Lookup!$AA:$AA,B55,Points_Lookup!$AC:$AC),IF(AND(OR($B$4="New Consultant Contract"),$B55&lt;&gt;""),INDEX(Points_Lookup!$K:$K,MATCH($B55,Points_Lookup!$J:$J,0)),IF(AND(OR($B$4="Clinical Lecturer / Medical Research Fellow",$B$4="Clinical Consultant - Old Contract (GP)"),$B55&lt;&gt;""),INDEX(Points_Lookup!$H:$H,MATCH($B55,Points_Lookup!$G:$G,0)),IF(AND(OR($B$4="APM Level 7",$B$4="R&amp;T Level 7",$B$4="APM Level 8"),B55&lt;&gt;""),INDEX(Points_Lookup!$E:$E,MATCH($Z55,Points_Lookup!$AE:$AE,0)),IF($B$4="R&amp;T Level 5 - Clinical Lecturers (Vet School)",SUMIF(Points_Lookup!$M:$M,$B55,Points_Lookup!$P:$P),IF($B$4="R&amp;T Level 6 - Clinical Associate Professors and Clinical Readers (Vet School)",SUMIF(Points_Lookup!$T:$T,$B55,Points_Lookup!$W:$W),IFERROR(INDEX(Points_Lookup!$B:$B,MATCH($Z55,Points_Lookup!$AE:$AE,0)),""))))))))</f>
        <v>55998</v>
      </c>
      <c r="D55" s="36"/>
      <c r="E55" s="25">
        <f ca="1">IF($B55="","",IF(AND($B$4="Salary Points 3 to 57",B55&lt;Thresholds_Rates!$C$16),"-",IF(SUMIF(Grades!$A:$A,$B$4,Grades!$BO:$BO)=0,"-",IF(AND($B$4="Salary Points 3 to 57",B55&gt;=Thresholds_Rates!$C$16),$C55*Thresholds_Rates!$F$15,IF(AND(OR($B$4="New Consultant Contract"),$B55&lt;&gt;""),$C55*Thresholds_Rates!$F$15,IF(AND(OR($B$4="Clinical Lecturer / Medical Research Fellow",$B$4="Clinical Consultant - Old Contract (GP)"),$B55&lt;&gt;""),$C55*Thresholds_Rates!$F$15,IF(OR($B$4="APM Level 7",$B$4="R&amp;T Level 7"),$C55*Thresholds_Rates!$F$15,IF(SUMIF(Grades!$A:$A,$B$4,Grades!$BO:$BO)=1,$C55*Thresholds_Rates!$F$15,""))))))))</f>
        <v>10079.64</v>
      </c>
      <c r="F55" s="25" t="str">
        <f ca="1">IF(B55="","",IF($B$4="Salary Points 3 to 57","-",IF(SUMIF(Grades!$A:$A,$B$4,Grades!$BP:$BP)=0,"-",IF(AND(OR($B$4="New Consultant Contract"),$B55&lt;&gt;""),$C55*Thresholds_Rates!$F$16,IF(AND(OR($B$4="Clinical Lecturer / Medical Research Fellow",$B$4="Clinical Consultant - Old Contract (GP)"),$B55&lt;&gt;""),$C55*Thresholds_Rates!$F$16,IF(AND(OR($B$4="APM Level 7",$B$4="R&amp;T Level 7"),E55&lt;&gt;""),$C55*Thresholds_Rates!$F$16,IF(SUMIF(Grades!$A:$A,$B$4,Grades!$BP:$BP)=1,$C55*Thresholds_Rates!$F$16,"")))))))</f>
        <v>-</v>
      </c>
      <c r="G55" s="25" t="str">
        <f ca="1">IF($B$4="Apprenticeship","-",IF(B55="","",IF(SUMIF(Grades!$A:$A,$B$4,Grades!$BQ:$BQ)=0,"-",IF(AND($B$4="Salary Points 3 to 57",B55&gt;Thresholds_Rates!$C$17),"-",IF(AND($B$4="Salary Points 3 to 57",B55&lt;=Thresholds_Rates!$C$17),$C55*Thresholds_Rates!$F$17,IF(AND(OR($B$4="New Consultant Contract"),$B55&lt;&gt;""),$C55*Thresholds_Rates!$F$17,IF(AND(OR($B$4="Clinical Lecturer / Medical Research Fellow",$B$4="Clinical Consultant - Old Contract (GP)"),$B55&lt;&gt;""),$C55*Thresholds_Rates!$F$17,IF(AND(OR($B$4="APM Level 7",$B$4="R&amp;T Level 7"),F55&lt;&gt;""),$C55*Thresholds_Rates!$F$17,IF(SUMIF(Grades!$A:$A,$B$4,Grades!$BQ:$BQ)=1,$C55*Thresholds_Rates!$F$17,"")))))))))</f>
        <v>-</v>
      </c>
      <c r="H55" s="25">
        <f ca="1">IF($B55="","",ROUND(($C55-(Thresholds_Rates!$C$5*12))*Thresholds_Rates!$C$10,0))</f>
        <v>6602</v>
      </c>
      <c r="I55" s="25">
        <f ca="1">IF(B55="","",(C55*Thresholds_Rates!$C$12))</f>
        <v>279.99</v>
      </c>
      <c r="J55" s="25" t="str">
        <f ca="1">IF(B55="","",IF(AND($B$4="Salary Points 3 to 57",B55&gt;Thresholds_Rates!$C$17),"-",IF(SUMIF(Grades!$A:$A,$B$4,Grades!$BR:$BR)=0,"-",IF(AND($B$4="Salary Points 3 to 57",B55&lt;=Thresholds_Rates!$C$17),$C55*Thresholds_Rates!$F$18,IF(AND(OR($B$4="New Consultant Contract"),$B55&lt;&gt;""),$C55*Thresholds_Rates!$F$18,IF(AND(OR($B$4="Clinical Lecturer / Medical Research Fellow",$B$4="Clinical Consultant - Old Contract (GP)"),$B55&lt;&gt;""),$C55*Thresholds_Rates!$F$18,IF(AND(OR($B$4="APM Level 7",$B$4="R&amp;T Level 7"),H55&lt;&gt;""),$C55*Thresholds_Rates!$F$18,IF(SUMIF(Grades!$A:$A,$B$4,Grades!$BQ:$BQ)=1,$C55*Thresholds_Rates!$F$18,""))))))))</f>
        <v>-</v>
      </c>
      <c r="K55" s="4"/>
      <c r="L55" s="25">
        <f t="shared" ca="1" si="1"/>
        <v>72959.63</v>
      </c>
      <c r="M55" s="25" t="str">
        <f t="shared" ca="1" si="2"/>
        <v>-</v>
      </c>
      <c r="N55" s="25" t="str">
        <f t="shared" ca="1" si="3"/>
        <v>-</v>
      </c>
      <c r="O55" s="25" t="str">
        <f t="shared" ca="1" si="4"/>
        <v>-</v>
      </c>
      <c r="P55" s="25">
        <f t="shared" ca="1" si="5"/>
        <v>62879.99</v>
      </c>
      <c r="R55" s="28" t="str">
        <f ca="1">IF(B55="","",IF($B$4="R&amp;T Level 5 - Clinical Lecturers (Vet School)",SUMIF(Points_Lookup!$M:$M,$B55,Points_Lookup!$N:$N),IF($B$4="R&amp;T Level 6 - Clinical Associate Professors and Clinical Readers (Vet School)",SUMIF(Points_Lookup!$T:$T,$B55,Points_Lookup!$U:$U),"")))</f>
        <v/>
      </c>
      <c r="S55" s="29" t="str">
        <f ca="1">IF(B55="","",IF($B$4="R&amp;T Level 5 - Clinical Lecturers (Vet School)",$C55-SUMIF(Points_Lookup!$M:$M,$B55,Points_Lookup!$O:$O),IF($B$4="R&amp;T Level 6 - Clinical Associate Professors and Clinical Readers (Vet School)",$C55-SUMIF(Points_Lookup!$T:$T,$B55,Points_Lookup!$V:$V),"")))</f>
        <v/>
      </c>
      <c r="T55" s="28" t="str">
        <f ca="1">IF(B55="","",IF($B$4="R&amp;T Level 5 - Clinical Lecturers (Vet School)",SUMIF(Points_Lookup!$M:$M,$B55,Points_Lookup!$Q:$Q),IF($B$4="R&amp;T Level 6 - Clinical Associate Professors and Clinical Readers (Vet School)",SUMIF(Points_Lookup!$T:$T,$B55,Points_Lookup!$X:$X),"")))</f>
        <v/>
      </c>
      <c r="U55" s="29" t="str">
        <f t="shared" ca="1" si="6"/>
        <v/>
      </c>
      <c r="Z55" s="26">
        <v>47</v>
      </c>
    </row>
    <row r="56" spans="2:26" x14ac:dyDescent="0.25">
      <c r="B56" s="4">
        <f ca="1">IFERROR(INDEX(Points_Lookup!$A:$A,MATCH($Z56,Points_Lookup!$AE:$AE,0)),"")</f>
        <v>50</v>
      </c>
      <c r="C56" s="25">
        <f ca="1">IF(B56="","",IF($B$4="Apprenticeship",SUMIF(Points_Lookup!$AA:$AA,B56,Points_Lookup!$AC:$AC),IF(AND(OR($B$4="New Consultant Contract"),$B56&lt;&gt;""),INDEX(Points_Lookup!$K:$K,MATCH($B56,Points_Lookup!$J:$J,0)),IF(AND(OR($B$4="Clinical Lecturer / Medical Research Fellow",$B$4="Clinical Consultant - Old Contract (GP)"),$B56&lt;&gt;""),INDEX(Points_Lookup!$H:$H,MATCH($B56,Points_Lookup!$G:$G,0)),IF(AND(OR($B$4="APM Level 7",$B$4="R&amp;T Level 7",$B$4="APM Level 8"),B56&lt;&gt;""),INDEX(Points_Lookup!$E:$E,MATCH($Z56,Points_Lookup!$AE:$AE,0)),IF($B$4="R&amp;T Level 5 - Clinical Lecturers (Vet School)",SUMIF(Points_Lookup!$M:$M,$B56,Points_Lookup!$P:$P),IF($B$4="R&amp;T Level 6 - Clinical Associate Professors and Clinical Readers (Vet School)",SUMIF(Points_Lookup!$T:$T,$B56,Points_Lookup!$W:$W),IFERROR(INDEX(Points_Lookup!$B:$B,MATCH($Z56,Points_Lookup!$AE:$AE,0)),""))))))))</f>
        <v>57674</v>
      </c>
      <c r="D56" s="36"/>
      <c r="E56" s="25">
        <f ca="1">IF($B56="","",IF(AND($B$4="Salary Points 3 to 57",B56&lt;Thresholds_Rates!$C$16),"-",IF(SUMIF(Grades!$A:$A,$B$4,Grades!$BO:$BO)=0,"-",IF(AND($B$4="Salary Points 3 to 57",B56&gt;=Thresholds_Rates!$C$16),$C56*Thresholds_Rates!$F$15,IF(AND(OR($B$4="New Consultant Contract"),$B56&lt;&gt;""),$C56*Thresholds_Rates!$F$15,IF(AND(OR($B$4="Clinical Lecturer / Medical Research Fellow",$B$4="Clinical Consultant - Old Contract (GP)"),$B56&lt;&gt;""),$C56*Thresholds_Rates!$F$15,IF(OR($B$4="APM Level 7",$B$4="R&amp;T Level 7"),$C56*Thresholds_Rates!$F$15,IF(SUMIF(Grades!$A:$A,$B$4,Grades!$BO:$BO)=1,$C56*Thresholds_Rates!$F$15,""))))))))</f>
        <v>10381.32</v>
      </c>
      <c r="F56" s="25" t="str">
        <f ca="1">IF(B56="","",IF($B$4="Salary Points 3 to 57","-",IF(SUMIF(Grades!$A:$A,$B$4,Grades!$BP:$BP)=0,"-",IF(AND(OR($B$4="New Consultant Contract"),$B56&lt;&gt;""),$C56*Thresholds_Rates!$F$16,IF(AND(OR($B$4="Clinical Lecturer / Medical Research Fellow",$B$4="Clinical Consultant - Old Contract (GP)"),$B56&lt;&gt;""),$C56*Thresholds_Rates!$F$16,IF(AND(OR($B$4="APM Level 7",$B$4="R&amp;T Level 7"),E56&lt;&gt;""),$C56*Thresholds_Rates!$F$16,IF(SUMIF(Grades!$A:$A,$B$4,Grades!$BP:$BP)=1,$C56*Thresholds_Rates!$F$16,"")))))))</f>
        <v>-</v>
      </c>
      <c r="G56" s="25" t="str">
        <f ca="1">IF($B$4="Apprenticeship","-",IF(B56="","",IF(SUMIF(Grades!$A:$A,$B$4,Grades!$BQ:$BQ)=0,"-",IF(AND($B$4="Salary Points 3 to 57",B56&gt;Thresholds_Rates!$C$17),"-",IF(AND($B$4="Salary Points 3 to 57",B56&lt;=Thresholds_Rates!$C$17),$C56*Thresholds_Rates!$F$17,IF(AND(OR($B$4="New Consultant Contract"),$B56&lt;&gt;""),$C56*Thresholds_Rates!$F$17,IF(AND(OR($B$4="Clinical Lecturer / Medical Research Fellow",$B$4="Clinical Consultant - Old Contract (GP)"),$B56&lt;&gt;""),$C56*Thresholds_Rates!$F$17,IF(AND(OR($B$4="APM Level 7",$B$4="R&amp;T Level 7"),F56&lt;&gt;""),$C56*Thresholds_Rates!$F$17,IF(SUMIF(Grades!$A:$A,$B$4,Grades!$BQ:$BQ)=1,$C56*Thresholds_Rates!$F$17,"")))))))))</f>
        <v>-</v>
      </c>
      <c r="H56" s="25">
        <f ca="1">IF($B56="","",ROUND(($C56-(Thresholds_Rates!$C$5*12))*Thresholds_Rates!$C$10,0))</f>
        <v>6833</v>
      </c>
      <c r="I56" s="25">
        <f ca="1">IF(B56="","",(C56*Thresholds_Rates!$C$12))</f>
        <v>288.37</v>
      </c>
      <c r="J56" s="25" t="str">
        <f ca="1">IF(B56="","",IF(AND($B$4="Salary Points 3 to 57",B56&gt;Thresholds_Rates!$C$17),"-",IF(SUMIF(Grades!$A:$A,$B$4,Grades!$BR:$BR)=0,"-",IF(AND($B$4="Salary Points 3 to 57",B56&lt;=Thresholds_Rates!$C$17),$C56*Thresholds_Rates!$F$18,IF(AND(OR($B$4="New Consultant Contract"),$B56&lt;&gt;""),$C56*Thresholds_Rates!$F$18,IF(AND(OR($B$4="Clinical Lecturer / Medical Research Fellow",$B$4="Clinical Consultant - Old Contract (GP)"),$B56&lt;&gt;""),$C56*Thresholds_Rates!$F$18,IF(AND(OR($B$4="APM Level 7",$B$4="R&amp;T Level 7"),H56&lt;&gt;""),$C56*Thresholds_Rates!$F$18,IF(SUMIF(Grades!$A:$A,$B$4,Grades!$BQ:$BQ)=1,$C56*Thresholds_Rates!$F$18,""))))))))</f>
        <v>-</v>
      </c>
      <c r="K56" s="4"/>
      <c r="L56" s="25">
        <f t="shared" ca="1" si="1"/>
        <v>75176.69</v>
      </c>
      <c r="M56" s="25" t="str">
        <f t="shared" ca="1" si="2"/>
        <v>-</v>
      </c>
      <c r="N56" s="25" t="str">
        <f t="shared" ca="1" si="3"/>
        <v>-</v>
      </c>
      <c r="O56" s="25" t="str">
        <f t="shared" ca="1" si="4"/>
        <v>-</v>
      </c>
      <c r="P56" s="25">
        <f t="shared" ca="1" si="5"/>
        <v>64795.37</v>
      </c>
      <c r="R56" s="28" t="str">
        <f ca="1">IF(B56="","",IF($B$4="R&amp;T Level 5 - Clinical Lecturers (Vet School)",SUMIF(Points_Lookup!$M:$M,$B56,Points_Lookup!$N:$N),IF($B$4="R&amp;T Level 6 - Clinical Associate Professors and Clinical Readers (Vet School)",SUMIF(Points_Lookup!$T:$T,$B56,Points_Lookup!$U:$U),"")))</f>
        <v/>
      </c>
      <c r="S56" s="29" t="str">
        <f ca="1">IF(B56="","",IF($B$4="R&amp;T Level 5 - Clinical Lecturers (Vet School)",$C56-SUMIF(Points_Lookup!$M:$M,$B56,Points_Lookup!$O:$O),IF($B$4="R&amp;T Level 6 - Clinical Associate Professors and Clinical Readers (Vet School)",$C56-SUMIF(Points_Lookup!$T:$T,$B56,Points_Lookup!$V:$V),"")))</f>
        <v/>
      </c>
      <c r="T56" s="28" t="str">
        <f ca="1">IF(B56="","",IF($B$4="R&amp;T Level 5 - Clinical Lecturers (Vet School)",SUMIF(Points_Lookup!$M:$M,$B56,Points_Lookup!$Q:$Q),IF($B$4="R&amp;T Level 6 - Clinical Associate Professors and Clinical Readers (Vet School)",SUMIF(Points_Lookup!$T:$T,$B56,Points_Lookup!$X:$X),"")))</f>
        <v/>
      </c>
      <c r="U56" s="29" t="str">
        <f t="shared" ca="1" si="6"/>
        <v/>
      </c>
      <c r="Z56" s="26">
        <v>48</v>
      </c>
    </row>
    <row r="57" spans="2:26" x14ac:dyDescent="0.25">
      <c r="B57" s="4">
        <f ca="1">IFERROR(INDEX(Points_Lookup!$A:$A,MATCH($Z57,Points_Lookup!$AE:$AE,0)),"")</f>
        <v>51</v>
      </c>
      <c r="C57" s="25">
        <f ca="1">IF(B57="","",IF($B$4="Apprenticeship",SUMIF(Points_Lookup!$AA:$AA,B57,Points_Lookup!$AC:$AC),IF(AND(OR($B$4="New Consultant Contract"),$B57&lt;&gt;""),INDEX(Points_Lookup!$K:$K,MATCH($B57,Points_Lookup!$J:$J,0)),IF(AND(OR($B$4="Clinical Lecturer / Medical Research Fellow",$B$4="Clinical Consultant - Old Contract (GP)"),$B57&lt;&gt;""),INDEX(Points_Lookup!$H:$H,MATCH($B57,Points_Lookup!$G:$G,0)),IF(AND(OR($B$4="APM Level 7",$B$4="R&amp;T Level 7",$B$4="APM Level 8"),B57&lt;&gt;""),INDEX(Points_Lookup!$E:$E,MATCH($Z57,Points_Lookup!$AE:$AE,0)),IF($B$4="R&amp;T Level 5 - Clinical Lecturers (Vet School)",SUMIF(Points_Lookup!$M:$M,$B57,Points_Lookup!$P:$P),IF($B$4="R&amp;T Level 6 - Clinical Associate Professors and Clinical Readers (Vet School)",SUMIF(Points_Lookup!$T:$T,$B57,Points_Lookup!$W:$W),IFERROR(INDEX(Points_Lookup!$B:$B,MATCH($Z57,Points_Lookup!$AE:$AE,0)),""))))))))</f>
        <v>59400</v>
      </c>
      <c r="D57" s="36"/>
      <c r="E57" s="25">
        <f ca="1">IF($B57="","",IF(AND($B$4="Salary Points 3 to 57",B57&lt;Thresholds_Rates!$C$16),"-",IF(SUMIF(Grades!$A:$A,$B$4,Grades!$BO:$BO)=0,"-",IF(AND($B$4="Salary Points 3 to 57",B57&gt;=Thresholds_Rates!$C$16),$C57*Thresholds_Rates!$F$15,IF(AND(OR($B$4="New Consultant Contract"),$B57&lt;&gt;""),$C57*Thresholds_Rates!$F$15,IF(AND(OR($B$4="Clinical Lecturer / Medical Research Fellow",$B$4="Clinical Consultant - Old Contract (GP)"),$B57&lt;&gt;""),$C57*Thresholds_Rates!$F$15,IF(OR($B$4="APM Level 7",$B$4="R&amp;T Level 7"),$C57*Thresholds_Rates!$F$15,IF(SUMIF(Grades!$A:$A,$B$4,Grades!$BO:$BO)=1,$C57*Thresholds_Rates!$F$15,""))))))))</f>
        <v>10692</v>
      </c>
      <c r="F57" s="25" t="str">
        <f ca="1">IF(B57="","",IF($B$4="Salary Points 3 to 57","-",IF(SUMIF(Grades!$A:$A,$B$4,Grades!$BP:$BP)=0,"-",IF(AND(OR($B$4="New Consultant Contract"),$B57&lt;&gt;""),$C57*Thresholds_Rates!$F$16,IF(AND(OR($B$4="Clinical Lecturer / Medical Research Fellow",$B$4="Clinical Consultant - Old Contract (GP)"),$B57&lt;&gt;""),$C57*Thresholds_Rates!$F$16,IF(AND(OR($B$4="APM Level 7",$B$4="R&amp;T Level 7"),E57&lt;&gt;""),$C57*Thresholds_Rates!$F$16,IF(SUMIF(Grades!$A:$A,$B$4,Grades!$BP:$BP)=1,$C57*Thresholds_Rates!$F$16,"")))))))</f>
        <v>-</v>
      </c>
      <c r="G57" s="25" t="str">
        <f ca="1">IF($B$4="Apprenticeship","-",IF(B57="","",IF(SUMIF(Grades!$A:$A,$B$4,Grades!$BQ:$BQ)=0,"-",IF(AND($B$4="Salary Points 3 to 57",B57&gt;Thresholds_Rates!$C$17),"-",IF(AND($B$4="Salary Points 3 to 57",B57&lt;=Thresholds_Rates!$C$17),$C57*Thresholds_Rates!$F$17,IF(AND(OR($B$4="New Consultant Contract"),$B57&lt;&gt;""),$C57*Thresholds_Rates!$F$17,IF(AND(OR($B$4="Clinical Lecturer / Medical Research Fellow",$B$4="Clinical Consultant - Old Contract (GP)"),$B57&lt;&gt;""),$C57*Thresholds_Rates!$F$17,IF(AND(OR($B$4="APM Level 7",$B$4="R&amp;T Level 7"),F57&lt;&gt;""),$C57*Thresholds_Rates!$F$17,IF(SUMIF(Grades!$A:$A,$B$4,Grades!$BQ:$BQ)=1,$C57*Thresholds_Rates!$F$17,"")))))))))</f>
        <v>-</v>
      </c>
      <c r="H57" s="25">
        <f ca="1">IF($B57="","",ROUND(($C57-(Thresholds_Rates!$C$5*12))*Thresholds_Rates!$C$10,0))</f>
        <v>7071</v>
      </c>
      <c r="I57" s="25">
        <f ca="1">IF(B57="","",(C57*Thresholds_Rates!$C$12))</f>
        <v>297</v>
      </c>
      <c r="J57" s="25" t="str">
        <f ca="1">IF(B57="","",IF(AND($B$4="Salary Points 3 to 57",B57&gt;Thresholds_Rates!$C$17),"-",IF(SUMIF(Grades!$A:$A,$B$4,Grades!$BR:$BR)=0,"-",IF(AND($B$4="Salary Points 3 to 57",B57&lt;=Thresholds_Rates!$C$17),$C57*Thresholds_Rates!$F$18,IF(AND(OR($B$4="New Consultant Contract"),$B57&lt;&gt;""),$C57*Thresholds_Rates!$F$18,IF(AND(OR($B$4="Clinical Lecturer / Medical Research Fellow",$B$4="Clinical Consultant - Old Contract (GP)"),$B57&lt;&gt;""),$C57*Thresholds_Rates!$F$18,IF(AND(OR($B$4="APM Level 7",$B$4="R&amp;T Level 7"),H57&lt;&gt;""),$C57*Thresholds_Rates!$F$18,IF(SUMIF(Grades!$A:$A,$B$4,Grades!$BQ:$BQ)=1,$C57*Thresholds_Rates!$F$18,""))))))))</f>
        <v>-</v>
      </c>
      <c r="K57" s="4"/>
      <c r="L57" s="25">
        <f t="shared" ca="1" si="1"/>
        <v>77460</v>
      </c>
      <c r="M57" s="25" t="str">
        <f t="shared" ca="1" si="2"/>
        <v>-</v>
      </c>
      <c r="N57" s="25" t="str">
        <f t="shared" ca="1" si="3"/>
        <v>-</v>
      </c>
      <c r="O57" s="25" t="str">
        <f t="shared" ca="1" si="4"/>
        <v>-</v>
      </c>
      <c r="P57" s="25">
        <f t="shared" ca="1" si="5"/>
        <v>66768</v>
      </c>
      <c r="R57" s="28" t="str">
        <f ca="1">IF(B57="","",IF($B$4="R&amp;T Level 5 - Clinical Lecturers (Vet School)",SUMIF(Points_Lookup!$M:$M,$B57,Points_Lookup!$N:$N),IF($B$4="R&amp;T Level 6 - Clinical Associate Professors and Clinical Readers (Vet School)",SUMIF(Points_Lookup!$T:$T,$B57,Points_Lookup!$U:$U),"")))</f>
        <v/>
      </c>
      <c r="S57" s="29" t="str">
        <f ca="1">IF(B57="","",IF($B$4="R&amp;T Level 5 - Clinical Lecturers (Vet School)",$C57-SUMIF(Points_Lookup!$M:$M,$B57,Points_Lookup!$O:$O),IF($B$4="R&amp;T Level 6 - Clinical Associate Professors and Clinical Readers (Vet School)",$C57-SUMIF(Points_Lookup!$T:$T,$B57,Points_Lookup!$V:$V),"")))</f>
        <v/>
      </c>
      <c r="T57" s="28" t="str">
        <f ca="1">IF(B57="","",IF($B$4="R&amp;T Level 5 - Clinical Lecturers (Vet School)",SUMIF(Points_Lookup!$M:$M,$B57,Points_Lookup!$Q:$Q),IF($B$4="R&amp;T Level 6 - Clinical Associate Professors and Clinical Readers (Vet School)",SUMIF(Points_Lookup!$T:$T,$B57,Points_Lookup!$X:$X),"")))</f>
        <v/>
      </c>
      <c r="U57" s="29" t="str">
        <f t="shared" ca="1" si="6"/>
        <v/>
      </c>
      <c r="Z57" s="26">
        <v>49</v>
      </c>
    </row>
    <row r="58" spans="2:26" x14ac:dyDescent="0.25">
      <c r="B58" s="4">
        <f ca="1">IFERROR(INDEX(Points_Lookup!$A:$A,MATCH($Z58,Points_Lookup!$AE:$AE,0)),"")</f>
        <v>52</v>
      </c>
      <c r="C58" s="25">
        <f ca="1">IF(B58="","",IF($B$4="Apprenticeship",SUMIF(Points_Lookup!$AA:$AA,B58,Points_Lookup!$AC:$AC),IF(AND(OR($B$4="New Consultant Contract"),$B58&lt;&gt;""),INDEX(Points_Lookup!$K:$K,MATCH($B58,Points_Lookup!$J:$J,0)),IF(AND(OR($B$4="Clinical Lecturer / Medical Research Fellow",$B$4="Clinical Consultant - Old Contract (GP)"),$B58&lt;&gt;""),INDEX(Points_Lookup!$H:$H,MATCH($B58,Points_Lookup!$G:$G,0)),IF(AND(OR($B$4="APM Level 7",$B$4="R&amp;T Level 7",$B$4="APM Level 8"),B58&lt;&gt;""),INDEX(Points_Lookup!$E:$E,MATCH($Z58,Points_Lookup!$AE:$AE,0)),IF($B$4="R&amp;T Level 5 - Clinical Lecturers (Vet School)",SUMIF(Points_Lookup!$M:$M,$B58,Points_Lookup!$P:$P),IF($B$4="R&amp;T Level 6 - Clinical Associate Professors and Clinical Readers (Vet School)",SUMIF(Points_Lookup!$T:$T,$B58,Points_Lookup!$W:$W),IFERROR(INDEX(Points_Lookup!$B:$B,MATCH($Z58,Points_Lookup!$AE:$AE,0)),""))))))))</f>
        <v>61159</v>
      </c>
      <c r="D58" s="36"/>
      <c r="E58" s="25">
        <f ca="1">IF($B58="","",IF(AND($B$4="Salary Points 3 to 57",B58&lt;Thresholds_Rates!$C$16),"-",IF(SUMIF(Grades!$A:$A,$B$4,Grades!$BO:$BO)=0,"-",IF(AND($B$4="Salary Points 3 to 57",B58&gt;=Thresholds_Rates!$C$16),$C58*Thresholds_Rates!$F$15,IF(AND(OR($B$4="New Consultant Contract"),$B58&lt;&gt;""),$C58*Thresholds_Rates!$F$15,IF(AND(OR($B$4="Clinical Lecturer / Medical Research Fellow",$B$4="Clinical Consultant - Old Contract (GP)"),$B58&lt;&gt;""),$C58*Thresholds_Rates!$F$15,IF(OR($B$4="APM Level 7",$B$4="R&amp;T Level 7"),$C58*Thresholds_Rates!$F$15,IF(SUMIF(Grades!$A:$A,$B$4,Grades!$BO:$BO)=1,$C58*Thresholds_Rates!$F$15,""))))))))</f>
        <v>11008.619999999999</v>
      </c>
      <c r="F58" s="25" t="str">
        <f ca="1">IF(B58="","",IF($B$4="Salary Points 3 to 57","-",IF(SUMIF(Grades!$A:$A,$B$4,Grades!$BP:$BP)=0,"-",IF(AND(OR($B$4="New Consultant Contract"),$B58&lt;&gt;""),$C58*Thresholds_Rates!$F$16,IF(AND(OR($B$4="Clinical Lecturer / Medical Research Fellow",$B$4="Clinical Consultant - Old Contract (GP)"),$B58&lt;&gt;""),$C58*Thresholds_Rates!$F$16,IF(AND(OR($B$4="APM Level 7",$B$4="R&amp;T Level 7"),E58&lt;&gt;""),$C58*Thresholds_Rates!$F$16,IF(SUMIF(Grades!$A:$A,$B$4,Grades!$BP:$BP)=1,$C58*Thresholds_Rates!$F$16,"")))))))</f>
        <v>-</v>
      </c>
      <c r="G58" s="25" t="str">
        <f ca="1">IF($B$4="Apprenticeship","-",IF(B58="","",IF(SUMIF(Grades!$A:$A,$B$4,Grades!$BQ:$BQ)=0,"-",IF(AND($B$4="Salary Points 3 to 57",B58&gt;Thresholds_Rates!$C$17),"-",IF(AND($B$4="Salary Points 3 to 57",B58&lt;=Thresholds_Rates!$C$17),$C58*Thresholds_Rates!$F$17,IF(AND(OR($B$4="New Consultant Contract"),$B58&lt;&gt;""),$C58*Thresholds_Rates!$F$17,IF(AND(OR($B$4="Clinical Lecturer / Medical Research Fellow",$B$4="Clinical Consultant - Old Contract (GP)"),$B58&lt;&gt;""),$C58*Thresholds_Rates!$F$17,IF(AND(OR($B$4="APM Level 7",$B$4="R&amp;T Level 7"),F58&lt;&gt;""),$C58*Thresholds_Rates!$F$17,IF(SUMIF(Grades!$A:$A,$B$4,Grades!$BQ:$BQ)=1,$C58*Thresholds_Rates!$F$17,"")))))))))</f>
        <v>-</v>
      </c>
      <c r="H58" s="25">
        <f ca="1">IF($B58="","",ROUND(($C58-(Thresholds_Rates!$C$5*12))*Thresholds_Rates!$C$10,0))</f>
        <v>7314</v>
      </c>
      <c r="I58" s="25">
        <f ca="1">IF(B58="","",(C58*Thresholds_Rates!$C$12))</f>
        <v>305.79500000000002</v>
      </c>
      <c r="J58" s="25" t="str">
        <f ca="1">IF(B58="","",IF(AND($B$4="Salary Points 3 to 57",B58&gt;Thresholds_Rates!$C$17),"-",IF(SUMIF(Grades!$A:$A,$B$4,Grades!$BR:$BR)=0,"-",IF(AND($B$4="Salary Points 3 to 57",B58&lt;=Thresholds_Rates!$C$17),$C58*Thresholds_Rates!$F$18,IF(AND(OR($B$4="New Consultant Contract"),$B58&lt;&gt;""),$C58*Thresholds_Rates!$F$18,IF(AND(OR($B$4="Clinical Lecturer / Medical Research Fellow",$B$4="Clinical Consultant - Old Contract (GP)"),$B58&lt;&gt;""),$C58*Thresholds_Rates!$F$18,IF(AND(OR($B$4="APM Level 7",$B$4="R&amp;T Level 7"),H58&lt;&gt;""),$C58*Thresholds_Rates!$F$18,IF(SUMIF(Grades!$A:$A,$B$4,Grades!$BQ:$BQ)=1,$C58*Thresholds_Rates!$F$18,""))))))))</f>
        <v>-</v>
      </c>
      <c r="K58" s="4"/>
      <c r="L58" s="25">
        <f t="shared" ca="1" si="1"/>
        <v>79787.414999999994</v>
      </c>
      <c r="M58" s="25" t="str">
        <f t="shared" ca="1" si="2"/>
        <v>-</v>
      </c>
      <c r="N58" s="25" t="str">
        <f t="shared" ca="1" si="3"/>
        <v>-</v>
      </c>
      <c r="O58" s="25" t="str">
        <f t="shared" ca="1" si="4"/>
        <v>-</v>
      </c>
      <c r="P58" s="25">
        <f t="shared" ca="1" si="5"/>
        <v>68778.794999999998</v>
      </c>
      <c r="R58" s="28" t="str">
        <f ca="1">IF(B58="","",IF($B$4="R&amp;T Level 5 - Clinical Lecturers (Vet School)",SUMIF(Points_Lookup!$M:$M,$B58,Points_Lookup!$N:$N),IF($B$4="R&amp;T Level 6 - Clinical Associate Professors and Clinical Readers (Vet School)",SUMIF(Points_Lookup!$T:$T,$B58,Points_Lookup!$U:$U),"")))</f>
        <v/>
      </c>
      <c r="S58" s="29" t="str">
        <f ca="1">IF(B58="","",IF($B$4="R&amp;T Level 5 - Clinical Lecturers (Vet School)",$C58-SUMIF(Points_Lookup!$M:$M,$B58,Points_Lookup!$O:$O),IF($B$4="R&amp;T Level 6 - Clinical Associate Professors and Clinical Readers (Vet School)",$C58-SUMIF(Points_Lookup!$T:$T,$B58,Points_Lookup!$V:$V),"")))</f>
        <v/>
      </c>
      <c r="T58" s="28" t="str">
        <f ca="1">IF(B58="","",IF($B$4="R&amp;T Level 5 - Clinical Lecturers (Vet School)",SUMIF(Points_Lookup!$M:$M,$B58,Points_Lookup!$Q:$Q),IF($B$4="R&amp;T Level 6 - Clinical Associate Professors and Clinical Readers (Vet School)",SUMIF(Points_Lookup!$T:$T,$B58,Points_Lookup!$X:$X),"")))</f>
        <v/>
      </c>
      <c r="U58" s="29" t="str">
        <f t="shared" ca="1" si="6"/>
        <v/>
      </c>
      <c r="Z58" s="26">
        <v>50</v>
      </c>
    </row>
    <row r="59" spans="2:26" x14ac:dyDescent="0.25">
      <c r="B59" s="4">
        <f ca="1">IFERROR(INDEX(Points_Lookup!$A:$A,MATCH($Z59,Points_Lookup!$AE:$AE,0)),"")</f>
        <v>53</v>
      </c>
      <c r="C59" s="25">
        <f ca="1">IF(B59="","",IF($B$4="Apprenticeship",SUMIF(Points_Lookup!$AA:$AA,B59,Points_Lookup!$AC:$AC),IF(AND(OR($B$4="New Consultant Contract"),$B59&lt;&gt;""),INDEX(Points_Lookup!$K:$K,MATCH($B59,Points_Lookup!$J:$J,0)),IF(AND(OR($B$4="Clinical Lecturer / Medical Research Fellow",$B$4="Clinical Consultant - Old Contract (GP)"),$B59&lt;&gt;""),INDEX(Points_Lookup!$H:$H,MATCH($B59,Points_Lookup!$G:$G,0)),IF(AND(OR($B$4="APM Level 7",$B$4="R&amp;T Level 7",$B$4="APM Level 8"),B59&lt;&gt;""),INDEX(Points_Lookup!$E:$E,MATCH($Z59,Points_Lookup!$AE:$AE,0)),IF($B$4="R&amp;T Level 5 - Clinical Lecturers (Vet School)",SUMIF(Points_Lookup!$M:$M,$B59,Points_Lookup!$P:$P),IF($B$4="R&amp;T Level 6 - Clinical Associate Professors and Clinical Readers (Vet School)",SUMIF(Points_Lookup!$T:$T,$B59,Points_Lookup!$W:$W),IFERROR(INDEX(Points_Lookup!$B:$B,MATCH($Z59,Points_Lookup!$AE:$AE,0)),""))))))))</f>
        <v>62990</v>
      </c>
      <c r="D59" s="36"/>
      <c r="E59" s="25">
        <f ca="1">IF($B59="","",IF(AND($B$4="Salary Points 3 to 57",B59&lt;Thresholds_Rates!$C$16),"-",IF(SUMIF(Grades!$A:$A,$B$4,Grades!$BO:$BO)=0,"-",IF(AND($B$4="Salary Points 3 to 57",B59&gt;=Thresholds_Rates!$C$16),$C59*Thresholds_Rates!$F$15,IF(AND(OR($B$4="New Consultant Contract"),$B59&lt;&gt;""),$C59*Thresholds_Rates!$F$15,IF(AND(OR($B$4="Clinical Lecturer / Medical Research Fellow",$B$4="Clinical Consultant - Old Contract (GP)"),$B59&lt;&gt;""),$C59*Thresholds_Rates!$F$15,IF(OR($B$4="APM Level 7",$B$4="R&amp;T Level 7"),$C59*Thresholds_Rates!$F$15,IF(SUMIF(Grades!$A:$A,$B$4,Grades!$BO:$BO)=1,$C59*Thresholds_Rates!$F$15,""))))))))</f>
        <v>11338.199999999999</v>
      </c>
      <c r="F59" s="25" t="str">
        <f ca="1">IF(B59="","",IF($B$4="Salary Points 3 to 57","-",IF(SUMIF(Grades!$A:$A,$B$4,Grades!$BP:$BP)=0,"-",IF(AND(OR($B$4="New Consultant Contract"),$B59&lt;&gt;""),$C59*Thresholds_Rates!$F$16,IF(AND(OR($B$4="Clinical Lecturer / Medical Research Fellow",$B$4="Clinical Consultant - Old Contract (GP)"),$B59&lt;&gt;""),$C59*Thresholds_Rates!$F$16,IF(AND(OR($B$4="APM Level 7",$B$4="R&amp;T Level 7"),E59&lt;&gt;""),$C59*Thresholds_Rates!$F$16,IF(SUMIF(Grades!$A:$A,$B$4,Grades!$BP:$BP)=1,$C59*Thresholds_Rates!$F$16,"")))))))</f>
        <v>-</v>
      </c>
      <c r="G59" s="25" t="str">
        <f ca="1">IF($B$4="Apprenticeship","-",IF(B59="","",IF(SUMIF(Grades!$A:$A,$B$4,Grades!$BQ:$BQ)=0,"-",IF(AND($B$4="Salary Points 3 to 57",B59&gt;Thresholds_Rates!$C$17),"-",IF(AND($B$4="Salary Points 3 to 57",B59&lt;=Thresholds_Rates!$C$17),$C59*Thresholds_Rates!$F$17,IF(AND(OR($B$4="New Consultant Contract"),$B59&lt;&gt;""),$C59*Thresholds_Rates!$F$17,IF(AND(OR($B$4="Clinical Lecturer / Medical Research Fellow",$B$4="Clinical Consultant - Old Contract (GP)"),$B59&lt;&gt;""),$C59*Thresholds_Rates!$F$17,IF(AND(OR($B$4="APM Level 7",$B$4="R&amp;T Level 7"),F59&lt;&gt;""),$C59*Thresholds_Rates!$F$17,IF(SUMIF(Grades!$A:$A,$B$4,Grades!$BQ:$BQ)=1,$C59*Thresholds_Rates!$F$17,"")))))))))</f>
        <v>-</v>
      </c>
      <c r="H59" s="25">
        <f ca="1">IF($B59="","",ROUND(($C59-(Thresholds_Rates!$C$5*12))*Thresholds_Rates!$C$10,0))</f>
        <v>7567</v>
      </c>
      <c r="I59" s="25">
        <f ca="1">IF(B59="","",(C59*Thresholds_Rates!$C$12))</f>
        <v>314.95</v>
      </c>
      <c r="J59" s="25" t="str">
        <f ca="1">IF(B59="","",IF(AND($B$4="Salary Points 3 to 57",B59&gt;Thresholds_Rates!$C$17),"-",IF(SUMIF(Grades!$A:$A,$B$4,Grades!$BR:$BR)=0,"-",IF(AND($B$4="Salary Points 3 to 57",B59&lt;=Thresholds_Rates!$C$17),$C59*Thresholds_Rates!$F$18,IF(AND(OR($B$4="New Consultant Contract"),$B59&lt;&gt;""),$C59*Thresholds_Rates!$F$18,IF(AND(OR($B$4="Clinical Lecturer / Medical Research Fellow",$B$4="Clinical Consultant - Old Contract (GP)"),$B59&lt;&gt;""),$C59*Thresholds_Rates!$F$18,IF(AND(OR($B$4="APM Level 7",$B$4="R&amp;T Level 7"),H59&lt;&gt;""),$C59*Thresholds_Rates!$F$18,IF(SUMIF(Grades!$A:$A,$B$4,Grades!$BQ:$BQ)=1,$C59*Thresholds_Rates!$F$18,""))))))))</f>
        <v>-</v>
      </c>
      <c r="K59" s="4"/>
      <c r="L59" s="25">
        <f t="shared" ca="1" si="1"/>
        <v>82210.149999999994</v>
      </c>
      <c r="M59" s="25" t="str">
        <f t="shared" ca="1" si="2"/>
        <v>-</v>
      </c>
      <c r="N59" s="25" t="str">
        <f t="shared" ca="1" si="3"/>
        <v>-</v>
      </c>
      <c r="O59" s="25" t="str">
        <f t="shared" ca="1" si="4"/>
        <v>-</v>
      </c>
      <c r="P59" s="25">
        <f t="shared" ca="1" si="5"/>
        <v>70871.95</v>
      </c>
      <c r="R59" s="28" t="str">
        <f ca="1">IF(B59="","",IF($B$4="R&amp;T Level 5 - Clinical Lecturers (Vet School)",SUMIF(Points_Lookup!$M:$M,$B59,Points_Lookup!$N:$N),IF($B$4="R&amp;T Level 6 - Clinical Associate Professors and Clinical Readers (Vet School)",SUMIF(Points_Lookup!$T:$T,$B59,Points_Lookup!$U:$U),"")))</f>
        <v/>
      </c>
      <c r="S59" s="29" t="str">
        <f ca="1">IF(B59="","",IF($B$4="R&amp;T Level 5 - Clinical Lecturers (Vet School)",$C59-SUMIF(Points_Lookup!$M:$M,$B59,Points_Lookup!$O:$O),IF($B$4="R&amp;T Level 6 - Clinical Associate Professors and Clinical Readers (Vet School)",$C59-SUMIF(Points_Lookup!$T:$T,$B59,Points_Lookup!$V:$V),"")))</f>
        <v/>
      </c>
      <c r="T59" s="28" t="str">
        <f ca="1">IF(B59="","",IF($B$4="R&amp;T Level 5 - Clinical Lecturers (Vet School)",SUMIF(Points_Lookup!$M:$M,$B59,Points_Lookup!$Q:$Q),IF($B$4="R&amp;T Level 6 - Clinical Associate Professors and Clinical Readers (Vet School)",SUMIF(Points_Lookup!$T:$T,$B59,Points_Lookup!$X:$X),"")))</f>
        <v/>
      </c>
      <c r="U59" s="29" t="str">
        <f t="shared" ca="1" si="6"/>
        <v/>
      </c>
      <c r="Z59" s="26">
        <v>51</v>
      </c>
    </row>
    <row r="60" spans="2:26" x14ac:dyDescent="0.25">
      <c r="B60" s="4">
        <f ca="1">IFERROR(INDEX(Points_Lookup!$A:$A,MATCH($Z60,Points_Lookup!$AE:$AE,0)),"")</f>
        <v>54</v>
      </c>
      <c r="C60" s="25">
        <f ca="1">IF(B60="","",IF($B$4="Apprenticeship",SUMIF(Points_Lookup!$AA:$AA,B60,Points_Lookup!$AC:$AC),IF(AND(OR($B$4="New Consultant Contract"),$B60&lt;&gt;""),INDEX(Points_Lookup!$K:$K,MATCH($B60,Points_Lookup!$J:$J,0)),IF(AND(OR($B$4="Clinical Lecturer / Medical Research Fellow",$B$4="Clinical Consultant - Old Contract (GP)"),$B60&lt;&gt;""),INDEX(Points_Lookup!$H:$H,MATCH($B60,Points_Lookup!$G:$G,0)),IF(AND(OR($B$4="APM Level 7",$B$4="R&amp;T Level 7",$B$4="APM Level 8"),B60&lt;&gt;""),INDEX(Points_Lookup!$E:$E,MATCH($Z60,Points_Lookup!$AE:$AE,0)),IF($B$4="R&amp;T Level 5 - Clinical Lecturers (Vet School)",SUMIF(Points_Lookup!$M:$M,$B60,Points_Lookup!$P:$P),IF($B$4="R&amp;T Level 6 - Clinical Associate Professors and Clinical Readers (Vet School)",SUMIF(Points_Lookup!$T:$T,$B60,Points_Lookup!$W:$W),IFERROR(INDEX(Points_Lookup!$B:$B,MATCH($Z60,Points_Lookup!$AE:$AE,0)),""))))))))</f>
        <v>64877</v>
      </c>
      <c r="D60" s="36"/>
      <c r="E60" s="25">
        <f ca="1">IF($B60="","",IF(AND($B$4="Salary Points 3 to 57",B60&lt;Thresholds_Rates!$C$16),"-",IF(SUMIF(Grades!$A:$A,$B$4,Grades!$BO:$BO)=0,"-",IF(AND($B$4="Salary Points 3 to 57",B60&gt;=Thresholds_Rates!$C$16),$C60*Thresholds_Rates!$F$15,IF(AND(OR($B$4="New Consultant Contract"),$B60&lt;&gt;""),$C60*Thresholds_Rates!$F$15,IF(AND(OR($B$4="Clinical Lecturer / Medical Research Fellow",$B$4="Clinical Consultant - Old Contract (GP)"),$B60&lt;&gt;""),$C60*Thresholds_Rates!$F$15,IF(OR($B$4="APM Level 7",$B$4="R&amp;T Level 7"),$C60*Thresholds_Rates!$F$15,IF(SUMIF(Grades!$A:$A,$B$4,Grades!$BO:$BO)=1,$C60*Thresholds_Rates!$F$15,""))))))))</f>
        <v>11677.859999999999</v>
      </c>
      <c r="F60" s="25" t="str">
        <f ca="1">IF(B60="","",IF($B$4="Salary Points 3 to 57","-",IF(SUMIF(Grades!$A:$A,$B$4,Grades!$BP:$BP)=0,"-",IF(AND(OR($B$4="New Consultant Contract"),$B60&lt;&gt;""),$C60*Thresholds_Rates!$F$16,IF(AND(OR($B$4="Clinical Lecturer / Medical Research Fellow",$B$4="Clinical Consultant - Old Contract (GP)"),$B60&lt;&gt;""),$C60*Thresholds_Rates!$F$16,IF(AND(OR($B$4="APM Level 7",$B$4="R&amp;T Level 7"),E60&lt;&gt;""),$C60*Thresholds_Rates!$F$16,IF(SUMIF(Grades!$A:$A,$B$4,Grades!$BP:$BP)=1,$C60*Thresholds_Rates!$F$16,"")))))))</f>
        <v>-</v>
      </c>
      <c r="G60" s="25" t="str">
        <f ca="1">IF($B$4="Apprenticeship","-",IF(B60="","",IF(SUMIF(Grades!$A:$A,$B$4,Grades!$BQ:$BQ)=0,"-",IF(AND($B$4="Salary Points 3 to 57",B60&gt;Thresholds_Rates!$C$17),"-",IF(AND($B$4="Salary Points 3 to 57",B60&lt;=Thresholds_Rates!$C$17),$C60*Thresholds_Rates!$F$17,IF(AND(OR($B$4="New Consultant Contract"),$B60&lt;&gt;""),$C60*Thresholds_Rates!$F$17,IF(AND(OR($B$4="Clinical Lecturer / Medical Research Fellow",$B$4="Clinical Consultant - Old Contract (GP)"),$B60&lt;&gt;""),$C60*Thresholds_Rates!$F$17,IF(AND(OR($B$4="APM Level 7",$B$4="R&amp;T Level 7"),F60&lt;&gt;""),$C60*Thresholds_Rates!$F$17,IF(SUMIF(Grades!$A:$A,$B$4,Grades!$BQ:$BQ)=1,$C60*Thresholds_Rates!$F$17,"")))))))))</f>
        <v>-</v>
      </c>
      <c r="H60" s="25">
        <f ca="1">IF($B60="","",ROUND(($C60-(Thresholds_Rates!$C$5*12))*Thresholds_Rates!$C$10,0))</f>
        <v>7827</v>
      </c>
      <c r="I60" s="25">
        <f ca="1">IF(B60="","",(C60*Thresholds_Rates!$C$12))</f>
        <v>324.38499999999999</v>
      </c>
      <c r="J60" s="25" t="str">
        <f ca="1">IF(B60="","",IF(AND($B$4="Salary Points 3 to 57",B60&gt;Thresholds_Rates!$C$17),"-",IF(SUMIF(Grades!$A:$A,$B$4,Grades!$BR:$BR)=0,"-",IF(AND($B$4="Salary Points 3 to 57",B60&lt;=Thresholds_Rates!$C$17),$C60*Thresholds_Rates!$F$18,IF(AND(OR($B$4="New Consultant Contract"),$B60&lt;&gt;""),$C60*Thresholds_Rates!$F$18,IF(AND(OR($B$4="Clinical Lecturer / Medical Research Fellow",$B$4="Clinical Consultant - Old Contract (GP)"),$B60&lt;&gt;""),$C60*Thresholds_Rates!$F$18,IF(AND(OR($B$4="APM Level 7",$B$4="R&amp;T Level 7"),H60&lt;&gt;""),$C60*Thresholds_Rates!$F$18,IF(SUMIF(Grades!$A:$A,$B$4,Grades!$BQ:$BQ)=1,$C60*Thresholds_Rates!$F$18,""))))))))</f>
        <v>-</v>
      </c>
      <c r="K60" s="4"/>
      <c r="L60" s="25">
        <f t="shared" ca="1" si="1"/>
        <v>84706.244999999995</v>
      </c>
      <c r="M60" s="25" t="str">
        <f t="shared" ca="1" si="2"/>
        <v>-</v>
      </c>
      <c r="N60" s="25" t="str">
        <f t="shared" ca="1" si="3"/>
        <v>-</v>
      </c>
      <c r="O60" s="25" t="str">
        <f t="shared" ca="1" si="4"/>
        <v>-</v>
      </c>
      <c r="P60" s="25">
        <f t="shared" ca="1" si="5"/>
        <v>73028.384999999995</v>
      </c>
      <c r="R60" s="28" t="str">
        <f ca="1">IF(B60="","",IF($B$4="R&amp;T Level 5 - Clinical Lecturers (Vet School)",SUMIF(Points_Lookup!$M:$M,$B60,Points_Lookup!$N:$N),IF($B$4="R&amp;T Level 6 - Clinical Associate Professors and Clinical Readers (Vet School)",SUMIF(Points_Lookup!$T:$T,$B60,Points_Lookup!$U:$U),"")))</f>
        <v/>
      </c>
      <c r="S60" s="29" t="str">
        <f ca="1">IF(B60="","",IF($B$4="R&amp;T Level 5 - Clinical Lecturers (Vet School)",$C60-SUMIF(Points_Lookup!$M:$M,$B60,Points_Lookup!$O:$O),IF($B$4="R&amp;T Level 6 - Clinical Associate Professors and Clinical Readers (Vet School)",$C60-SUMIF(Points_Lookup!$T:$T,$B60,Points_Lookup!$V:$V),"")))</f>
        <v/>
      </c>
      <c r="T60" s="28" t="str">
        <f ca="1">IF(B60="","",IF($B$4="R&amp;T Level 5 - Clinical Lecturers (Vet School)",SUMIF(Points_Lookup!$M:$M,$B60,Points_Lookup!$Q:$Q),IF($B$4="R&amp;T Level 6 - Clinical Associate Professors and Clinical Readers (Vet School)",SUMIF(Points_Lookup!$T:$T,$B60,Points_Lookup!$X:$X),"")))</f>
        <v/>
      </c>
      <c r="U60" s="29" t="str">
        <f t="shared" ca="1" si="6"/>
        <v/>
      </c>
      <c r="Z60" s="26">
        <v>52</v>
      </c>
    </row>
    <row r="61" spans="2:26" x14ac:dyDescent="0.25">
      <c r="B61" s="4">
        <f ca="1">IFERROR(INDEX(Points_Lookup!$A:$A,MATCH($Z61,Points_Lookup!$AE:$AE,0)),"")</f>
        <v>55</v>
      </c>
      <c r="C61" s="25">
        <f ca="1">IF(B61="","",IF($B$4="Apprenticeship",SUMIF(Points_Lookup!$AA:$AA,B61,Points_Lookup!$AC:$AC),IF(AND(OR($B$4="New Consultant Contract"),$B61&lt;&gt;""),INDEX(Points_Lookup!$K:$K,MATCH($B61,Points_Lookup!$J:$J,0)),IF(AND(OR($B$4="Clinical Lecturer / Medical Research Fellow",$B$4="Clinical Consultant - Old Contract (GP)"),$B61&lt;&gt;""),INDEX(Points_Lookup!$H:$H,MATCH($B61,Points_Lookup!$G:$G,0)),IF(AND(OR($B$4="APM Level 7",$B$4="R&amp;T Level 7",$B$4="APM Level 8"),B61&lt;&gt;""),INDEX(Points_Lookup!$E:$E,MATCH($Z61,Points_Lookup!$AE:$AE,0)),IF($B$4="R&amp;T Level 5 - Clinical Lecturers (Vet School)",SUMIF(Points_Lookup!$M:$M,$B61,Points_Lookup!$P:$P),IF($B$4="R&amp;T Level 6 - Clinical Associate Professors and Clinical Readers (Vet School)",SUMIF(Points_Lookup!$T:$T,$B61,Points_Lookup!$W:$W),IFERROR(INDEX(Points_Lookup!$B:$B,MATCH($Z61,Points_Lookup!$AE:$AE,0)),""))))))))</f>
        <v>66818</v>
      </c>
      <c r="D61" s="36"/>
      <c r="E61" s="25">
        <f ca="1">IF($B61="","",IF(AND($B$4="Salary Points 3 to 57",B61&lt;Thresholds_Rates!$C$16),"-",IF(SUMIF(Grades!$A:$A,$B$4,Grades!$BO:$BO)=0,"-",IF(AND($B$4="Salary Points 3 to 57",B61&gt;=Thresholds_Rates!$C$16),$C61*Thresholds_Rates!$F$15,IF(AND(OR($B$4="New Consultant Contract"),$B61&lt;&gt;""),$C61*Thresholds_Rates!$F$15,IF(AND(OR($B$4="Clinical Lecturer / Medical Research Fellow",$B$4="Clinical Consultant - Old Contract (GP)"),$B61&lt;&gt;""),$C61*Thresholds_Rates!$F$15,IF(OR($B$4="APM Level 7",$B$4="R&amp;T Level 7"),$C61*Thresholds_Rates!$F$15,IF(SUMIF(Grades!$A:$A,$B$4,Grades!$BO:$BO)=1,$C61*Thresholds_Rates!$F$15,""))))))))</f>
        <v>12027.24</v>
      </c>
      <c r="F61" s="25" t="str">
        <f ca="1">IF(B61="","",IF($B$4="Salary Points 3 to 57","-",IF(SUMIF(Grades!$A:$A,$B$4,Grades!$BP:$BP)=0,"-",IF(AND(OR($B$4="New Consultant Contract"),$B61&lt;&gt;""),$C61*Thresholds_Rates!$F$16,IF(AND(OR($B$4="Clinical Lecturer / Medical Research Fellow",$B$4="Clinical Consultant - Old Contract (GP)"),$B61&lt;&gt;""),$C61*Thresholds_Rates!$F$16,IF(AND(OR($B$4="APM Level 7",$B$4="R&amp;T Level 7"),E61&lt;&gt;""),$C61*Thresholds_Rates!$F$16,IF(SUMIF(Grades!$A:$A,$B$4,Grades!$BP:$BP)=1,$C61*Thresholds_Rates!$F$16,"")))))))</f>
        <v>-</v>
      </c>
      <c r="G61" s="25" t="str">
        <f ca="1">IF($B$4="Apprenticeship","-",IF(B61="","",IF(SUMIF(Grades!$A:$A,$B$4,Grades!$BQ:$BQ)=0,"-",IF(AND($B$4="Salary Points 3 to 57",B61&gt;Thresholds_Rates!$C$17),"-",IF(AND($B$4="Salary Points 3 to 57",B61&lt;=Thresholds_Rates!$C$17),$C61*Thresholds_Rates!$F$17,IF(AND(OR($B$4="New Consultant Contract"),$B61&lt;&gt;""),$C61*Thresholds_Rates!$F$17,IF(AND(OR($B$4="Clinical Lecturer / Medical Research Fellow",$B$4="Clinical Consultant - Old Contract (GP)"),$B61&lt;&gt;""),$C61*Thresholds_Rates!$F$17,IF(AND(OR($B$4="APM Level 7",$B$4="R&amp;T Level 7"),F61&lt;&gt;""),$C61*Thresholds_Rates!$F$17,IF(SUMIF(Grades!$A:$A,$B$4,Grades!$BQ:$BQ)=1,$C61*Thresholds_Rates!$F$17,"")))))))))</f>
        <v>-</v>
      </c>
      <c r="H61" s="25">
        <f ca="1">IF($B61="","",ROUND(($C61-(Thresholds_Rates!$C$5*12))*Thresholds_Rates!$C$10,0))</f>
        <v>8095</v>
      </c>
      <c r="I61" s="25">
        <f ca="1">IF(B61="","",(C61*Thresholds_Rates!$C$12))</f>
        <v>334.09000000000003</v>
      </c>
      <c r="J61" s="25" t="str">
        <f ca="1">IF(B61="","",IF(AND($B$4="Salary Points 3 to 57",B61&gt;Thresholds_Rates!$C$17),"-",IF(SUMIF(Grades!$A:$A,$B$4,Grades!$BR:$BR)=0,"-",IF(AND($B$4="Salary Points 3 to 57",B61&lt;=Thresholds_Rates!$C$17),$C61*Thresholds_Rates!$F$18,IF(AND(OR($B$4="New Consultant Contract"),$B61&lt;&gt;""),$C61*Thresholds_Rates!$F$18,IF(AND(OR($B$4="Clinical Lecturer / Medical Research Fellow",$B$4="Clinical Consultant - Old Contract (GP)"),$B61&lt;&gt;""),$C61*Thresholds_Rates!$F$18,IF(AND(OR($B$4="APM Level 7",$B$4="R&amp;T Level 7"),H61&lt;&gt;""),$C61*Thresholds_Rates!$F$18,IF(SUMIF(Grades!$A:$A,$B$4,Grades!$BQ:$BQ)=1,$C61*Thresholds_Rates!$F$18,""))))))))</f>
        <v>-</v>
      </c>
      <c r="K61" s="4"/>
      <c r="L61" s="25">
        <f t="shared" ca="1" si="1"/>
        <v>87274.33</v>
      </c>
      <c r="M61" s="25" t="str">
        <f t="shared" ca="1" si="2"/>
        <v>-</v>
      </c>
      <c r="N61" s="25" t="str">
        <f t="shared" ca="1" si="3"/>
        <v>-</v>
      </c>
      <c r="O61" s="25" t="str">
        <f t="shared" ca="1" si="4"/>
        <v>-</v>
      </c>
      <c r="P61" s="25">
        <f t="shared" ca="1" si="5"/>
        <v>75247.09</v>
      </c>
      <c r="R61" s="28" t="str">
        <f ca="1">IF(B61="","",IF($B$4="R&amp;T Level 5 - Clinical Lecturers (Vet School)",SUMIF(Points_Lookup!$M:$M,$B61,Points_Lookup!$N:$N),IF($B$4="R&amp;T Level 6 - Clinical Associate Professors and Clinical Readers (Vet School)",SUMIF(Points_Lookup!$T:$T,$B61,Points_Lookup!$U:$U),"")))</f>
        <v/>
      </c>
      <c r="S61" s="29" t="str">
        <f ca="1">IF(B61="","",IF($B$4="R&amp;T Level 5 - Clinical Lecturers (Vet School)",$C61-SUMIF(Points_Lookup!$M:$M,$B61,Points_Lookup!$O:$O),IF($B$4="R&amp;T Level 6 - Clinical Associate Professors and Clinical Readers (Vet School)",$C61-SUMIF(Points_Lookup!$T:$T,$B61,Points_Lookup!$V:$V),"")))</f>
        <v/>
      </c>
      <c r="T61" s="28" t="str">
        <f ca="1">IF(B61="","",IF($B$4="R&amp;T Level 5 - Clinical Lecturers (Vet School)",SUMIF(Points_Lookup!$M:$M,$B61,Points_Lookup!$Q:$Q),IF($B$4="R&amp;T Level 6 - Clinical Associate Professors and Clinical Readers (Vet School)",SUMIF(Points_Lookup!$T:$T,$B61,Points_Lookup!$X:$X),"")))</f>
        <v/>
      </c>
      <c r="U61" s="29" t="str">
        <f t="shared" ca="1" si="6"/>
        <v/>
      </c>
      <c r="Z61" s="26">
        <v>53</v>
      </c>
    </row>
    <row r="62" spans="2:26" x14ac:dyDescent="0.25">
      <c r="B62" s="4">
        <f ca="1">IFERROR(INDEX(Points_Lookup!$A:$A,MATCH($Z62,Points_Lookup!$AE:$AE,0)),"")</f>
        <v>56</v>
      </c>
      <c r="C62" s="25">
        <f ca="1">IF(B62="","",IF($B$4="Apprenticeship",SUMIF(Points_Lookup!$AA:$AA,B62,Points_Lookup!$AC:$AC),IF(AND(OR($B$4="New Consultant Contract"),$B62&lt;&gt;""),INDEX(Points_Lookup!$K:$K,MATCH($B62,Points_Lookup!$J:$J,0)),IF(AND(OR($B$4="Clinical Lecturer / Medical Research Fellow",$B$4="Clinical Consultant - Old Contract (GP)"),$B62&lt;&gt;""),INDEX(Points_Lookup!$H:$H,MATCH($B62,Points_Lookup!$G:$G,0)),IF(AND(OR($B$4="APM Level 7",$B$4="R&amp;T Level 7",$B$4="APM Level 8"),B62&lt;&gt;""),INDEX(Points_Lookup!$E:$E,MATCH($Z62,Points_Lookup!$AE:$AE,0)),IF($B$4="R&amp;T Level 5 - Clinical Lecturers (Vet School)",SUMIF(Points_Lookup!$M:$M,$B62,Points_Lookup!$P:$P),IF($B$4="R&amp;T Level 6 - Clinical Associate Professors and Clinical Readers (Vet School)",SUMIF(Points_Lookup!$T:$T,$B62,Points_Lookup!$W:$W),IFERROR(INDEX(Points_Lookup!$B:$B,MATCH($Z62,Points_Lookup!$AE:$AE,0)),""))))))))</f>
        <v>68817</v>
      </c>
      <c r="D62" s="36"/>
      <c r="E62" s="25">
        <f ca="1">IF($B62="","",IF(AND($B$4="Salary Points 3 to 57",B62&lt;Thresholds_Rates!$C$16),"-",IF(SUMIF(Grades!$A:$A,$B$4,Grades!$BO:$BO)=0,"-",IF(AND($B$4="Salary Points 3 to 57",B62&gt;=Thresholds_Rates!$C$16),$C62*Thresholds_Rates!$F$15,IF(AND(OR($B$4="New Consultant Contract"),$B62&lt;&gt;""),$C62*Thresholds_Rates!$F$15,IF(AND(OR($B$4="Clinical Lecturer / Medical Research Fellow",$B$4="Clinical Consultant - Old Contract (GP)"),$B62&lt;&gt;""),$C62*Thresholds_Rates!$F$15,IF(OR($B$4="APM Level 7",$B$4="R&amp;T Level 7"),$C62*Thresholds_Rates!$F$15,IF(SUMIF(Grades!$A:$A,$B$4,Grades!$BO:$BO)=1,$C62*Thresholds_Rates!$F$15,""))))))))</f>
        <v>12387.06</v>
      </c>
      <c r="F62" s="25" t="str">
        <f ca="1">IF(B62="","",IF($B$4="Salary Points 3 to 57","-",IF(SUMIF(Grades!$A:$A,$B$4,Grades!$BP:$BP)=0,"-",IF(AND(OR($B$4="New Consultant Contract"),$B62&lt;&gt;""),$C62*Thresholds_Rates!$F$16,IF(AND(OR($B$4="Clinical Lecturer / Medical Research Fellow",$B$4="Clinical Consultant - Old Contract (GP)"),$B62&lt;&gt;""),$C62*Thresholds_Rates!$F$16,IF(AND(OR($B$4="APM Level 7",$B$4="R&amp;T Level 7"),E62&lt;&gt;""),$C62*Thresholds_Rates!$F$16,IF(SUMIF(Grades!$A:$A,$B$4,Grades!$BP:$BP)=1,$C62*Thresholds_Rates!$F$16,"")))))))</f>
        <v>-</v>
      </c>
      <c r="G62" s="25" t="str">
        <f ca="1">IF($B$4="Apprenticeship","-",IF(B62="","",IF(SUMIF(Grades!$A:$A,$B$4,Grades!$BQ:$BQ)=0,"-",IF(AND($B$4="Salary Points 3 to 57",B62&gt;Thresholds_Rates!$C$17),"-",IF(AND($B$4="Salary Points 3 to 57",B62&lt;=Thresholds_Rates!$C$17),$C62*Thresholds_Rates!$F$17,IF(AND(OR($B$4="New Consultant Contract"),$B62&lt;&gt;""),$C62*Thresholds_Rates!$F$17,IF(AND(OR($B$4="Clinical Lecturer / Medical Research Fellow",$B$4="Clinical Consultant - Old Contract (GP)"),$B62&lt;&gt;""),$C62*Thresholds_Rates!$F$17,IF(AND(OR($B$4="APM Level 7",$B$4="R&amp;T Level 7"),F62&lt;&gt;""),$C62*Thresholds_Rates!$F$17,IF(SUMIF(Grades!$A:$A,$B$4,Grades!$BQ:$BQ)=1,$C62*Thresholds_Rates!$F$17,"")))))))))</f>
        <v>-</v>
      </c>
      <c r="H62" s="25">
        <f ca="1">IF($B62="","",ROUND(($C62-(Thresholds_Rates!$C$5*12))*Thresholds_Rates!$C$10,0))</f>
        <v>8371</v>
      </c>
      <c r="I62" s="25">
        <f ca="1">IF(B62="","",(C62*Thresholds_Rates!$C$12))</f>
        <v>344.08499999999998</v>
      </c>
      <c r="J62" s="25" t="str">
        <f ca="1">IF(B62="","",IF(AND($B$4="Salary Points 3 to 57",B62&gt;Thresholds_Rates!$C$17),"-",IF(SUMIF(Grades!$A:$A,$B$4,Grades!$BR:$BR)=0,"-",IF(AND($B$4="Salary Points 3 to 57",B62&lt;=Thresholds_Rates!$C$17),$C62*Thresholds_Rates!$F$18,IF(AND(OR($B$4="New Consultant Contract"),$B62&lt;&gt;""),$C62*Thresholds_Rates!$F$18,IF(AND(OR($B$4="Clinical Lecturer / Medical Research Fellow",$B$4="Clinical Consultant - Old Contract (GP)"),$B62&lt;&gt;""),$C62*Thresholds_Rates!$F$18,IF(AND(OR($B$4="APM Level 7",$B$4="R&amp;T Level 7"),H62&lt;&gt;""),$C62*Thresholds_Rates!$F$18,IF(SUMIF(Grades!$A:$A,$B$4,Grades!$BQ:$BQ)=1,$C62*Thresholds_Rates!$F$18,""))))))))</f>
        <v>-</v>
      </c>
      <c r="K62" s="4"/>
      <c r="L62" s="25">
        <f t="shared" ca="1" si="1"/>
        <v>89919.145000000004</v>
      </c>
      <c r="M62" s="25" t="str">
        <f t="shared" ca="1" si="2"/>
        <v>-</v>
      </c>
      <c r="N62" s="25" t="str">
        <f t="shared" ca="1" si="3"/>
        <v>-</v>
      </c>
      <c r="O62" s="25" t="str">
        <f t="shared" ca="1" si="4"/>
        <v>-</v>
      </c>
      <c r="P62" s="25">
        <f t="shared" ca="1" si="5"/>
        <v>77532.085000000006</v>
      </c>
      <c r="R62" s="28" t="str">
        <f ca="1">IF(B62="","",IF($B$4="R&amp;T Level 5 - Clinical Lecturers (Vet School)",SUMIF(Points_Lookup!$M:$M,$B62,Points_Lookup!$N:$N),IF($B$4="R&amp;T Level 6 - Clinical Associate Professors and Clinical Readers (Vet School)",SUMIF(Points_Lookup!$T:$T,$B62,Points_Lookup!$U:$U),"")))</f>
        <v/>
      </c>
      <c r="S62" s="29" t="str">
        <f ca="1">IF(B62="","",IF($B$4="R&amp;T Level 5 - Clinical Lecturers (Vet School)",$C62-SUMIF(Points_Lookup!$M:$M,$B62,Points_Lookup!$O:$O),IF($B$4="R&amp;T Level 6 - Clinical Associate Professors and Clinical Readers (Vet School)",$C62-SUMIF(Points_Lookup!$T:$T,$B62,Points_Lookup!$V:$V),"")))</f>
        <v/>
      </c>
      <c r="T62" s="28" t="str">
        <f ca="1">IF(B62="","",IF($B$4="R&amp;T Level 5 - Clinical Lecturers (Vet School)",SUMIF(Points_Lookup!$M:$M,$B62,Points_Lookup!$Q:$Q),IF($B$4="R&amp;T Level 6 - Clinical Associate Professors and Clinical Readers (Vet School)",SUMIF(Points_Lookup!$T:$T,$B62,Points_Lookup!$X:$X),"")))</f>
        <v/>
      </c>
      <c r="U62" s="29" t="str">
        <f t="shared" ca="1" si="6"/>
        <v/>
      </c>
      <c r="Z62" s="26">
        <v>54</v>
      </c>
    </row>
    <row r="63" spans="2:26" x14ac:dyDescent="0.25">
      <c r="B63" s="4">
        <f ca="1">IFERROR(INDEX(Points_Lookup!$A:$A,MATCH($Z63,Points_Lookup!$AE:$AE,0)),"")</f>
        <v>57</v>
      </c>
      <c r="C63" s="25">
        <f ca="1">IF(B63="","",IF($B$4="Apprenticeship",SUMIF(Points_Lookup!$AA:$AA,B63,Points_Lookup!$AC:$AC),IF(AND(OR($B$4="New Consultant Contract"),$B63&lt;&gt;""),INDEX(Points_Lookup!$K:$K,MATCH($B63,Points_Lookup!$J:$J,0)),IF(AND(OR($B$4="Clinical Lecturer / Medical Research Fellow",$B$4="Clinical Consultant - Old Contract (GP)"),$B63&lt;&gt;""),INDEX(Points_Lookup!$H:$H,MATCH($B63,Points_Lookup!$G:$G,0)),IF(AND(OR($B$4="APM Level 7",$B$4="R&amp;T Level 7",$B$4="APM Level 8"),B63&lt;&gt;""),INDEX(Points_Lookup!$E:$E,MATCH($Z63,Points_Lookup!$AE:$AE,0)),IF($B$4="R&amp;T Level 5 - Clinical Lecturers (Vet School)",SUMIF(Points_Lookup!$M:$M,$B63,Points_Lookup!$P:$P),IF($B$4="R&amp;T Level 6 - Clinical Associate Professors and Clinical Readers (Vet School)",SUMIF(Points_Lookup!$T:$T,$B63,Points_Lookup!$W:$W),IFERROR(INDEX(Points_Lookup!$B:$B,MATCH($Z63,Points_Lookup!$AE:$AE,0)),""))))))))</f>
        <v>70877</v>
      </c>
      <c r="D63" s="36"/>
      <c r="E63" s="25">
        <f ca="1">IF($B63="","",IF(AND($B$4="Salary Points 3 to 57",B63&lt;Thresholds_Rates!$C$16),"-",IF(SUMIF(Grades!$A:$A,$B$4,Grades!$BO:$BO)=0,"-",IF(AND($B$4="Salary Points 3 to 57",B63&gt;=Thresholds_Rates!$C$16),$C63*Thresholds_Rates!$F$15,IF(AND(OR($B$4="New Consultant Contract"),$B63&lt;&gt;""),$C63*Thresholds_Rates!$F$15,IF(AND(OR($B$4="Clinical Lecturer / Medical Research Fellow",$B$4="Clinical Consultant - Old Contract (GP)"),$B63&lt;&gt;""),$C63*Thresholds_Rates!$F$15,IF(OR($B$4="APM Level 7",$B$4="R&amp;T Level 7"),$C63*Thresholds_Rates!$F$15,IF(SUMIF(Grades!$A:$A,$B$4,Grades!$BO:$BO)=1,$C63*Thresholds_Rates!$F$15,""))))))))</f>
        <v>12757.859999999999</v>
      </c>
      <c r="F63" s="25" t="str">
        <f ca="1">IF(B63="","",IF($B$4="Salary Points 3 to 57","-",IF(SUMIF(Grades!$A:$A,$B$4,Grades!$BP:$BP)=0,"-",IF(AND(OR($B$4="New Consultant Contract"),$B63&lt;&gt;""),$C63*Thresholds_Rates!$F$16,IF(AND(OR($B$4="Clinical Lecturer / Medical Research Fellow",$B$4="Clinical Consultant - Old Contract (GP)"),$B63&lt;&gt;""),$C63*Thresholds_Rates!$F$16,IF(AND(OR($B$4="APM Level 7",$B$4="R&amp;T Level 7"),E63&lt;&gt;""),$C63*Thresholds_Rates!$F$16,IF(SUMIF(Grades!$A:$A,$B$4,Grades!$BP:$BP)=1,$C63*Thresholds_Rates!$F$16,"")))))))</f>
        <v>-</v>
      </c>
      <c r="G63" s="25" t="str">
        <f ca="1">IF($B$4="Apprenticeship","-",IF(B63="","",IF(SUMIF(Grades!$A:$A,$B$4,Grades!$BQ:$BQ)=0,"-",IF(AND($B$4="Salary Points 3 to 57",B63&gt;Thresholds_Rates!$C$17),"-",IF(AND($B$4="Salary Points 3 to 57",B63&lt;=Thresholds_Rates!$C$17),$C63*Thresholds_Rates!$F$17,IF(AND(OR($B$4="New Consultant Contract"),$B63&lt;&gt;""),$C63*Thresholds_Rates!$F$17,IF(AND(OR($B$4="Clinical Lecturer / Medical Research Fellow",$B$4="Clinical Consultant - Old Contract (GP)"),$B63&lt;&gt;""),$C63*Thresholds_Rates!$F$17,IF(AND(OR($B$4="APM Level 7",$B$4="R&amp;T Level 7"),F63&lt;&gt;""),$C63*Thresholds_Rates!$F$17,IF(SUMIF(Grades!$A:$A,$B$4,Grades!$BQ:$BQ)=1,$C63*Thresholds_Rates!$F$17,"")))))))))</f>
        <v>-</v>
      </c>
      <c r="H63" s="25">
        <f ca="1">IF($B63="","",ROUND(($C63-(Thresholds_Rates!$C$5*12))*Thresholds_Rates!$C$10,0))</f>
        <v>8655</v>
      </c>
      <c r="I63" s="25">
        <f ca="1">IF(B63="","",(C63*Thresholds_Rates!$C$12))</f>
        <v>354.38499999999999</v>
      </c>
      <c r="J63" s="25" t="str">
        <f ca="1">IF(B63="","",IF(AND($B$4="Salary Points 3 to 57",B63&gt;Thresholds_Rates!$C$17),"-",IF(SUMIF(Grades!$A:$A,$B$4,Grades!$BR:$BR)=0,"-",IF(AND($B$4="Salary Points 3 to 57",B63&lt;=Thresholds_Rates!$C$17),$C63*Thresholds_Rates!$F$18,IF(AND(OR($B$4="New Consultant Contract"),$B63&lt;&gt;""),$C63*Thresholds_Rates!$F$18,IF(AND(OR($B$4="Clinical Lecturer / Medical Research Fellow",$B$4="Clinical Consultant - Old Contract (GP)"),$B63&lt;&gt;""),$C63*Thresholds_Rates!$F$18,IF(AND(OR($B$4="APM Level 7",$B$4="R&amp;T Level 7"),H63&lt;&gt;""),$C63*Thresholds_Rates!$F$18,IF(SUMIF(Grades!$A:$A,$B$4,Grades!$BQ:$BQ)=1,$C63*Thresholds_Rates!$F$18,""))))))))</f>
        <v>-</v>
      </c>
      <c r="K63" s="4"/>
      <c r="L63" s="25">
        <f t="shared" ca="1" si="1"/>
        <v>92644.244999999995</v>
      </c>
      <c r="M63" s="25" t="str">
        <f t="shared" ca="1" si="2"/>
        <v>-</v>
      </c>
      <c r="N63" s="25" t="str">
        <f t="shared" ca="1" si="3"/>
        <v>-</v>
      </c>
      <c r="O63" s="25" t="str">
        <f t="shared" ca="1" si="4"/>
        <v>-</v>
      </c>
      <c r="P63" s="25">
        <f t="shared" ca="1" si="5"/>
        <v>79886.384999999995</v>
      </c>
      <c r="R63" s="28" t="str">
        <f ca="1">IF(B63="","",IF($B$4="R&amp;T Level 5 - Clinical Lecturers (Vet School)",SUMIF(Points_Lookup!$M:$M,$B63,Points_Lookup!$N:$N),IF($B$4="R&amp;T Level 6 - Clinical Associate Professors and Clinical Readers (Vet School)",SUMIF(Points_Lookup!$T:$T,$B63,Points_Lookup!$U:$U),"")))</f>
        <v/>
      </c>
      <c r="S63" s="29" t="str">
        <f ca="1">IF(B63="","",IF($B$4="R&amp;T Level 5 - Clinical Lecturers (Vet School)",$C63-SUMIF(Points_Lookup!$M:$M,$B63,Points_Lookup!$O:$O),IF($B$4="R&amp;T Level 6 - Clinical Associate Professors and Clinical Readers (Vet School)",$C63-SUMIF(Points_Lookup!$T:$T,$B63,Points_Lookup!$V:$V),"")))</f>
        <v/>
      </c>
      <c r="T63" s="28" t="str">
        <f ca="1">IF(B63="","",IF($B$4="R&amp;T Level 5 - Clinical Lecturers (Vet School)",SUMIF(Points_Lookup!$M:$M,$B63,Points_Lookup!$Q:$Q),IF($B$4="R&amp;T Level 6 - Clinical Associate Professors and Clinical Readers (Vet School)",SUMIF(Points_Lookup!$T:$T,$B63,Points_Lookup!$X:$X),"")))</f>
        <v/>
      </c>
      <c r="U63" s="29" t="str">
        <f t="shared" ca="1" si="6"/>
        <v/>
      </c>
      <c r="Z63" s="26">
        <v>55</v>
      </c>
    </row>
    <row r="64" spans="2:26" x14ac:dyDescent="0.25">
      <c r="B64" s="4" t="str">
        <f ca="1">IFERROR(INDEX(Points_Lookup!$A:$A,MATCH($Z64,Points_Lookup!$AE:$AE,0)),"")</f>
        <v/>
      </c>
      <c r="C64" s="25" t="str">
        <f ca="1">IF(B64="","",IF($B$4="Apprenticeship",SUMIF(Points_Lookup!$AA:$AA,B64,Points_Lookup!$AC:$AC),IF(AND(OR($B$4="New Consultant Contract"),$B64&lt;&gt;""),INDEX(Points_Lookup!$K:$K,MATCH($B64,Points_Lookup!$J:$J,0)),IF(AND(OR($B$4="Clinical Lecturer / Medical Research Fellow",$B$4="Clinical Consultant - Old Contract (GP)"),$B64&lt;&gt;""),INDEX(Points_Lookup!$H:$H,MATCH($B64,Points_Lookup!$G:$G,0)),IF(AND(OR($B$4="APM Level 7",$B$4="R&amp;T Level 7",$B$4="APM Level 8"),B64&lt;&gt;""),INDEX(Points_Lookup!$E:$E,MATCH($Z64,Points_Lookup!$AE:$AE,0)),IF($B$4="R&amp;T Level 5 - Clinical Lecturers (Vet School)",SUMIF(Points_Lookup!$M:$M,$B64,Points_Lookup!$P:$P),IF($B$4="R&amp;T Level 6 - Clinical Associate Professors and Clinical Readers (Vet School)",SUMIF(Points_Lookup!$T:$T,$B64,Points_Lookup!$W:$W),IFERROR(INDEX(Points_Lookup!$B:$B,MATCH($Z64,Points_Lookup!$AE:$AE,0)),""))))))))</f>
        <v/>
      </c>
      <c r="D64" s="36"/>
      <c r="E64" s="25" t="str">
        <f ca="1">IF($B64="","",IF(AND($B$4="Salary Points 3 to 57",B64&lt;Thresholds_Rates!$C$16),"-",IF(SUMIF(Grades!$A:$A,$B$4,Grades!$BO:$BO)=0,"-",IF(AND($B$4="Salary Points 3 to 57",B64&gt;=Thresholds_Rates!$C$16),$C64*Thresholds_Rates!$F$15,IF(AND(OR($B$4="New Consultant Contract"),$B64&lt;&gt;""),$C64*Thresholds_Rates!$F$15,IF(AND(OR($B$4="Clinical Lecturer / Medical Research Fellow",$B$4="Clinical Consultant - Old Contract (GP)"),$B64&lt;&gt;""),$C64*Thresholds_Rates!$F$15,IF(OR($B$4="APM Level 7",$B$4="R&amp;T Level 7"),$C64*Thresholds_Rates!$F$15,IF(SUMIF(Grades!$A:$A,$B$4,Grades!$BO:$BO)=1,$C64*Thresholds_Rates!$F$15,""))))))))</f>
        <v/>
      </c>
      <c r="F64" s="25" t="str">
        <f ca="1">IF(B64="","",IF($B$4="Salary Points 3 to 57","-",IF(SUMIF(Grades!$A:$A,$B$4,Grades!$BP:$BP)=0,"-",IF(AND(OR($B$4="New Consultant Contract"),$B64&lt;&gt;""),$C64*Thresholds_Rates!$F$16,IF(AND(OR($B$4="Clinical Lecturer / Medical Research Fellow",$B$4="Clinical Consultant - Old Contract (GP)"),$B64&lt;&gt;""),$C64*Thresholds_Rates!$F$16,IF(AND(OR($B$4="APM Level 7",$B$4="R&amp;T Level 7"),E64&lt;&gt;""),$C64*Thresholds_Rates!$F$16,IF(SUMIF(Grades!$A:$A,$B$4,Grades!$BP:$BP)=1,$C64*Thresholds_Rates!$F$16,"")))))))</f>
        <v/>
      </c>
      <c r="G64" s="25" t="str">
        <f ca="1">IF($B$4="Apprenticeship","-",IF(B64="","",IF(SUMIF(Grades!$A:$A,$B$4,Grades!$BQ:$BQ)=0,"-",IF(AND($B$4="Salary Points 3 to 57",B64&gt;Thresholds_Rates!$C$17),"-",IF(AND($B$4="Salary Points 3 to 57",B64&lt;=Thresholds_Rates!$C$17),$C64*Thresholds_Rates!$F$17,IF(AND(OR($B$4="New Consultant Contract"),$B64&lt;&gt;""),$C64*Thresholds_Rates!$F$17,IF(AND(OR($B$4="Clinical Lecturer / Medical Research Fellow",$B$4="Clinical Consultant - Old Contract (GP)"),$B64&lt;&gt;""),$C64*Thresholds_Rates!$F$17,IF(AND(OR($B$4="APM Level 7",$B$4="R&amp;T Level 7"),F64&lt;&gt;""),$C64*Thresholds_Rates!$F$17,IF(SUMIF(Grades!$A:$A,$B$4,Grades!$BQ:$BQ)=1,$C64*Thresholds_Rates!$F$17,"")))))))))</f>
        <v/>
      </c>
      <c r="H64" s="25" t="str">
        <f ca="1">IF($B64="","",ROUND(($C64-(Thresholds_Rates!$C$5*12))*Thresholds_Rates!$C$10,0))</f>
        <v/>
      </c>
      <c r="I64" s="25" t="str">
        <f ca="1">IF(B64="","",(C64*Thresholds_Rates!$C$12))</f>
        <v/>
      </c>
      <c r="J64" s="25" t="str">
        <f ca="1">IF(B64="","",IF(AND($B$4="Salary Points 3 to 57",B64&gt;Thresholds_Rates!$C$17),"-",IF(SUMIF(Grades!$A:$A,$B$4,Grades!$BR:$BR)=0,"-",IF(AND($B$4="Salary Points 3 to 57",B64&lt;=Thresholds_Rates!$C$17),$C64*Thresholds_Rates!$F$18,IF(AND(OR($B$4="New Consultant Contract"),$B64&lt;&gt;""),$C64*Thresholds_Rates!$F$18,IF(AND(OR($B$4="Clinical Lecturer / Medical Research Fellow",$B$4="Clinical Consultant - Old Contract (GP)"),$B64&lt;&gt;""),$C64*Thresholds_Rates!$F$18,IF(AND(OR($B$4="APM Level 7",$B$4="R&amp;T Level 7"),H64&lt;&gt;""),$C64*Thresholds_Rates!$F$18,IF(SUMIF(Grades!$A:$A,$B$4,Grades!$BQ:$BQ)=1,$C64*Thresholds_Rates!$F$18,""))))))))</f>
        <v/>
      </c>
      <c r="K64" s="4"/>
      <c r="L64" s="25" t="str">
        <f t="shared" ca="1" si="1"/>
        <v/>
      </c>
      <c r="M64" s="25" t="str">
        <f t="shared" ca="1" si="2"/>
        <v/>
      </c>
      <c r="N64" s="25" t="str">
        <f t="shared" ca="1" si="3"/>
        <v/>
      </c>
      <c r="O64" s="25" t="str">
        <f t="shared" ca="1" si="4"/>
        <v/>
      </c>
      <c r="P64" s="25" t="str">
        <f t="shared" ca="1" si="5"/>
        <v/>
      </c>
      <c r="R64" s="28" t="str">
        <f ca="1">IF(B64="","",IF($B$4="R&amp;T Level 5 - Clinical Lecturers (Vet School)",SUMIF(Points_Lookup!$M:$M,$B64,Points_Lookup!$N:$N),IF($B$4="R&amp;T Level 6 - Clinical Associate Professors and Clinical Readers (Vet School)",SUMIF(Points_Lookup!$T:$T,$B64,Points_Lookup!$U:$U),"")))</f>
        <v/>
      </c>
      <c r="S64" s="29" t="str">
        <f ca="1">IF(B64="","",IF($B$4="R&amp;T Level 5 - Clinical Lecturers (Vet School)",$C64-SUMIF(Points_Lookup!$M:$M,$B64,Points_Lookup!$O:$O),IF($B$4="R&amp;T Level 6 - Clinical Associate Professors and Clinical Readers (Vet School)",$C64-SUMIF(Points_Lookup!$T:$T,$B64,Points_Lookup!$V:$V),"")))</f>
        <v/>
      </c>
      <c r="T64" s="28" t="str">
        <f ca="1">IF(B64="","",IF($B$4="R&amp;T Level 5 - Clinical Lecturers (Vet School)",SUMIF(Points_Lookup!$M:$M,$B64,Points_Lookup!$Q:$Q),IF($B$4="R&amp;T Level 6 - Clinical Associate Professors and Clinical Readers (Vet School)",SUMIF(Points_Lookup!$T:$T,$B64,Points_Lookup!$X:$X),"")))</f>
        <v/>
      </c>
      <c r="U64" s="29" t="str">
        <f t="shared" ca="1" si="6"/>
        <v/>
      </c>
      <c r="Z64" s="26">
        <v>56</v>
      </c>
    </row>
    <row r="65" spans="2:26" x14ac:dyDescent="0.25">
      <c r="B65" s="4" t="str">
        <f ca="1">IFERROR(INDEX(Points_Lookup!$A:$A,MATCH($Z65,Points_Lookup!$AE:$AE,0)),"")</f>
        <v/>
      </c>
      <c r="C65" s="25" t="str">
        <f ca="1">IF(B65="","",IF($B$4="Apprenticeship",SUMIF(Points_Lookup!$AA:$AA,B65,Points_Lookup!$AC:$AC),IF(AND(OR($B$4="New Consultant Contract"),$B65&lt;&gt;""),INDEX(Points_Lookup!$K:$K,MATCH($B65,Points_Lookup!$J:$J,0)),IF(AND(OR($B$4="Clinical Lecturer / Medical Research Fellow",$B$4="Clinical Consultant - Old Contract (GP)"),$B65&lt;&gt;""),INDEX(Points_Lookup!$H:$H,MATCH($B65,Points_Lookup!$G:$G,0)),IF(AND(OR($B$4="APM Level 7",$B$4="R&amp;T Level 7",$B$4="APM Level 8"),B65&lt;&gt;""),INDEX(Points_Lookup!$E:$E,MATCH($Z65,Points_Lookup!$AE:$AE,0)),IF($B$4="R&amp;T Level 5 - Clinical Lecturers (Vet School)",SUMIF(Points_Lookup!$M:$M,$B65,Points_Lookup!$P:$P),IF($B$4="R&amp;T Level 6 - Clinical Associate Professors and Clinical Readers (Vet School)",SUMIF(Points_Lookup!$T:$T,$B65,Points_Lookup!$W:$W),IFERROR(INDEX(Points_Lookup!$B:$B,MATCH($Z65,Points_Lookup!$AE:$AE,0)),""))))))))</f>
        <v/>
      </c>
      <c r="D65" s="36"/>
      <c r="E65" s="25" t="str">
        <f ca="1">IF($B65="","",IF(AND($B$4="Salary Points 3 to 57",B65&lt;Thresholds_Rates!$C$16),"-",IF(SUMIF(Grades!$A:$A,$B$4,Grades!$BO:$BO)=0,"-",IF(AND($B$4="Salary Points 3 to 57",B65&gt;=Thresholds_Rates!$C$16),$C65*Thresholds_Rates!$F$15,IF(AND(OR($B$4="New Consultant Contract"),$B65&lt;&gt;""),$C65*Thresholds_Rates!$F$15,IF(AND(OR($B$4="Clinical Lecturer / Medical Research Fellow",$B$4="Clinical Consultant - Old Contract (GP)"),$B65&lt;&gt;""),$C65*Thresholds_Rates!$F$15,IF(OR($B$4="APM Level 7",$B$4="R&amp;T Level 7"),$C65*Thresholds_Rates!$F$15,IF(SUMIF(Grades!$A:$A,$B$4,Grades!$BO:$BO)=1,$C65*Thresholds_Rates!$F$15,""))))))))</f>
        <v/>
      </c>
      <c r="F65" s="25" t="str">
        <f ca="1">IF(B65="","",IF($B$4="Salary Points 1 to 57","-",IF(SUMIF(Grades!$A:$A,$B$4,Grades!$BP:$BP)=0,"-",IF(AND(OR($B$4="New Consultant Contract"),$B65&lt;&gt;""),$C65*Thresholds_Rates!$F$16,IF(AND(OR($B$4="Clinical Lecturer / Medical Research Fellow",$B$4="Clinical Consultant - Old Contract (GP)"),$B65&lt;&gt;""),$C65*Thresholds_Rates!$F$16,IF(AND(OR($B$4="APM Level 7",$B$4="R&amp;T Level 7"),E65&lt;&gt;""),$C65*Thresholds_Rates!$F$16,IF(SUMIF(Grades!$A:$A,$B$4,Grades!$BP:$BP)=1,$C65*Thresholds_Rates!$F$16,"")))))))</f>
        <v/>
      </c>
      <c r="G65" s="25" t="str">
        <f ca="1">IF(B65="","",IF(SUMIF(Grades!$A:$A,$B$4,Grades!$BQ:$BQ)=0,"-",IF(AND($B$4="Salary Points 1 to 57",B65&gt;Thresholds_Rates!$C$17),"-",IF(AND($B$4="Salary Points 1 to 57",B65&lt;=Thresholds_Rates!$C$17),$C65*Thresholds_Rates!$F$17,IF(AND(OR($B$4="New Consultant Contract"),$B65&lt;&gt;""),$C65*Thresholds_Rates!$F$17,IF(AND(OR($B$4="Clinical Lecturer / Medical Research Fellow",$B$4="Clinical Consultant - Old Contract (GP)"),$B65&lt;&gt;""),$C65*Thresholds_Rates!$F$17,IF(AND(OR($B$4="APM Level 7",$B$4="R&amp;T Level 7"),F65&lt;&gt;""),$C65*Thresholds_Rates!$F$17,IF(SUMIF(Grades!$A:$A,$B$4,Grades!$BQ:$BQ)=1,$C65*Thresholds_Rates!$F$17,""))))))))</f>
        <v/>
      </c>
      <c r="H65" s="25" t="str">
        <f ca="1">IF($B65="","",ROUND(($C65-(Thresholds_Rates!$C$5*12))*Thresholds_Rates!$C$10,0))</f>
        <v/>
      </c>
      <c r="I65" s="25" t="str">
        <f ca="1">IF(B65="","",(C65*Thresholds_Rates!$C$12))</f>
        <v/>
      </c>
      <c r="J65" s="25" t="str">
        <f ca="1">IF(B65="","",IF(AND($B$4="Salary Points 1 to 57",B65&gt;Thresholds_Rates!$C$17),"-",IF(SUMIF(Grades!$A:$A,$B$4,Grades!$BR:$BR)=0,"-",IF(AND($B$4="Salary Points 1 to 57",B65&lt;=Thresholds_Rates!$C$17),$C65*Thresholds_Rates!$F$18,IF(AND(OR($B$4="New Consultant Contract"),$B65&lt;&gt;""),$C65*Thresholds_Rates!$F$18,IF(AND(OR($B$4="Clinical Lecturer / Medical Research Fellow",$B$4="Clinical Consultant - Old Contract (GP)"),$B65&lt;&gt;""),$C65*Thresholds_Rates!$F$18,IF(AND(OR($B$4="APM Level 7",$B$4="R&amp;T Level 7"),H65&lt;&gt;""),$C65*Thresholds_Rates!$F$18,IF(SUMIF(Grades!$A:$A,$B$4,Grades!$BQ:$BQ)=1,$C65*Thresholds_Rates!$F$18,""))))))))</f>
        <v/>
      </c>
      <c r="K65" s="4"/>
      <c r="L65" s="25" t="str">
        <f t="shared" ca="1" si="1"/>
        <v/>
      </c>
      <c r="M65" s="25" t="str">
        <f t="shared" ca="1" si="2"/>
        <v/>
      </c>
      <c r="N65" s="25" t="str">
        <f t="shared" ca="1" si="3"/>
        <v/>
      </c>
      <c r="O65" s="25" t="str">
        <f t="shared" ca="1" si="4"/>
        <v/>
      </c>
      <c r="P65" s="25" t="str">
        <f t="shared" ca="1" si="5"/>
        <v/>
      </c>
      <c r="R65" s="28" t="str">
        <f ca="1">IF(B65="","",IF($B$4="R&amp;T Level 5 - Clinical Lecturers (Vet School)",SUMIF(Points_Lookup!$M:$M,$B65,Points_Lookup!$N:$N),IF($B$4="R&amp;T Level 6 - Clinical Associate Professors and Clinical Readers (Vet School)",SUMIF(Points_Lookup!$T:$T,$B65,Points_Lookup!$U:$U),"")))</f>
        <v/>
      </c>
      <c r="S65" s="29" t="str">
        <f ca="1">IF(B65="","",IF($B$4="R&amp;T Level 5 - Clinical Lecturers (Vet School)",$C65-SUMIF(Points_Lookup!$M:$M,$B65,Points_Lookup!$O:$O),IF($B$4="R&amp;T Level 6 - Clinical Associate Professors and Clinical Readers (Vet School)",$C65-SUMIF(Points_Lookup!$T:$T,$B65,Points_Lookup!$V:$V),"")))</f>
        <v/>
      </c>
      <c r="T65" s="28" t="str">
        <f ca="1">IF(B65="","",IF($B$4="R&amp;T Level 5 - Clinical Lecturers (Vet School)",SUMIF(Points_Lookup!$M:$M,$B65,Points_Lookup!$Q:$Q),IF($B$4="R&amp;T Level 6 - Clinical Associate Professors and Clinical Readers (Vet School)",SUMIF(Points_Lookup!$T:$T,$B65,Points_Lookup!$X:$X),"")))</f>
        <v/>
      </c>
      <c r="U65" s="29" t="str">
        <f t="shared" ca="1" si="6"/>
        <v/>
      </c>
      <c r="Z65" s="26">
        <v>57</v>
      </c>
    </row>
    <row r="66" spans="2:26" x14ac:dyDescent="0.25">
      <c r="B66" s="4" t="str">
        <f ca="1">IFERROR(INDEX(Points_Lookup!$A:$A,MATCH($Z68,Points_Lookup!$AE:$AE,0)),"")</f>
        <v/>
      </c>
      <c r="C66" s="25" t="str">
        <f ca="1">IF(B66="","",IF($B$4="Apprenticeship",SUMIF(Points_Lookup!$AA:$AA,B66,Points_Lookup!$AC:$AC),IF(AND(OR($B$4="New Consultant Contract"),$B66&lt;&gt;""),INDEX(Points_Lookup!$K:$K,MATCH($B66,Points_Lookup!$J:$J,0)),IF(AND(OR($B$4="Clinical Lecturer / Medical Research Fellow",$B$4="Clinical Consultant - Old Contract (GP)"),$B66&lt;&gt;""),INDEX(Points_Lookup!$H:$H,MATCH($B66,Points_Lookup!$G:$G,0)),IF(AND(OR($B$4="APM Level 7",$B$4="R&amp;T Level 7",$B$4="APM Level 8"),B66&lt;&gt;""),INDEX(Points_Lookup!$E:$E,MATCH($Z66,Points_Lookup!$AE:$AE,0)),IF($B$4="R&amp;T Level 5 - Clinical Lecturers (Vet School)",SUMIF(Points_Lookup!$M:$M,$B66,Points_Lookup!$P:$P),IF($B$4="R&amp;T Level 6 - Clinical Associate Professors and Clinical Readers (Vet School)",SUMIF(Points_Lookup!$T:$T,$B66,Points_Lookup!$W:$W),IFERROR(INDEX(Points_Lookup!$B:$B,MATCH($Z66,Points_Lookup!$AE:$AE,0)),""))))))))</f>
        <v/>
      </c>
      <c r="D66" s="36"/>
      <c r="E66" s="25" t="str">
        <f ca="1">IF($B66="","",IF(AND($B$4="Salary Points 3 to 57",B66&lt;Thresholds_Rates!$C$16),"-",IF(SUMIF(Grades!$A:$A,$B$4,Grades!$BO:$BO)=0,"-",IF(AND($B$4="Salary Points 3 to 57",B66&gt;=Thresholds_Rates!$C$16),$C66*Thresholds_Rates!$F$15,IF(AND(OR($B$4="New Consultant Contract"),$B66&lt;&gt;""),$C66*Thresholds_Rates!$F$15,IF(AND(OR($B$4="Clinical Lecturer / Medical Research Fellow",$B$4="Clinical Consultant - Old Contract (GP)"),$B66&lt;&gt;""),$C66*Thresholds_Rates!$F$15,IF(OR($B$4="APM Level 7",$B$4="R&amp;T Level 7"),$C66*Thresholds_Rates!$F$15,IF(SUMIF(Grades!$A:$A,$B$4,Grades!$BO:$BO)=1,$C66*Thresholds_Rates!$F$15,""))))))))</f>
        <v/>
      </c>
      <c r="F66" s="25" t="str">
        <f ca="1">IF(B66="","",IF($B$4="Salary Points 1 to 57","-",IF(SUMIF(Grades!$A:$A,$B$4,Grades!$BP:$BP)=0,"-",IF(AND(OR($B$4="New Consultant Contract"),$B66&lt;&gt;""),$C66*Thresholds_Rates!$F$16,IF(AND(OR($B$4="Clinical Lecturer / Medical Research Fellow",$B$4="Clinical Consultant - Old Contract (GP)"),$B66&lt;&gt;""),$C66*Thresholds_Rates!$F$16,IF(AND(OR($B$4="APM Level 7",$B$4="R&amp;T Level 7"),E66&lt;&gt;""),$C66*Thresholds_Rates!$F$16,IF(SUMIF(Grades!$A:$A,$B$4,Grades!$BP:$BP)=1,$C66*Thresholds_Rates!$F$16,"")))))))</f>
        <v/>
      </c>
      <c r="G66" s="25" t="str">
        <f ca="1">IF(B66="","",IF(SUMIF(Grades!$A:$A,$B$4,Grades!$BQ:$BQ)=0,"-",IF(AND($B$4="Salary Points 1 to 57",B66&gt;Thresholds_Rates!$C$17),"-",IF(AND($B$4="Salary Points 1 to 57",B66&lt;=Thresholds_Rates!$C$17),$C66*Thresholds_Rates!$F$17,IF(AND(OR($B$4="New Consultant Contract"),$B66&lt;&gt;""),$C66*Thresholds_Rates!$F$17,IF(AND(OR($B$4="Clinical Lecturer / Medical Research Fellow",$B$4="Clinical Consultant - Old Contract (GP)"),$B66&lt;&gt;""),$C66*Thresholds_Rates!$F$17,IF(AND(OR($B$4="APM Level 7",$B$4="R&amp;T Level 7"),F66&lt;&gt;""),$C66*Thresholds_Rates!$F$17,IF(SUMIF(Grades!$A:$A,$B$4,Grades!$BQ:$BQ)=1,$C66*Thresholds_Rates!$F$17,""))))))))</f>
        <v/>
      </c>
      <c r="H66" s="25" t="str">
        <f ca="1">IF($B66="","",ROUND(($C66-(Thresholds_Rates!$C$5*12))*Thresholds_Rates!$C$10,0))</f>
        <v/>
      </c>
      <c r="I66" s="25" t="str">
        <f ca="1">IF(B66="","",(C66*Thresholds_Rates!$C$12))</f>
        <v/>
      </c>
      <c r="J66" s="25" t="str">
        <f ca="1">IF(B66="","",IF(AND($B$4="Salary Points 1 to 57",B66&gt;Thresholds_Rates!$C$17),"-",IF(SUMIF(Grades!$A:$A,$B$4,Grades!$BR:$BR)=0,"-",IF(AND($B$4="Salary Points 1 to 57",B66&lt;=Thresholds_Rates!$C$17),$C66*Thresholds_Rates!$F$18,IF(AND(OR($B$4="New Consultant Contract"),$B66&lt;&gt;""),$C66*Thresholds_Rates!$F$18,IF(AND(OR($B$4="Clinical Lecturer / Medical Research Fellow",$B$4="Clinical Consultant - Old Contract (GP)"),$B66&lt;&gt;""),$C66*Thresholds_Rates!$F$18,IF(AND(OR($B$4="APM Level 7",$B$4="R&amp;T Level 7"),H66&lt;&gt;""),$C66*Thresholds_Rates!$F$18,IF(SUMIF(Grades!$A:$A,$B$4,Grades!$BQ:$BQ)=1,$C66*Thresholds_Rates!$F$18,""))))))))</f>
        <v/>
      </c>
      <c r="K66" s="4"/>
      <c r="L66" s="25" t="str">
        <f t="shared" ca="1" si="1"/>
        <v/>
      </c>
      <c r="M66" s="25" t="str">
        <f t="shared" ca="1" si="2"/>
        <v/>
      </c>
      <c r="N66" s="25" t="str">
        <f t="shared" ca="1" si="3"/>
        <v/>
      </c>
      <c r="O66" s="25" t="str">
        <f t="shared" ca="1" si="4"/>
        <v/>
      </c>
      <c r="P66" s="25" t="str">
        <f t="shared" ca="1" si="5"/>
        <v/>
      </c>
      <c r="R66" s="28" t="str">
        <f ca="1">IF(B66="","",IF($B$4="R&amp;T Level 5 - Clinical Lecturers (Vet School)",SUMIF(Points_Lookup!$M:$M,$B66,Points_Lookup!$N:$N),IF($B$4="R&amp;T Level 6 - Clinical Associate Professors and Clinical Readers (Vet School)",SUMIF(Points_Lookup!$T:$T,$B66,Points_Lookup!$U:$U),"")))</f>
        <v/>
      </c>
      <c r="S66" s="29" t="str">
        <f ca="1">IF(B66="","",IF($B$4="R&amp;T Level 5 - Clinical Lecturers (Vet School)",$C66-SUMIF(Points_Lookup!$M:$M,$B66,Points_Lookup!$O:$O),IF($B$4="R&amp;T Level 6 - Clinical Associate Professors and Clinical Readers (Vet School)",$C66-SUMIF(Points_Lookup!$T:$T,$B66,Points_Lookup!$V:$V),"")))</f>
        <v/>
      </c>
      <c r="T66" s="28" t="str">
        <f ca="1">IF(B66="","",IF($B$4="R&amp;T Level 5 - Clinical Lecturers (Vet School)",SUMIF(Points_Lookup!$M:$M,$B66,Points_Lookup!$Q:$Q),IF($B$4="R&amp;T Level 6 - Clinical Associate Professors and Clinical Readers (Vet School)",SUMIF(Points_Lookup!$T:$T,$B66,Points_Lookup!$X:$X),"")))</f>
        <v/>
      </c>
      <c r="U66" s="29" t="str">
        <f t="shared" ca="1" si="6"/>
        <v/>
      </c>
    </row>
    <row r="67" spans="2:26" x14ac:dyDescent="0.25">
      <c r="B67" s="4" t="str">
        <f ca="1">IFERROR(INDEX(Points_Lookup!$A:$A,MATCH($Z69,Points_Lookup!$AE:$AE,0)),"")</f>
        <v/>
      </c>
      <c r="C67" s="25" t="str">
        <f ca="1">IF(B67="","",IF($B$4="Apprenticeship",SUMIF(Points_Lookup!$AA:$AA,B67,Points_Lookup!$AC:$AC),IF(AND(OR($B$4="New Consultant Contract"),$B67&lt;&gt;""),INDEX(Points_Lookup!$K:$K,MATCH($B67,Points_Lookup!$J:$J,0)),IF(AND(OR($B$4="Clinical Lecturer / Medical Research Fellow",$B$4="Clinical Consultant - Old Contract (GP)"),$B67&lt;&gt;""),INDEX(Points_Lookup!$H:$H,MATCH($B67,Points_Lookup!$G:$G,0)),IF(AND(OR($B$4="APM Level 7",$B$4="R&amp;T Level 7",$B$4="APM Level 8"),B67&lt;&gt;""),INDEX(Points_Lookup!$E:$E,MATCH($Z67,Points_Lookup!$AE:$AE,0)),IF($B$4="R&amp;T Level 5 - Clinical Lecturers (Vet School)",SUMIF(Points_Lookup!$M:$M,$B67,Points_Lookup!$P:$P),IF($B$4="R&amp;T Level 6 - Clinical Associate Professors and Clinical Readers (Vet School)",SUMIF(Points_Lookup!$T:$T,$B67,Points_Lookup!$W:$W),IFERROR(INDEX(Points_Lookup!$B:$B,MATCH($Z67,Points_Lookup!$AE:$AE,0)),""))))))))</f>
        <v/>
      </c>
      <c r="D67" s="36"/>
      <c r="E67" s="25" t="str">
        <f ca="1">IF($B67="","",IF(AND($B$4="Salary Points 3 to 57",B67&lt;Thresholds_Rates!$C$16),"-",IF(SUMIF(Grades!$A:$A,$B$4,Grades!$BO:$BO)=0,"-",IF(AND($B$4="Salary Points 3 to 57",B67&gt;=Thresholds_Rates!$C$16),$C67*Thresholds_Rates!$F$15,IF(AND(OR($B$4="New Consultant Contract"),$B67&lt;&gt;""),$C67*Thresholds_Rates!$F$15,IF(AND(OR($B$4="Clinical Lecturer / Medical Research Fellow",$B$4="Clinical Consultant - Old Contract (GP)"),$B67&lt;&gt;""),$C67*Thresholds_Rates!$F$15,IF(OR($B$4="APM Level 7",$B$4="R&amp;T Level 7"),$C67*Thresholds_Rates!$F$15,IF(SUMIF(Grades!$A:$A,$B$4,Grades!$BO:$BO)=1,$C67*Thresholds_Rates!$F$15,""))))))))</f>
        <v/>
      </c>
      <c r="F67" s="25" t="str">
        <f ca="1">IF(B67="","",IF($B$4="Salary Points 1 to 57","-",IF(SUMIF(Grades!$A:$A,$B$4,Grades!$BP:$BP)=0,"-",IF(AND(OR($B$4="New Consultant Contract"),$B67&lt;&gt;""),$C67*Thresholds_Rates!$F$16,IF(AND(OR($B$4="Clinical Lecturer / Medical Research Fellow",$B$4="Clinical Consultant - Old Contract (GP)"),$B67&lt;&gt;""),$C67*Thresholds_Rates!$F$16,IF(AND(OR($B$4="APM Level 7",$B$4="R&amp;T Level 7"),E67&lt;&gt;""),$C67*Thresholds_Rates!$F$16,IF(SUMIF(Grades!$A:$A,$B$4,Grades!$BP:$BP)=1,$C67*Thresholds_Rates!$F$16,"")))))))</f>
        <v/>
      </c>
      <c r="G67" s="25" t="str">
        <f ca="1">IF(B67="","",IF(SUMIF(Grades!$A:$A,$B$4,Grades!$BQ:$BQ)=0,"-",IF(AND($B$4="Salary Points 1 to 57",B67&gt;Thresholds_Rates!$C$17),"-",IF(AND($B$4="Salary Points 1 to 57",B67&lt;=Thresholds_Rates!$C$17),$C67*Thresholds_Rates!$F$17,IF(AND(OR($B$4="New Consultant Contract"),$B67&lt;&gt;""),$C67*Thresholds_Rates!$F$17,IF(AND(OR($B$4="Clinical Lecturer / Medical Research Fellow",$B$4="Clinical Consultant - Old Contract (GP)"),$B67&lt;&gt;""),$C67*Thresholds_Rates!$F$17,IF(AND(OR($B$4="APM Level 7",$B$4="R&amp;T Level 7"),F67&lt;&gt;""),$C67*Thresholds_Rates!$F$17,IF(SUMIF(Grades!$A:$A,$B$4,Grades!$BQ:$BQ)=1,$C67*Thresholds_Rates!$F$17,""))))))))</f>
        <v/>
      </c>
      <c r="H67" s="25" t="str">
        <f ca="1">IF($B67="","",ROUND(($C67-(Thresholds_Rates!$C$5*12))*Thresholds_Rates!$C$10,0))</f>
        <v/>
      </c>
      <c r="I67" s="25" t="str">
        <f ca="1">IF(B67="","",(C67*Thresholds_Rates!$C$12))</f>
        <v/>
      </c>
      <c r="J67" s="25" t="str">
        <f ca="1">IF(B67="","",IF(AND($B$4="Salary Points 1 to 57",B67&gt;Thresholds_Rates!$C$17),"-",IF(SUMIF(Grades!$A:$A,$B$4,Grades!$BR:$BR)=0,"-",IF(AND($B$4="Salary Points 1 to 57",B67&lt;=Thresholds_Rates!$C$17),$C67*Thresholds_Rates!$F$18,IF(AND(OR($B$4="New Consultant Contract"),$B67&lt;&gt;""),$C67*Thresholds_Rates!$F$18,IF(AND(OR($B$4="Clinical Lecturer / Medical Research Fellow",$B$4="Clinical Consultant - Old Contract (GP)"),$B67&lt;&gt;""),$C67*Thresholds_Rates!$F$18,IF(AND(OR($B$4="APM Level 7",$B$4="R&amp;T Level 7"),H67&lt;&gt;""),$C67*Thresholds_Rates!$F$18,IF(SUMIF(Grades!$A:$A,$B$4,Grades!$BQ:$BQ)=1,$C67*Thresholds_Rates!$F$18,""))))))))</f>
        <v/>
      </c>
      <c r="K67" s="4"/>
      <c r="L67" s="25" t="str">
        <f t="shared" ca="1" si="1"/>
        <v/>
      </c>
      <c r="M67" s="25" t="str">
        <f t="shared" ca="1" si="2"/>
        <v/>
      </c>
      <c r="N67" s="25" t="str">
        <f t="shared" ca="1" si="3"/>
        <v/>
      </c>
      <c r="O67" s="25" t="str">
        <f t="shared" ca="1" si="4"/>
        <v/>
      </c>
      <c r="P67" s="25" t="str">
        <f t="shared" ca="1" si="5"/>
        <v/>
      </c>
      <c r="R67" s="28" t="str">
        <f ca="1">IF(B67="","",IF($B$4="R&amp;T Level 5 - Clinical Lecturers (Vet School)",SUMIF(Points_Lookup!$M:$M,$B67,Points_Lookup!$N:$N),IF($B$4="R&amp;T Level 6 - Clinical Associate Professors and Clinical Readers (Vet School)",SUMIF(Points_Lookup!$T:$T,$B67,Points_Lookup!$U:$U),"")))</f>
        <v/>
      </c>
      <c r="S67" s="29" t="str">
        <f ca="1">IF(B67="","",IF($B$4="R&amp;T Level 5 - Clinical Lecturers (Vet School)",$C67-SUMIF(Points_Lookup!$M:$M,$B67,Points_Lookup!$O:$O),IF($B$4="R&amp;T Level 6 - Clinical Associate Professors and Clinical Readers (Vet School)",$C67-SUMIF(Points_Lookup!$T:$T,$B67,Points_Lookup!$V:$V),"")))</f>
        <v/>
      </c>
      <c r="T67" s="28" t="str">
        <f ca="1">IF(B67="","",IF($B$4="R&amp;T Level 5 - Clinical Lecturers (Vet School)",SUMIF(Points_Lookup!$M:$M,$B67,Points_Lookup!$Q:$Q),IF($B$4="R&amp;T Level 6 - Clinical Associate Professors and Clinical Readers (Vet School)",SUMIF(Points_Lookup!$T:$T,$B67,Points_Lookup!$X:$X),"")))</f>
        <v/>
      </c>
      <c r="U67" s="29" t="str">
        <f t="shared" ca="1" si="6"/>
        <v/>
      </c>
    </row>
    <row r="68" spans="2:26" x14ac:dyDescent="0.25">
      <c r="B68" s="4" t="str">
        <f ca="1">IFERROR(INDEX(Points_Lookup!$A:$A,MATCH($Z70,Points_Lookup!$AE:$AE,0)),"")</f>
        <v/>
      </c>
      <c r="C68" s="25" t="str">
        <f ca="1">IF(B68="","",IF($B$4="Apprenticeship",SUMIF(Points_Lookup!$AA:$AA,B68,Points_Lookup!$AC:$AC),IF(AND(OR($B$4="New Consultant Contract"),$B68&lt;&gt;""),INDEX(Points_Lookup!$K:$K,MATCH($B68,Points_Lookup!$J:$J,0)),IF(AND(OR($B$4="Clinical Lecturer / Medical Research Fellow",$B$4="Clinical Consultant - Old Contract (GP)"),$B68&lt;&gt;""),INDEX(Points_Lookup!$H:$H,MATCH($B68,Points_Lookup!$G:$G,0)),IF(AND(OR($B$4="APM Level 7",$B$4="R&amp;T Level 7",$B$4="APM Level 8"),B68&lt;&gt;""),INDEX(Points_Lookup!$E:$E,MATCH($Z68,Points_Lookup!$AE:$AE,0)),IF($B$4="R&amp;T Level 5 - Clinical Lecturers (Vet School)",SUMIF(Points_Lookup!$M:$M,$B68,Points_Lookup!$P:$P),IF($B$4="R&amp;T Level 6 - Clinical Associate Professors and Clinical Readers (Vet School)",SUMIF(Points_Lookup!$T:$T,$B68,Points_Lookup!$W:$W),IFERROR(INDEX(Points_Lookup!$B:$B,MATCH($Z68,Points_Lookup!$AE:$AE,0)),""))))))))</f>
        <v/>
      </c>
      <c r="D68" s="36"/>
      <c r="E68" s="25" t="str">
        <f ca="1">IF($B68="","",IF(AND($B$4="Salary Points 3 to 57",B68&lt;Thresholds_Rates!$C$16),"-",IF(SUMIF(Grades!$A:$A,$B$4,Grades!$BO:$BO)=0,"-",IF(AND($B$4="Salary Points 3 to 57",B68&gt;=Thresholds_Rates!$C$16),$C68*Thresholds_Rates!$F$15,IF(AND(OR($B$4="New Consultant Contract"),$B68&lt;&gt;""),$C68*Thresholds_Rates!$F$15,IF(AND(OR($B$4="Clinical Lecturer / Medical Research Fellow",$B$4="Clinical Consultant - Old Contract (GP)"),$B68&lt;&gt;""),$C68*Thresholds_Rates!$F$15,IF(OR($B$4="APM Level 7",$B$4="R&amp;T Level 7"),$C68*Thresholds_Rates!$F$15,IF(SUMIF(Grades!$A:$A,$B$4,Grades!$BO:$BO)=1,$C68*Thresholds_Rates!$F$15,""))))))))</f>
        <v/>
      </c>
      <c r="F68" s="25" t="str">
        <f ca="1">IF(B68="","",IF($B$4="Salary Points 1 to 57","-",IF(SUMIF(Grades!$A:$A,$B$4,Grades!$BP:$BP)=0,"-",IF(AND(OR($B$4="New Consultant Contract"),$B68&lt;&gt;""),$C68*Thresholds_Rates!$F$16,IF(AND(OR($B$4="Clinical Lecturer / Medical Research Fellow",$B$4="Clinical Consultant - Old Contract (GP)"),$B68&lt;&gt;""),$C68*Thresholds_Rates!$F$16,IF(AND(OR($B$4="APM Level 7",$B$4="R&amp;T Level 7"),E68&lt;&gt;""),$C68*Thresholds_Rates!$F$16,IF(SUMIF(Grades!$A:$A,$B$4,Grades!$BP:$BP)=1,$C68*Thresholds_Rates!$F$16,"")))))))</f>
        <v/>
      </c>
      <c r="G68" s="25" t="str">
        <f ca="1">IF(B68="","",IF(SUMIF(Grades!$A:$A,$B$4,Grades!$BQ:$BQ)=0,"-",IF(AND($B$4="Salary Points 1 to 57",B68&gt;Thresholds_Rates!$C$17),"-",IF(AND($B$4="Salary Points 1 to 57",B68&lt;=Thresholds_Rates!$C$17),$C68*Thresholds_Rates!$F$17,IF(AND(OR($B$4="New Consultant Contract"),$B68&lt;&gt;""),$C68*Thresholds_Rates!$F$17,IF(AND(OR($B$4="Clinical Lecturer / Medical Research Fellow",$B$4="Clinical Consultant - Old Contract (GP)"),$B68&lt;&gt;""),$C68*Thresholds_Rates!$F$17,IF(AND(OR($B$4="APM Level 7",$B$4="R&amp;T Level 7"),F68&lt;&gt;""),$C68*Thresholds_Rates!$F$17,IF(SUMIF(Grades!$A:$A,$B$4,Grades!$BQ:$BQ)=1,$C68*Thresholds_Rates!$F$17,""))))))))</f>
        <v/>
      </c>
      <c r="H68" s="25" t="str">
        <f ca="1">IF($B68="","",ROUND(($C68-(Thresholds_Rates!$C$5*12))*Thresholds_Rates!$C$10,0))</f>
        <v/>
      </c>
      <c r="I68" s="25" t="str">
        <f ca="1">IF(B68="","",(C68*Thresholds_Rates!$C$12))</f>
        <v/>
      </c>
      <c r="J68" s="25" t="str">
        <f ca="1">IF(B68="","",IF(AND($B$4="Salary Points 1 to 57",B68&gt;Thresholds_Rates!$C$17),"-",IF(SUMIF(Grades!$A:$A,$B$4,Grades!$BR:$BR)=0,"-",IF(AND($B$4="Salary Points 1 to 57",B68&lt;=Thresholds_Rates!$C$17),$C68*Thresholds_Rates!$F$18,IF(AND(OR($B$4="New Consultant Contract"),$B68&lt;&gt;""),$C68*Thresholds_Rates!$F$18,IF(AND(OR($B$4="Clinical Lecturer / Medical Research Fellow",$B$4="Clinical Consultant - Old Contract (GP)"),$B68&lt;&gt;""),$C68*Thresholds_Rates!$F$18,IF(AND(OR($B$4="APM Level 7",$B$4="R&amp;T Level 7"),H68&lt;&gt;""),$C68*Thresholds_Rates!$F$18,IF(SUMIF(Grades!$A:$A,$B$4,Grades!$BQ:$BQ)=1,$C68*Thresholds_Rates!$F$18,""))))))))</f>
        <v/>
      </c>
      <c r="K68" s="4"/>
      <c r="L68" s="25" t="str">
        <f t="shared" ca="1" si="1"/>
        <v/>
      </c>
      <c r="M68" s="25" t="str">
        <f t="shared" ca="1" si="2"/>
        <v/>
      </c>
      <c r="N68" s="25" t="str">
        <f t="shared" ca="1" si="3"/>
        <v/>
      </c>
      <c r="O68" s="25" t="str">
        <f t="shared" ca="1" si="4"/>
        <v/>
      </c>
      <c r="P68" s="25" t="str">
        <f t="shared" ca="1" si="5"/>
        <v/>
      </c>
      <c r="R68" s="28" t="str">
        <f ca="1">IF(B68="","",IF($B$4="R&amp;T Level 5 - Clinical Lecturers (Vet School)",SUMIF(Points_Lookup!$M:$M,$B68,Points_Lookup!$N:$N),IF($B$4="R&amp;T Level 6 - Clinical Associate Professors and Clinical Readers (Vet School)",SUMIF(Points_Lookup!$T:$T,$B68,Points_Lookup!$U:$U),"")))</f>
        <v/>
      </c>
      <c r="S68" s="29" t="str">
        <f ca="1">IF(B68="","",IF($B$4="R&amp;T Level 5 - Clinical Lecturers (Vet School)",$C68-SUMIF(Points_Lookup!$M:$M,$B68,Points_Lookup!$O:$O),IF($B$4="R&amp;T Level 6 - Clinical Associate Professors and Clinical Readers (Vet School)",$C68-SUMIF(Points_Lookup!$T:$T,$B68,Points_Lookup!$V:$V),"")))</f>
        <v/>
      </c>
      <c r="T68" s="28" t="str">
        <f ca="1">IF(B68="","",IF($B$4="R&amp;T Level 5 - Clinical Lecturers (Vet School)",SUMIF(Points_Lookup!$M:$M,$B68,Points_Lookup!$Q:$Q),IF($B$4="R&amp;T Level 6 - Clinical Associate Professors and Clinical Readers (Vet School)",SUMIF(Points_Lookup!$T:$T,$B68,Points_Lookup!$X:$X),"")))</f>
        <v/>
      </c>
      <c r="U68" s="29" t="str">
        <f t="shared" ca="1" si="6"/>
        <v/>
      </c>
    </row>
    <row r="69" spans="2:26" x14ac:dyDescent="0.25">
      <c r="B69" s="4" t="str">
        <f ca="1">IFERROR(INDEX(Points_Lookup!$A:$A,MATCH($Z71,Points_Lookup!$AE:$AE,0)),"")</f>
        <v/>
      </c>
      <c r="C69" s="25" t="str">
        <f ca="1">IF(B69="","",IF($B$4="Apprenticeship",SUMIF(Points_Lookup!$AA:$AA,B69,Points_Lookup!$AC:$AC),IF(AND(OR($B$4="New Consultant Contract"),$B69&lt;&gt;""),INDEX(Points_Lookup!$K:$K,MATCH($B69,Points_Lookup!$J:$J,0)),IF(AND(OR($B$4="Clinical Lecturer / Medical Research Fellow",$B$4="Clinical Consultant - Old Contract (GP)"),$B69&lt;&gt;""),INDEX(Points_Lookup!$H:$H,MATCH($B69,Points_Lookup!$G:$G,0)),IF(AND(OR($B$4="APM Level 7",$B$4="R&amp;T Level 7",$B$4="APM Level 8"),B69&lt;&gt;""),INDEX(Points_Lookup!$E:$E,MATCH($Z69,Points_Lookup!$AE:$AE,0)),IF($B$4="R&amp;T Level 5 - Clinical Lecturers (Vet School)",SUMIF(Points_Lookup!$M:$M,$B69,Points_Lookup!$P:$P),IF($B$4="R&amp;T Level 6 - Clinical Associate Professors and Clinical Readers (Vet School)",SUMIF(Points_Lookup!$T:$T,$B69,Points_Lookup!$W:$W),IFERROR(INDEX(Points_Lookup!$B:$B,MATCH($Z69,Points_Lookup!$AE:$AE,0)),""))))))))</f>
        <v/>
      </c>
      <c r="D69" s="36"/>
      <c r="E69" s="25" t="str">
        <f ca="1">IF($B69="","",IF(AND($B$4="Salary Points 3 to 57",B69&lt;Thresholds_Rates!$C$16),"-",IF(SUMIF(Grades!$A:$A,$B$4,Grades!$BO:$BO)=0,"-",IF(AND($B$4="Salary Points 3 to 57",B69&gt;=Thresholds_Rates!$C$16),$C69*Thresholds_Rates!$F$15,IF(AND(OR($B$4="New Consultant Contract"),$B69&lt;&gt;""),$C69*Thresholds_Rates!$F$15,IF(AND(OR($B$4="Clinical Lecturer / Medical Research Fellow",$B$4="Clinical Consultant - Old Contract (GP)"),$B69&lt;&gt;""),$C69*Thresholds_Rates!$F$15,IF(OR($B$4="APM Level 7",$B$4="R&amp;T Level 7"),$C69*Thresholds_Rates!$F$15,IF(SUMIF(Grades!$A:$A,$B$4,Grades!$BO:$BO)=1,$C69*Thresholds_Rates!$F$15,""))))))))</f>
        <v/>
      </c>
      <c r="F69" s="25" t="str">
        <f ca="1">IF(B69="","",IF($B$4="Salary Points 1 to 57","-",IF(SUMIF(Grades!$A:$A,$B$4,Grades!$BP:$BP)=0,"-",IF(AND(OR($B$4="New Consultant Contract"),$B69&lt;&gt;""),$C69*Thresholds_Rates!$F$16,IF(AND(OR($B$4="Clinical Lecturer / Medical Research Fellow",$B$4="Clinical Consultant - Old Contract (GP)"),$B69&lt;&gt;""),$C69*Thresholds_Rates!$F$16,IF(AND(OR($B$4="APM Level 7",$B$4="R&amp;T Level 7"),E69&lt;&gt;""),$C69*Thresholds_Rates!$F$16,IF(SUMIF(Grades!$A:$A,$B$4,Grades!$BP:$BP)=1,$C69*Thresholds_Rates!$F$16,"")))))))</f>
        <v/>
      </c>
      <c r="G69" s="25" t="str">
        <f ca="1">IF(B69="","",IF(SUMIF(Grades!$A:$A,$B$4,Grades!$BQ:$BQ)=0,"-",IF(AND($B$4="Salary Points 1 to 57",B69&gt;Thresholds_Rates!$C$17),"-",IF(AND($B$4="Salary Points 1 to 57",B69&lt;=Thresholds_Rates!$C$17),$C69*Thresholds_Rates!$F$17,IF(AND(OR($B$4="New Consultant Contract"),$B69&lt;&gt;""),$C69*Thresholds_Rates!$F$17,IF(AND(OR($B$4="Clinical Lecturer / Medical Research Fellow",$B$4="Clinical Consultant - Old Contract (GP)"),$B69&lt;&gt;""),$C69*Thresholds_Rates!$F$17,IF(AND(OR($B$4="APM Level 7",$B$4="R&amp;T Level 7"),F69&lt;&gt;""),$C69*Thresholds_Rates!$F$17,IF(SUMIF(Grades!$A:$A,$B$4,Grades!$BQ:$BQ)=1,$C69*Thresholds_Rates!$F$17,""))))))))</f>
        <v/>
      </c>
      <c r="H69" s="25" t="str">
        <f ca="1">IF($B69="","",ROUND(($C69-(Thresholds_Rates!$C$5*12))*Thresholds_Rates!$C$10,0))</f>
        <v/>
      </c>
      <c r="I69" s="25" t="str">
        <f ca="1">IF(B69="","",(C69*Thresholds_Rates!$C$12))</f>
        <v/>
      </c>
      <c r="J69" s="25" t="str">
        <f ca="1">IF(B69="","",IF(AND($B$4="Salary Points 1 to 57",B69&gt;Thresholds_Rates!$C$17),"-",IF(SUMIF(Grades!$A:$A,$B$4,Grades!$BR:$BR)=0,"-",IF(AND($B$4="Salary Points 1 to 57",B69&lt;=Thresholds_Rates!$C$17),$C69*Thresholds_Rates!$F$18,IF(AND(OR($B$4="New Consultant Contract"),$B69&lt;&gt;""),$C69*Thresholds_Rates!$F$18,IF(AND(OR($B$4="Clinical Lecturer / Medical Research Fellow",$B$4="Clinical Consultant - Old Contract (GP)"),$B69&lt;&gt;""),$C69*Thresholds_Rates!$F$18,IF(AND(OR($B$4="APM Level 7",$B$4="R&amp;T Level 7"),H69&lt;&gt;""),$C69*Thresholds_Rates!$F$18,IF(SUMIF(Grades!$A:$A,$B$4,Grades!$BQ:$BQ)=1,$C69*Thresholds_Rates!$F$18,""))))))))</f>
        <v/>
      </c>
      <c r="K69" s="4"/>
      <c r="L69" s="25" t="str">
        <f t="shared" ca="1" si="1"/>
        <v/>
      </c>
      <c r="M69" s="25" t="str">
        <f t="shared" ca="1" si="2"/>
        <v/>
      </c>
      <c r="N69" s="25" t="str">
        <f t="shared" ca="1" si="3"/>
        <v/>
      </c>
      <c r="O69" s="25" t="str">
        <f t="shared" ca="1" si="4"/>
        <v/>
      </c>
      <c r="P69" s="25" t="str">
        <f t="shared" ca="1" si="5"/>
        <v/>
      </c>
      <c r="R69" s="28" t="str">
        <f ca="1">IF(B69="","",IF($B$4="R&amp;T Level 5 - Clinical Lecturers (Vet School)",SUMIF(Points_Lookup!$M:$M,$B69,Points_Lookup!$N:$N),IF($B$4="R&amp;T Level 6 - Clinical Associate Professors and Clinical Readers (Vet School)",SUMIF(Points_Lookup!$T:$T,$B69,Points_Lookup!$U:$U),"")))</f>
        <v/>
      </c>
      <c r="S69" s="29" t="str">
        <f ca="1">IF(B69="","",IF($B$4="R&amp;T Level 5 - Clinical Lecturers (Vet School)",$C69-SUMIF(Points_Lookup!$M:$M,$B69,Points_Lookup!$O:$O),IF($B$4="R&amp;T Level 6 - Clinical Associate Professors and Clinical Readers (Vet School)",$C69-SUMIF(Points_Lookup!$T:$T,$B69,Points_Lookup!$V:$V),"")))</f>
        <v/>
      </c>
      <c r="T69" s="28" t="str">
        <f ca="1">IF(B69="","",IF($B$4="R&amp;T Level 5 - Clinical Lecturers (Vet School)",SUMIF(Points_Lookup!$M:$M,$B69,Points_Lookup!$Q:$Q),IF($B$4="R&amp;T Level 6 - Clinical Associate Professors and Clinical Readers (Vet School)",SUMIF(Points_Lookup!$T:$T,$B69,Points_Lookup!$X:$X),"")))</f>
        <v/>
      </c>
      <c r="U69" s="29" t="str">
        <f t="shared" ca="1" si="6"/>
        <v/>
      </c>
    </row>
    <row r="70" spans="2:26" x14ac:dyDescent="0.25">
      <c r="B70" s="4" t="str">
        <f ca="1">IFERROR(INDEX(Points_Lookup!$A:$A,MATCH($Z72,Points_Lookup!$AE:$AE,0)),"")</f>
        <v/>
      </c>
      <c r="C70" s="25" t="str">
        <f ca="1">IF(B70="","",IF($B$4="Apprenticeship",SUMIF(Points_Lookup!$AA:$AA,B70,Points_Lookup!$AC:$AC),IF(AND(OR($B$4="New Consultant Contract"),$B70&lt;&gt;""),INDEX(Points_Lookup!$K:$K,MATCH($B70,Points_Lookup!$J:$J,0)),IF(AND(OR($B$4="Clinical Lecturer / Medical Research Fellow",$B$4="Clinical Consultant - Old Contract (GP)"),$B70&lt;&gt;""),INDEX(Points_Lookup!$H:$H,MATCH($B70,Points_Lookup!$G:$G,0)),IF(AND(OR($B$4="APM Level 7",$B$4="R&amp;T Level 7",$B$4="APM Level 8"),B70&lt;&gt;""),INDEX(Points_Lookup!$E:$E,MATCH($Z70,Points_Lookup!$AE:$AE,0)),IF($B$4="R&amp;T Level 5 - Clinical Lecturers (Vet School)",SUMIF(Points_Lookup!$M:$M,$B70,Points_Lookup!$P:$P),IF($B$4="R&amp;T Level 6 - Clinical Associate Professors and Clinical Readers (Vet School)",SUMIF(Points_Lookup!$T:$T,$B70,Points_Lookup!$W:$W),IFERROR(INDEX(Points_Lookup!$B:$B,MATCH($Z70,Points_Lookup!$AE:$AE,0)),""))))))))</f>
        <v/>
      </c>
      <c r="D70" s="36"/>
      <c r="E70" s="25" t="str">
        <f ca="1">IF($B70="","",IF(AND($B$4="Salary Points 3 to 57",B70&lt;Thresholds_Rates!$C$16),"-",IF(SUMIF(Grades!$A:$A,$B$4,Grades!$BO:$BO)=0,"-",IF(AND($B$4="Salary Points 3 to 57",B70&gt;=Thresholds_Rates!$C$16),$C70*Thresholds_Rates!$F$15,IF(AND(OR($B$4="New Consultant Contract"),$B70&lt;&gt;""),$C70*Thresholds_Rates!$F$15,IF(AND(OR($B$4="Clinical Lecturer / Medical Research Fellow",$B$4="Clinical Consultant - Old Contract (GP)"),$B70&lt;&gt;""),$C70*Thresholds_Rates!$F$15,IF(OR($B$4="APM Level 7",$B$4="R&amp;T Level 7"),$C70*Thresholds_Rates!$F$15,IF(SUMIF(Grades!$A:$A,$B$4,Grades!$BO:$BO)=1,$C70*Thresholds_Rates!$F$15,""))))))))</f>
        <v/>
      </c>
      <c r="F70" s="25" t="str">
        <f ca="1">IF(B70="","",IF($B$4="Salary Points 1 to 57","-",IF(SUMIF(Grades!$A:$A,$B$4,Grades!$BP:$BP)=0,"-",IF(AND(OR($B$4="New Consultant Contract"),$B70&lt;&gt;""),$C70*Thresholds_Rates!$F$16,IF(AND(OR($B$4="Clinical Lecturer / Medical Research Fellow",$B$4="Clinical Consultant - Old Contract (GP)"),$B70&lt;&gt;""),$C70*Thresholds_Rates!$F$16,IF(AND(OR($B$4="APM Level 7",$B$4="R&amp;T Level 7"),E70&lt;&gt;""),$C70*Thresholds_Rates!$F$16,IF(SUMIF(Grades!$A:$A,$B$4,Grades!$BP:$BP)=1,$C70*Thresholds_Rates!$F$16,"")))))))</f>
        <v/>
      </c>
      <c r="G70" s="25" t="str">
        <f ca="1">IF(B70="","",IF(SUMIF(Grades!$A:$A,$B$4,Grades!$BQ:$BQ)=0,"-",IF(AND($B$4="Salary Points 1 to 57",B70&gt;Thresholds_Rates!$C$17),"-",IF(AND($B$4="Salary Points 1 to 57",B70&lt;=Thresholds_Rates!$C$17),$C70*Thresholds_Rates!$F$17,IF(AND(OR($B$4="New Consultant Contract"),$B70&lt;&gt;""),$C70*Thresholds_Rates!$F$17,IF(AND(OR($B$4="Clinical Lecturer / Medical Research Fellow",$B$4="Clinical Consultant - Old Contract (GP)"),$B70&lt;&gt;""),$C70*Thresholds_Rates!$F$17,IF(AND(OR($B$4="APM Level 7",$B$4="R&amp;T Level 7"),F70&lt;&gt;""),$C70*Thresholds_Rates!$F$17,IF(SUMIF(Grades!$A:$A,$B$4,Grades!$BQ:$BQ)=1,$C70*Thresholds_Rates!$F$17,""))))))))</f>
        <v/>
      </c>
      <c r="H70" s="25" t="str">
        <f ca="1">IF($B70="","",ROUND(($C70-(Thresholds_Rates!$C$5*12))*Thresholds_Rates!$C$10,0))</f>
        <v/>
      </c>
      <c r="I70" s="25" t="str">
        <f ca="1">IF(B70="","",(C70*Thresholds_Rates!$C$12))</f>
        <v/>
      </c>
      <c r="J70" s="25" t="str">
        <f ca="1">IF(B70="","",IF(AND($B$4="Salary Points 1 to 57",B70&gt;Thresholds_Rates!$C$17),"-",IF(SUMIF(Grades!$A:$A,$B$4,Grades!$BR:$BR)=0,"-",IF(AND($B$4="Salary Points 1 to 57",B70&lt;=Thresholds_Rates!$C$17),$C70*Thresholds_Rates!$F$18,IF(AND(OR($B$4="New Consultant Contract"),$B70&lt;&gt;""),$C70*Thresholds_Rates!$F$18,IF(AND(OR($B$4="Clinical Lecturer / Medical Research Fellow",$B$4="Clinical Consultant - Old Contract (GP)"),$B70&lt;&gt;""),$C70*Thresholds_Rates!$F$18,IF(AND(OR($B$4="APM Level 7",$B$4="R&amp;T Level 7"),H70&lt;&gt;""),$C70*Thresholds_Rates!$F$18,IF(SUMIF(Grades!$A:$A,$B$4,Grades!$BQ:$BQ)=1,$C70*Thresholds_Rates!$F$18,""))))))))</f>
        <v/>
      </c>
      <c r="K70" s="4"/>
      <c r="L70" s="25" t="str">
        <f t="shared" ca="1" si="1"/>
        <v/>
      </c>
      <c r="M70" s="25" t="str">
        <f t="shared" ca="1" si="2"/>
        <v/>
      </c>
      <c r="N70" s="25" t="str">
        <f t="shared" ca="1" si="3"/>
        <v/>
      </c>
      <c r="O70" s="25" t="str">
        <f t="shared" ca="1" si="4"/>
        <v/>
      </c>
      <c r="P70" s="25" t="str">
        <f t="shared" ca="1" si="5"/>
        <v/>
      </c>
      <c r="R70" s="28" t="str">
        <f ca="1">IF(B70="","",IF($B$4="R&amp;T Level 5 - Clinical Lecturers (Vet School)",SUMIF(Points_Lookup!$M:$M,$B70,Points_Lookup!$N:$N),IF($B$4="R&amp;T Level 6 - Clinical Associate Professors and Clinical Readers (Vet School)",SUMIF(Points_Lookup!$T:$T,$B70,Points_Lookup!$U:$U),"")))</f>
        <v/>
      </c>
      <c r="S70" s="29" t="str">
        <f ca="1">IF(B70="","",IF($B$4="R&amp;T Level 5 - Clinical Lecturers (Vet School)",$C70-SUMIF(Points_Lookup!$M:$M,$B70,Points_Lookup!$O:$O),IF($B$4="R&amp;T Level 6 - Clinical Associate Professors and Clinical Readers (Vet School)",$C70-SUMIF(Points_Lookup!$T:$T,$B70,Points_Lookup!$V:$V),"")))</f>
        <v/>
      </c>
      <c r="T70" s="28" t="str">
        <f ca="1">IF(B70="","",IF($B$4="R&amp;T Level 5 - Clinical Lecturers (Vet School)",SUMIF(Points_Lookup!$M:$M,$B70,Points_Lookup!$Q:$Q),IF($B$4="R&amp;T Level 6 - Clinical Associate Professors and Clinical Readers (Vet School)",SUMIF(Points_Lookup!$T:$T,$B70,Points_Lookup!$X:$X),"")))</f>
        <v/>
      </c>
      <c r="U70" s="29" t="str">
        <f t="shared" ca="1" si="6"/>
        <v/>
      </c>
    </row>
    <row r="71" spans="2:26" x14ac:dyDescent="0.25">
      <c r="B71" s="4" t="str">
        <f ca="1">IFERROR(INDEX(Points_Lookup!$A:$A,MATCH($Z73,Points_Lookup!$AE:$AE,0)),"")</f>
        <v/>
      </c>
      <c r="C71" s="25" t="str">
        <f ca="1">IF(B71="","",IF($B$4="Apprenticeship",SUMIF(Points_Lookup!$AA:$AA,B71,Points_Lookup!$AC:$AC),IF(AND(OR($B$4="New Consultant Contract"),$B71&lt;&gt;""),INDEX(Points_Lookup!$K:$K,MATCH($B71,Points_Lookup!$J:$J,0)),IF(AND(OR($B$4="Clinical Lecturer / Medical Research Fellow",$B$4="Clinical Consultant - Old Contract (GP)"),$B71&lt;&gt;""),INDEX(Points_Lookup!$H:$H,MATCH($B71,Points_Lookup!$G:$G,0)),IF(AND(OR($B$4="APM Level 7",$B$4="R&amp;T Level 7",$B$4="APM Level 8"),B71&lt;&gt;""),INDEX(Points_Lookup!$E:$E,MATCH($Z71,Points_Lookup!$AE:$AE,0)),IF($B$4="R&amp;T Level 5 - Clinical Lecturers (Vet School)",SUMIF(Points_Lookup!$M:$M,$B71,Points_Lookup!$P:$P),IF($B$4="R&amp;T Level 6 - Clinical Associate Professors and Clinical Readers (Vet School)",SUMIF(Points_Lookup!$T:$T,$B71,Points_Lookup!$W:$W),IFERROR(INDEX(Points_Lookup!$B:$B,MATCH($Z71,Points_Lookup!$AE:$AE,0)),""))))))))</f>
        <v/>
      </c>
      <c r="D71" s="36"/>
      <c r="E71" s="25" t="str">
        <f ca="1">IF($B71="","",IF(AND($B$4="Salary Points 3 to 57",B71&lt;Thresholds_Rates!$C$16),"-",IF(SUMIF(Grades!$A:$A,$B$4,Grades!$BO:$BO)=0,"-",IF(AND($B$4="Salary Points 3 to 57",B71&gt;=Thresholds_Rates!$C$16),$C71*Thresholds_Rates!$F$15,IF(AND(OR($B$4="New Consultant Contract"),$B71&lt;&gt;""),$C71*Thresholds_Rates!$F$15,IF(AND(OR($B$4="Clinical Lecturer / Medical Research Fellow",$B$4="Clinical Consultant - Old Contract (GP)"),$B71&lt;&gt;""),$C71*Thresholds_Rates!$F$15,IF(OR($B$4="APM Level 7",$B$4="R&amp;T Level 7"),$C71*Thresholds_Rates!$F$15,IF(SUMIF(Grades!$A:$A,$B$4,Grades!$BO:$BO)=1,$C71*Thresholds_Rates!$F$15,""))))))))</f>
        <v/>
      </c>
      <c r="F71" s="25" t="str">
        <f ca="1">IF(B71="","",IF($B$4="Salary Points 1 to 57","-",IF(SUMIF(Grades!$A:$A,$B$4,Grades!$BP:$BP)=0,"-",IF(AND(OR($B$4="New Consultant Contract"),$B71&lt;&gt;""),$C71*Thresholds_Rates!$F$16,IF(AND(OR($B$4="Clinical Lecturer / Medical Research Fellow",$B$4="Clinical Consultant - Old Contract (GP)"),$B71&lt;&gt;""),$C71*Thresholds_Rates!$F$16,IF(AND(OR($B$4="APM Level 7",$B$4="R&amp;T Level 7"),E71&lt;&gt;""),$C71*Thresholds_Rates!$F$16,IF(SUMIF(Grades!$A:$A,$B$4,Grades!$BP:$BP)=1,$C71*Thresholds_Rates!$F$16,"")))))))</f>
        <v/>
      </c>
      <c r="G71" s="25" t="str">
        <f ca="1">IF(B71="","",IF(SUMIF(Grades!$A:$A,$B$4,Grades!$BQ:$BQ)=0,"-",IF(AND($B$4="Salary Points 1 to 57",B71&gt;Thresholds_Rates!$C$17),"-",IF(AND($B$4="Salary Points 1 to 57",B71&lt;=Thresholds_Rates!$C$17),$C71*Thresholds_Rates!$F$17,IF(AND(OR($B$4="New Consultant Contract"),$B71&lt;&gt;""),$C71*Thresholds_Rates!$F$17,IF(AND(OR($B$4="Clinical Lecturer / Medical Research Fellow",$B$4="Clinical Consultant - Old Contract (GP)"),$B71&lt;&gt;""),$C71*Thresholds_Rates!$F$17,IF(AND(OR($B$4="APM Level 7",$B$4="R&amp;T Level 7"),F71&lt;&gt;""),$C71*Thresholds_Rates!$F$17,IF(SUMIF(Grades!$A:$A,$B$4,Grades!$BQ:$BQ)=1,$C71*Thresholds_Rates!$F$17,""))))))))</f>
        <v/>
      </c>
      <c r="H71" s="25" t="str">
        <f ca="1">IF($B71="","",ROUND(($C71-(Thresholds_Rates!$C$5*12))*Thresholds_Rates!$C$10,0))</f>
        <v/>
      </c>
      <c r="I71" s="25" t="str">
        <f ca="1">IF(B71="","",(C71*Thresholds_Rates!$C$12))</f>
        <v/>
      </c>
      <c r="J71" s="25" t="str">
        <f ca="1">IF(B71="","",IF(AND($B$4="Salary Points 1 to 57",B71&gt;Thresholds_Rates!$C$17),"-",IF(SUMIF(Grades!$A:$A,$B$4,Grades!$BR:$BR)=0,"-",IF(AND($B$4="Salary Points 1 to 57",B71&lt;=Thresholds_Rates!$C$17),$C71*Thresholds_Rates!$F$18,IF(AND(OR($B$4="New Consultant Contract"),$B71&lt;&gt;""),$C71*Thresholds_Rates!$F$18,IF(AND(OR($B$4="Clinical Lecturer / Medical Research Fellow",$B$4="Clinical Consultant - Old Contract (GP)"),$B71&lt;&gt;""),$C71*Thresholds_Rates!$F$18,IF(AND(OR($B$4="APM Level 7",$B$4="R&amp;T Level 7"),H71&lt;&gt;""),$C71*Thresholds_Rates!$F$18,IF(SUMIF(Grades!$A:$A,$B$4,Grades!$BQ:$BQ)=1,$C71*Thresholds_Rates!$F$18,""))))))))</f>
        <v/>
      </c>
      <c r="K71" s="4"/>
      <c r="L71" s="25" t="str">
        <f t="shared" ca="1" si="1"/>
        <v/>
      </c>
      <c r="M71" s="25" t="str">
        <f t="shared" ca="1" si="2"/>
        <v/>
      </c>
      <c r="N71" s="25" t="str">
        <f t="shared" ca="1" si="3"/>
        <v/>
      </c>
      <c r="O71" s="25" t="str">
        <f t="shared" ca="1" si="4"/>
        <v/>
      </c>
      <c r="P71" s="25" t="str">
        <f t="shared" ca="1" si="5"/>
        <v/>
      </c>
      <c r="R71" s="28" t="str">
        <f ca="1">IF(B71="","",IF($B$4="R&amp;T Level 5 - Clinical Lecturers (Vet School)",SUMIF(Points_Lookup!$M:$M,$B71,Points_Lookup!$N:$N),IF($B$4="R&amp;T Level 6 - Clinical Associate Professors and Clinical Readers (Vet School)",SUMIF(Points_Lookup!$T:$T,$B71,Points_Lookup!$U:$U),"")))</f>
        <v/>
      </c>
      <c r="S71" s="29" t="str">
        <f ca="1">IF(B71="","",IF($B$4="R&amp;T Level 5 - Clinical Lecturers (Vet School)",$C71-SUMIF(Points_Lookup!$M:$M,$B71,Points_Lookup!$O:$O),IF($B$4="R&amp;T Level 6 - Clinical Associate Professors and Clinical Readers (Vet School)",$C71-SUMIF(Points_Lookup!$T:$T,$B71,Points_Lookup!$V:$V),"")))</f>
        <v/>
      </c>
      <c r="T71" s="28" t="str">
        <f ca="1">IF(B71="","",IF($B$4="R&amp;T Level 5 - Clinical Lecturers (Vet School)",SUMIF(Points_Lookup!$M:$M,$B71,Points_Lookup!$Q:$Q),IF($B$4="R&amp;T Level 6 - Clinical Associate Professors and Clinical Readers (Vet School)",SUMIF(Points_Lookup!$T:$T,$B71,Points_Lookup!$X:$X),"")))</f>
        <v/>
      </c>
      <c r="U71" s="29" t="str">
        <f t="shared" ca="1" si="6"/>
        <v/>
      </c>
    </row>
    <row r="72" spans="2:26" x14ac:dyDescent="0.25">
      <c r="B72" s="4" t="str">
        <f ca="1">IFERROR(INDEX(Points_Lookup!$A:$A,MATCH($Z74,Points_Lookup!$AE:$AE,0)),"")</f>
        <v/>
      </c>
      <c r="C72" s="25" t="str">
        <f ca="1">IF(B72="","",IF($B$4="Apprenticeship",SUMIF(Points_Lookup!$AA:$AA,B72,Points_Lookup!$AC:$AC),IF(AND(OR($B$4="New Consultant Contract"),$B72&lt;&gt;""),INDEX(Points_Lookup!$K:$K,MATCH($B72,Points_Lookup!$J:$J,0)),IF(AND(OR($B$4="Clinical Lecturer / Medical Research Fellow",$B$4="Clinical Consultant - Old Contract (GP)"),$B72&lt;&gt;""),INDEX(Points_Lookup!$H:$H,MATCH($B72,Points_Lookup!$G:$G,0)),IF(AND(OR($B$4="APM Level 7",$B$4="R&amp;T Level 7",$B$4="APM Level 8"),B72&lt;&gt;""),INDEX(Points_Lookup!$E:$E,MATCH($Z72,Points_Lookup!$AE:$AE,0)),IF($B$4="R&amp;T Level 5 - Clinical Lecturers (Vet School)",SUMIF(Points_Lookup!$M:$M,$B72,Points_Lookup!$P:$P),IF($B$4="R&amp;T Level 6 - Clinical Associate Professors and Clinical Readers (Vet School)",SUMIF(Points_Lookup!$T:$T,$B72,Points_Lookup!$W:$W),IFERROR(INDEX(Points_Lookup!$B:$B,MATCH($Z72,Points_Lookup!$AE:$AE,0)),""))))))))</f>
        <v/>
      </c>
      <c r="D72" s="36"/>
      <c r="E72" s="25" t="str">
        <f ca="1">IF($B72="","",IF(AND($B$4="Salary Points 3 to 57",B72&lt;Thresholds_Rates!$C$16),"-",IF(SUMIF(Grades!$A:$A,$B$4,Grades!$BO:$BO)=0,"-",IF(AND($B$4="Salary Points 3 to 57",B72&gt;=Thresholds_Rates!$C$16),$C72*Thresholds_Rates!$F$15,IF(AND(OR($B$4="New Consultant Contract"),$B72&lt;&gt;""),$C72*Thresholds_Rates!$F$15,IF(AND(OR($B$4="Clinical Lecturer / Medical Research Fellow",$B$4="Clinical Consultant - Old Contract (GP)"),$B72&lt;&gt;""),$C72*Thresholds_Rates!$F$15,IF(OR($B$4="APM Level 7",$B$4="R&amp;T Level 7"),$C72*Thresholds_Rates!$F$15,IF(SUMIF(Grades!$A:$A,$B$4,Grades!$BO:$BO)=1,$C72*Thresholds_Rates!$F$15,""))))))))</f>
        <v/>
      </c>
      <c r="F72" s="25" t="str">
        <f ca="1">IF(B72="","",IF($B$4="Salary Points 1 to 57","-",IF(SUMIF(Grades!$A:$A,$B$4,Grades!$BP:$BP)=0,"-",IF(AND(OR($B$4="New Consultant Contract"),$B72&lt;&gt;""),$C72*Thresholds_Rates!$F$16,IF(AND(OR($B$4="Clinical Lecturer / Medical Research Fellow",$B$4="Clinical Consultant - Old Contract (GP)"),$B72&lt;&gt;""),$C72*Thresholds_Rates!$F$16,IF(AND(OR($B$4="APM Level 7",$B$4="R&amp;T Level 7"),E72&lt;&gt;""),$C72*Thresholds_Rates!$F$16,IF(SUMIF(Grades!$A:$A,$B$4,Grades!$BP:$BP)=1,$C72*Thresholds_Rates!$F$16,"")))))))</f>
        <v/>
      </c>
      <c r="G72" s="25" t="str">
        <f ca="1">IF(B72="","",IF(SUMIF(Grades!$A:$A,$B$4,Grades!$BQ:$BQ)=0,"-",IF(AND($B$4="Salary Points 1 to 57",B72&gt;Thresholds_Rates!$C$17),"-",IF(AND($B$4="Salary Points 1 to 57",B72&lt;=Thresholds_Rates!$C$17),$C72*Thresholds_Rates!$F$17,IF(AND(OR($B$4="New Consultant Contract"),$B72&lt;&gt;""),$C72*Thresholds_Rates!$F$17,IF(AND(OR($B$4="Clinical Lecturer / Medical Research Fellow",$B$4="Clinical Consultant - Old Contract (GP)"),$B72&lt;&gt;""),$C72*Thresholds_Rates!$F$17,IF(AND(OR($B$4="APM Level 7",$B$4="R&amp;T Level 7"),F72&lt;&gt;""),$C72*Thresholds_Rates!$F$17,IF(SUMIF(Grades!$A:$A,$B$4,Grades!$BQ:$BQ)=1,$C72*Thresholds_Rates!$F$17,""))))))))</f>
        <v/>
      </c>
      <c r="H72" s="25" t="str">
        <f ca="1">IF($B72="","",ROUND(($C72-(Thresholds_Rates!$C$5*12))*Thresholds_Rates!$C$10,0))</f>
        <v/>
      </c>
      <c r="I72" s="25" t="str">
        <f ca="1">IF(B72="","",(C72*Thresholds_Rates!$C$12))</f>
        <v/>
      </c>
      <c r="J72" s="25" t="str">
        <f ca="1">IF(B72="","",IF(AND($B$4="Salary Points 1 to 57",B72&gt;Thresholds_Rates!$C$17),"-",IF(SUMIF(Grades!$A:$A,$B$4,Grades!$BR:$BR)=0,"-",IF(AND($B$4="Salary Points 1 to 57",B72&lt;=Thresholds_Rates!$C$17),$C72*Thresholds_Rates!$F$18,IF(AND(OR($B$4="New Consultant Contract"),$B72&lt;&gt;""),$C72*Thresholds_Rates!$F$18,IF(AND(OR($B$4="Clinical Lecturer / Medical Research Fellow",$B$4="Clinical Consultant - Old Contract (GP)"),$B72&lt;&gt;""),$C72*Thresholds_Rates!$F$18,IF(AND(OR($B$4="APM Level 7",$B$4="R&amp;T Level 7"),H72&lt;&gt;""),$C72*Thresholds_Rates!$F$18,IF(SUMIF(Grades!$A:$A,$B$4,Grades!$BQ:$BQ)=1,$C72*Thresholds_Rates!$F$18,""))))))))</f>
        <v/>
      </c>
      <c r="K72" s="4"/>
      <c r="L72" s="25" t="str">
        <f t="shared" ca="1" si="1"/>
        <v/>
      </c>
      <c r="M72" s="25" t="str">
        <f t="shared" ca="1" si="2"/>
        <v/>
      </c>
      <c r="N72" s="25" t="str">
        <f t="shared" ca="1" si="3"/>
        <v/>
      </c>
      <c r="O72" s="25" t="str">
        <f t="shared" ca="1" si="4"/>
        <v/>
      </c>
      <c r="P72" s="25" t="str">
        <f t="shared" ca="1" si="5"/>
        <v/>
      </c>
      <c r="R72" s="28" t="str">
        <f ca="1">IF(B72="","",IF($B$4="R&amp;T Level 5 - Clinical Lecturers (Vet School)",SUMIF(Points_Lookup!$M:$M,$B72,Points_Lookup!$N:$N),IF($B$4="R&amp;T Level 6 - Clinical Associate Professors and Clinical Readers (Vet School)",SUMIF(Points_Lookup!$T:$T,$B72,Points_Lookup!$U:$U),"")))</f>
        <v/>
      </c>
      <c r="S72" s="29" t="str">
        <f ca="1">IF(B72="","",IF($B$4="R&amp;T Level 5 - Clinical Lecturers (Vet School)",$C72-SUMIF(Points_Lookup!$M:$M,$B72,Points_Lookup!$O:$O),IF($B$4="R&amp;T Level 6 - Clinical Associate Professors and Clinical Readers (Vet School)",$C72-SUMIF(Points_Lookup!$T:$T,$B72,Points_Lookup!$V:$V),"")))</f>
        <v/>
      </c>
      <c r="T72" s="28" t="str">
        <f ca="1">IF(B72="","",IF($B$4="R&amp;T Level 5 - Clinical Lecturers (Vet School)",SUMIF(Points_Lookup!$M:$M,$B72,Points_Lookup!$Q:$Q),IF($B$4="R&amp;T Level 6 - Clinical Associate Professors and Clinical Readers (Vet School)",SUMIF(Points_Lookup!$T:$T,$B72,Points_Lookup!$X:$X),"")))</f>
        <v/>
      </c>
      <c r="U72" s="29" t="str">
        <f t="shared" ca="1" si="6"/>
        <v/>
      </c>
    </row>
    <row r="73" spans="2:26" x14ac:dyDescent="0.25">
      <c r="B73" s="4" t="str">
        <f ca="1">IFERROR(INDEX(Points_Lookup!$A:$A,MATCH($Z75,Points_Lookup!$AE:$AE,0)),"")</f>
        <v/>
      </c>
      <c r="C73" s="25" t="str">
        <f ca="1">IF(B73="","",IF($B$4="Apprenticeship",SUMIF(Points_Lookup!$AA:$AA,B73,Points_Lookup!$AC:$AC),IF(AND(OR($B$4="New Consultant Contract"),$B73&lt;&gt;""),INDEX(Points_Lookup!$K:$K,MATCH($B73,Points_Lookup!$J:$J,0)),IF(AND(OR($B$4="Clinical Lecturer / Medical Research Fellow",$B$4="Clinical Consultant - Old Contract (GP)"),$B73&lt;&gt;""),INDEX(Points_Lookup!$H:$H,MATCH($B73,Points_Lookup!$G:$G,0)),IF(AND(OR($B$4="APM Level 7",$B$4="R&amp;T Level 7",$B$4="APM Level 8"),B73&lt;&gt;""),INDEX(Points_Lookup!$E:$E,MATCH($Z73,Points_Lookup!$AE:$AE,0)),IF($B$4="R&amp;T Level 5 - Clinical Lecturers (Vet School)",SUMIF(Points_Lookup!$M:$M,$B73,Points_Lookup!$P:$P),IF($B$4="R&amp;T Level 6 - Clinical Associate Professors and Clinical Readers (Vet School)",SUMIF(Points_Lookup!$T:$T,$B73,Points_Lookup!$W:$W),IFERROR(INDEX(Points_Lookup!$B:$B,MATCH($Z73,Points_Lookup!$AE:$AE,0)),""))))))))</f>
        <v/>
      </c>
      <c r="D73" s="36"/>
      <c r="E73" s="25" t="str">
        <f ca="1">IF($B73="","",IF(AND($B$4="Salary Points 3 to 57",B73&lt;Thresholds_Rates!$C$16),"-",IF(SUMIF(Grades!$A:$A,$B$4,Grades!$BO:$BO)=0,"-",IF(AND($B$4="Salary Points 3 to 57",B73&gt;=Thresholds_Rates!$C$16),$C73*Thresholds_Rates!$F$15,IF(AND(OR($B$4="New Consultant Contract"),$B73&lt;&gt;""),$C73*Thresholds_Rates!$F$15,IF(AND(OR($B$4="Clinical Lecturer / Medical Research Fellow",$B$4="Clinical Consultant - Old Contract (GP)"),$B73&lt;&gt;""),$C73*Thresholds_Rates!$F$15,IF(OR($B$4="APM Level 7",$B$4="R&amp;T Level 7"),$C73*Thresholds_Rates!$F$15,IF(SUMIF(Grades!$A:$A,$B$4,Grades!$BO:$BO)=1,$C73*Thresholds_Rates!$F$15,""))))))))</f>
        <v/>
      </c>
      <c r="F73" s="25" t="str">
        <f ca="1">IF(B73="","",IF($B$4="Salary Points 1 to 57","-",IF(SUMIF(Grades!$A:$A,$B$4,Grades!$BP:$BP)=0,"-",IF(AND(OR($B$4="New Consultant Contract"),$B73&lt;&gt;""),$C73*Thresholds_Rates!$F$16,IF(AND(OR($B$4="Clinical Lecturer / Medical Research Fellow",$B$4="Clinical Consultant - Old Contract (GP)"),$B73&lt;&gt;""),$C73*Thresholds_Rates!$F$16,IF(AND(OR($B$4="APM Level 7",$B$4="R&amp;T Level 7"),E73&lt;&gt;""),$C73*Thresholds_Rates!$F$16,IF(SUMIF(Grades!$A:$A,$B$4,Grades!$BP:$BP)=1,$C73*Thresholds_Rates!$F$16,"")))))))</f>
        <v/>
      </c>
      <c r="G73" s="25" t="str">
        <f ca="1">IF(B73="","",IF(SUMIF(Grades!$A:$A,$B$4,Grades!$BQ:$BQ)=0,"-",IF(AND($B$4="Salary Points 1 to 57",B73&gt;Thresholds_Rates!$C$17),"-",IF(AND($B$4="Salary Points 1 to 57",B73&lt;=Thresholds_Rates!$C$17),$C73*Thresholds_Rates!$F$17,IF(AND(OR($B$4="New Consultant Contract"),$B73&lt;&gt;""),$C73*Thresholds_Rates!$F$17,IF(AND(OR($B$4="Clinical Lecturer / Medical Research Fellow",$B$4="Clinical Consultant - Old Contract (GP)"),$B73&lt;&gt;""),$C73*Thresholds_Rates!$F$17,IF(AND(OR($B$4="APM Level 7",$B$4="R&amp;T Level 7"),F73&lt;&gt;""),$C73*Thresholds_Rates!$F$17,IF(SUMIF(Grades!$A:$A,$B$4,Grades!$BQ:$BQ)=1,$C73*Thresholds_Rates!$F$17,""))))))))</f>
        <v/>
      </c>
      <c r="H73" s="25" t="str">
        <f ca="1">IF($B73="","",ROUND(($C73-(Thresholds_Rates!$C$5*12))*Thresholds_Rates!$C$10,0))</f>
        <v/>
      </c>
      <c r="I73" s="25" t="str">
        <f ca="1">IF(B73="","",(C73*Thresholds_Rates!$C$12))</f>
        <v/>
      </c>
      <c r="J73" s="25" t="str">
        <f ca="1">IF(B73="","",IF(AND($B$4="Salary Points 1 to 57",B73&gt;Thresholds_Rates!$C$17),"-",IF(SUMIF(Grades!$A:$A,$B$4,Grades!$BR:$BR)=0,"-",IF(AND($B$4="Salary Points 1 to 57",B73&lt;=Thresholds_Rates!$C$17),$C73*Thresholds_Rates!$F$18,IF(AND(OR($B$4="New Consultant Contract"),$B73&lt;&gt;""),$C73*Thresholds_Rates!$F$18,IF(AND(OR($B$4="Clinical Lecturer / Medical Research Fellow",$B$4="Clinical Consultant - Old Contract (GP)"),$B73&lt;&gt;""),$C73*Thresholds_Rates!$F$18,IF(AND(OR($B$4="APM Level 7",$B$4="R&amp;T Level 7"),H73&lt;&gt;""),$C73*Thresholds_Rates!$F$18,IF(SUMIF(Grades!$A:$A,$B$4,Grades!$BQ:$BQ)=1,$C73*Thresholds_Rates!$F$18,""))))))))</f>
        <v/>
      </c>
      <c r="K73" s="4"/>
      <c r="L73" s="25" t="str">
        <f t="shared" ca="1" si="1"/>
        <v/>
      </c>
      <c r="M73" s="25" t="str">
        <f t="shared" ca="1" si="2"/>
        <v/>
      </c>
      <c r="N73" s="25" t="str">
        <f t="shared" ca="1" si="3"/>
        <v/>
      </c>
      <c r="O73" s="25" t="str">
        <f t="shared" ca="1" si="4"/>
        <v/>
      </c>
      <c r="P73" s="25" t="str">
        <f t="shared" ca="1" si="5"/>
        <v/>
      </c>
      <c r="R73" s="28" t="str">
        <f ca="1">IF(B73="","",IF($B$4="R&amp;T Level 5 - Clinical Lecturers (Vet School)",SUMIF(Points_Lookup!$M:$M,$B73,Points_Lookup!$N:$N),IF($B$4="R&amp;T Level 6 - Clinical Associate Professors and Clinical Readers (Vet School)",SUMIF(Points_Lookup!$T:$T,$B73,Points_Lookup!$U:$U),"")))</f>
        <v/>
      </c>
      <c r="S73" s="29" t="str">
        <f ca="1">IF(B73="","",IF($B$4="R&amp;T Level 5 - Clinical Lecturers (Vet School)",$C73-SUMIF(Points_Lookup!$M:$M,$B73,Points_Lookup!$O:$O),IF($B$4="R&amp;T Level 6 - Clinical Associate Professors and Clinical Readers (Vet School)",$C73-SUMIF(Points_Lookup!$T:$T,$B73,Points_Lookup!$V:$V),"")))</f>
        <v/>
      </c>
      <c r="T73" s="28" t="str">
        <f ca="1">IF(B73="","",IF($B$4="R&amp;T Level 5 - Clinical Lecturers (Vet School)",SUMIF(Points_Lookup!$M:$M,$B73,Points_Lookup!$Q:$Q),IF($B$4="R&amp;T Level 6 - Clinical Associate Professors and Clinical Readers (Vet School)",SUMIF(Points_Lookup!$T:$T,$B73,Points_Lookup!$X:$X),"")))</f>
        <v/>
      </c>
      <c r="U73" s="29" t="str">
        <f t="shared" ref="U73:U103" ca="1" si="7">IF(B73="","",IF($B$4="R&amp;T Level 5 - Clinical Lecturers (Vet School)",ROUND(C73*T73,0),IF($B$4="R&amp;T Level 6 - Clinical Associate Professors and Clinical Readers (Vet School)",ROUND(C73*T73,0),"")))</f>
        <v/>
      </c>
    </row>
    <row r="74" spans="2:26" x14ac:dyDescent="0.25">
      <c r="B74" s="4" t="str">
        <f ca="1">IFERROR(INDEX(Points_Lookup!$A:$A,MATCH($Z76,Points_Lookup!$AE:$AE,0)),"")</f>
        <v/>
      </c>
      <c r="C74" s="25" t="str">
        <f ca="1">IF(B74="","",IF($B$4="Apprenticeship",SUMIF(Points_Lookup!$AA:$AA,B74,Points_Lookup!$AC:$AC),IF(AND(OR($B$4="New Consultant Contract"),$B74&lt;&gt;""),INDEX(Points_Lookup!$K:$K,MATCH($B74,Points_Lookup!$J:$J,0)),IF(AND(OR($B$4="Clinical Lecturer / Medical Research Fellow",$B$4="Clinical Consultant - Old Contract (GP)"),$B74&lt;&gt;""),INDEX(Points_Lookup!$H:$H,MATCH($B74,Points_Lookup!$G:$G,0)),IF(AND(OR($B$4="APM Level 7",$B$4="R&amp;T Level 7",$B$4="APM Level 8"),B74&lt;&gt;""),INDEX(Points_Lookup!$E:$E,MATCH($Z74,Points_Lookup!$AE:$AE,0)),IF($B$4="R&amp;T Level 5 - Clinical Lecturers (Vet School)",SUMIF(Points_Lookup!$M:$M,$B74,Points_Lookup!$P:$P),IF($B$4="R&amp;T Level 6 - Clinical Associate Professors and Clinical Readers (Vet School)",SUMIF(Points_Lookup!$T:$T,$B74,Points_Lookup!$W:$W),IFERROR(INDEX(Points_Lookup!$B:$B,MATCH($Z74,Points_Lookup!$AE:$AE,0)),""))))))))</f>
        <v/>
      </c>
      <c r="D74" s="36"/>
      <c r="E74" s="25" t="str">
        <f ca="1">IF($B74="","",IF(AND($B$4="Salary Points 3 to 57",B74&lt;Thresholds_Rates!$C$16),"-",IF(SUMIF(Grades!$A:$A,$B$4,Grades!$BO:$BO)=0,"-",IF(AND($B$4="Salary Points 3 to 57",B74&gt;=Thresholds_Rates!$C$16),$C74*Thresholds_Rates!$F$15,IF(AND(OR($B$4="New Consultant Contract"),$B74&lt;&gt;""),$C74*Thresholds_Rates!$F$15,IF(AND(OR($B$4="Clinical Lecturer / Medical Research Fellow",$B$4="Clinical Consultant - Old Contract (GP)"),$B74&lt;&gt;""),$C74*Thresholds_Rates!$F$15,IF(OR($B$4="APM Level 7",$B$4="R&amp;T Level 7"),$C74*Thresholds_Rates!$F$15,IF(SUMIF(Grades!$A:$A,$B$4,Grades!$BO:$BO)=1,$C74*Thresholds_Rates!$F$15,""))))))))</f>
        <v/>
      </c>
      <c r="F74" s="25" t="str">
        <f ca="1">IF(B74="","",IF($B$4="Salary Points 1 to 57","-",IF(SUMIF(Grades!$A:$A,$B$4,Grades!$BP:$BP)=0,"-",IF(AND(OR($B$4="New Consultant Contract"),$B74&lt;&gt;""),$C74*Thresholds_Rates!$F$16,IF(AND(OR($B$4="Clinical Lecturer / Medical Research Fellow",$B$4="Clinical Consultant - Old Contract (GP)"),$B74&lt;&gt;""),$C74*Thresholds_Rates!$F$16,IF(AND(OR($B$4="APM Level 7",$B$4="R&amp;T Level 7"),E74&lt;&gt;""),$C74*Thresholds_Rates!$F$16,IF(SUMIF(Grades!$A:$A,$B$4,Grades!$BP:$BP)=1,$C74*Thresholds_Rates!$F$16,"")))))))</f>
        <v/>
      </c>
      <c r="G74" s="25" t="str">
        <f ca="1">IF(B74="","",IF(SUMIF(Grades!$A:$A,$B$4,Grades!$BQ:$BQ)=0,"-",IF(AND($B$4="Salary Points 1 to 57",B74&gt;Thresholds_Rates!$C$17),"-",IF(AND($B$4="Salary Points 1 to 57",B74&lt;=Thresholds_Rates!$C$17),$C74*Thresholds_Rates!$F$17,IF(AND(OR($B$4="New Consultant Contract"),$B74&lt;&gt;""),$C74*Thresholds_Rates!$F$17,IF(AND(OR($B$4="Clinical Lecturer / Medical Research Fellow",$B$4="Clinical Consultant - Old Contract (GP)"),$B74&lt;&gt;""),$C74*Thresholds_Rates!$F$17,IF(AND(OR($B$4="APM Level 7",$B$4="R&amp;T Level 7"),F74&lt;&gt;""),$C74*Thresholds_Rates!$F$17,IF(SUMIF(Grades!$A:$A,$B$4,Grades!$BQ:$BQ)=1,$C74*Thresholds_Rates!$F$17,""))))))))</f>
        <v/>
      </c>
      <c r="H74" s="25" t="str">
        <f ca="1">IF($B74="","",ROUND(($C74-(Thresholds_Rates!$C$5*12))*Thresholds_Rates!$C$10,0))</f>
        <v/>
      </c>
      <c r="I74" s="25" t="str">
        <f ca="1">IF(B74="","",(C74*Thresholds_Rates!$C$12))</f>
        <v/>
      </c>
      <c r="J74" s="25" t="str">
        <f ca="1">IF(B74="","",IF(AND($B$4="Salary Points 1 to 57",B74&gt;Thresholds_Rates!$C$17),"-",IF(SUMIF(Grades!$A:$A,$B$4,Grades!$BR:$BR)=0,"-",IF(AND($B$4="Salary Points 1 to 57",B74&lt;=Thresholds_Rates!$C$17),$C74*Thresholds_Rates!$F$18,IF(AND(OR($B$4="New Consultant Contract"),$B74&lt;&gt;""),$C74*Thresholds_Rates!$F$18,IF(AND(OR($B$4="Clinical Lecturer / Medical Research Fellow",$B$4="Clinical Consultant - Old Contract (GP)"),$B74&lt;&gt;""),$C74*Thresholds_Rates!$F$18,IF(AND(OR($B$4="APM Level 7",$B$4="R&amp;T Level 7"),H74&lt;&gt;""),$C74*Thresholds_Rates!$F$18,IF(SUMIF(Grades!$A:$A,$B$4,Grades!$BQ:$BQ)=1,$C74*Thresholds_Rates!$F$18,""))))))))</f>
        <v/>
      </c>
      <c r="K74" s="4"/>
      <c r="L74" s="25" t="str">
        <f t="shared" ref="L74:L137" ca="1" si="8">IF(B74="","",IF(E74="-","-",$C74+$H74+E74+I74))</f>
        <v/>
      </c>
      <c r="M74" s="25" t="str">
        <f t="shared" ref="M74:M137" ca="1" si="9">IF(B74="","",IF(F74="-","-",$C74+$H74+F74+I74))</f>
        <v/>
      </c>
      <c r="N74" s="25" t="str">
        <f t="shared" ref="N74:N137" ca="1" si="10">IF(B74="","",IF(G74="-","-",$C74+$H74+G74+I74))</f>
        <v/>
      </c>
      <c r="O74" s="25" t="str">
        <f t="shared" ref="O74:O137" ca="1" si="11">IF(B74="","",IF(J74="-","-",$C74+$H74+J74+I74))</f>
        <v/>
      </c>
      <c r="P74" s="25" t="str">
        <f t="shared" ref="P74:P137" ca="1" si="12">IF(B74="","",C74+H74+I74)</f>
        <v/>
      </c>
      <c r="R74" s="28" t="str">
        <f ca="1">IF(B74="","",IF($B$4="R&amp;T Level 5 - Clinical Lecturers (Vet School)",SUMIF(Points_Lookup!$M:$M,$B74,Points_Lookup!$N:$N),IF($B$4="R&amp;T Level 6 - Clinical Associate Professors and Clinical Readers (Vet School)",SUMIF(Points_Lookup!$T:$T,$B74,Points_Lookup!$U:$U),"")))</f>
        <v/>
      </c>
      <c r="S74" s="29" t="str">
        <f ca="1">IF(B74="","",IF($B$4="R&amp;T Level 5 - Clinical Lecturers (Vet School)",$C74-SUMIF(Points_Lookup!$M:$M,$B74,Points_Lookup!$O:$O),IF($B$4="R&amp;T Level 6 - Clinical Associate Professors and Clinical Readers (Vet School)",$C74-SUMIF(Points_Lookup!$T:$T,$B74,Points_Lookup!$V:$V),"")))</f>
        <v/>
      </c>
      <c r="T74" s="28" t="str">
        <f ca="1">IF(B74="","",IF($B$4="R&amp;T Level 5 - Clinical Lecturers (Vet School)",SUMIF(Points_Lookup!$M:$M,$B74,Points_Lookup!$Q:$Q),IF($B$4="R&amp;T Level 6 - Clinical Associate Professors and Clinical Readers (Vet School)",SUMIF(Points_Lookup!$T:$T,$B74,Points_Lookup!$X:$X),"")))</f>
        <v/>
      </c>
      <c r="U74" s="29" t="str">
        <f t="shared" ca="1" si="7"/>
        <v/>
      </c>
    </row>
    <row r="75" spans="2:26" x14ac:dyDescent="0.25">
      <c r="B75" s="4" t="str">
        <f ca="1">IFERROR(INDEX(Points_Lookup!$A:$A,MATCH($Z77,Points_Lookup!$AE:$AE,0)),"")</f>
        <v/>
      </c>
      <c r="C75" s="25" t="str">
        <f ca="1">IF(B75="","",IF($B$4="Apprenticeship",SUMIF(Points_Lookup!$AA:$AA,B75,Points_Lookup!$AC:$AC),IF(AND(OR($B$4="New Consultant Contract"),$B75&lt;&gt;""),INDEX(Points_Lookup!$K:$K,MATCH($B75,Points_Lookup!$J:$J,0)),IF(AND(OR($B$4="Clinical Lecturer / Medical Research Fellow",$B$4="Clinical Consultant - Old Contract (GP)"),$B75&lt;&gt;""),INDEX(Points_Lookup!$H:$H,MATCH($B75,Points_Lookup!$G:$G,0)),IF(AND(OR($B$4="APM Level 7",$B$4="R&amp;T Level 7",$B$4="APM Level 8"),B75&lt;&gt;""),INDEX(Points_Lookup!$E:$E,MATCH($Z75,Points_Lookup!$AE:$AE,0)),IF($B$4="R&amp;T Level 5 - Clinical Lecturers (Vet School)",SUMIF(Points_Lookup!$M:$M,$B75,Points_Lookup!$P:$P),IF($B$4="R&amp;T Level 6 - Clinical Associate Professors and Clinical Readers (Vet School)",SUMIF(Points_Lookup!$T:$T,$B75,Points_Lookup!$W:$W),IFERROR(INDEX(Points_Lookup!$B:$B,MATCH($Z75,Points_Lookup!$AE:$AE,0)),""))))))))</f>
        <v/>
      </c>
      <c r="D75" s="36"/>
      <c r="E75" s="25" t="str">
        <f ca="1">IF($B75="","",IF(AND($B$4="Salary Points 3 to 57",B75&lt;Thresholds_Rates!$C$16),"-",IF(SUMIF(Grades!$A:$A,$B$4,Grades!$BO:$BO)=0,"-",IF(AND($B$4="Salary Points 3 to 57",B75&gt;=Thresholds_Rates!$C$16),$C75*Thresholds_Rates!$F$15,IF(AND(OR($B$4="New Consultant Contract"),$B75&lt;&gt;""),$C75*Thresholds_Rates!$F$15,IF(AND(OR($B$4="Clinical Lecturer / Medical Research Fellow",$B$4="Clinical Consultant - Old Contract (GP)"),$B75&lt;&gt;""),$C75*Thresholds_Rates!$F$15,IF(OR($B$4="APM Level 7",$B$4="R&amp;T Level 7"),$C75*Thresholds_Rates!$F$15,IF(SUMIF(Grades!$A:$A,$B$4,Grades!$BO:$BO)=1,$C75*Thresholds_Rates!$F$15,""))))))))</f>
        <v/>
      </c>
      <c r="F75" s="25" t="str">
        <f ca="1">IF(B75="","",IF($B$4="Salary Points 1 to 57","-",IF(SUMIF(Grades!$A:$A,$B$4,Grades!$BP:$BP)=0,"-",IF(AND(OR($B$4="New Consultant Contract"),$B75&lt;&gt;""),$C75*Thresholds_Rates!$F$16,IF(AND(OR($B$4="Clinical Lecturer / Medical Research Fellow",$B$4="Clinical Consultant - Old Contract (GP)"),$B75&lt;&gt;""),$C75*Thresholds_Rates!$F$16,IF(AND(OR($B$4="APM Level 7",$B$4="R&amp;T Level 7"),E75&lt;&gt;""),$C75*Thresholds_Rates!$F$16,IF(SUMIF(Grades!$A:$A,$B$4,Grades!$BP:$BP)=1,$C75*Thresholds_Rates!$F$16,"")))))))</f>
        <v/>
      </c>
      <c r="G75" s="25" t="str">
        <f ca="1">IF(B75="","",IF(SUMIF(Grades!$A:$A,$B$4,Grades!$BQ:$BQ)=0,"-",IF(AND($B$4="Salary Points 1 to 57",B75&gt;Thresholds_Rates!$C$17),"-",IF(AND($B$4="Salary Points 1 to 57",B75&lt;=Thresholds_Rates!$C$17),$C75*Thresholds_Rates!$F$17,IF(AND(OR($B$4="New Consultant Contract"),$B75&lt;&gt;""),$C75*Thresholds_Rates!$F$17,IF(AND(OR($B$4="Clinical Lecturer / Medical Research Fellow",$B$4="Clinical Consultant - Old Contract (GP)"),$B75&lt;&gt;""),$C75*Thresholds_Rates!$F$17,IF(AND(OR($B$4="APM Level 7",$B$4="R&amp;T Level 7"),F75&lt;&gt;""),$C75*Thresholds_Rates!$F$17,IF(SUMIF(Grades!$A:$A,$B$4,Grades!$BQ:$BQ)=1,$C75*Thresholds_Rates!$F$17,""))))))))</f>
        <v/>
      </c>
      <c r="H75" s="25" t="str">
        <f ca="1">IF($B75="","",ROUND(($C75-(Thresholds_Rates!$C$5*12))*Thresholds_Rates!$C$10,0))</f>
        <v/>
      </c>
      <c r="I75" s="25" t="str">
        <f ca="1">IF(B75="","",(C75*Thresholds_Rates!$C$12))</f>
        <v/>
      </c>
      <c r="J75" s="25" t="str">
        <f ca="1">IF(B75="","",IF(AND($B$4="Salary Points 1 to 57",B75&gt;Thresholds_Rates!$C$17),"-",IF(SUMIF(Grades!$A:$A,$B$4,Grades!$BR:$BR)=0,"-",IF(AND($B$4="Salary Points 1 to 57",B75&lt;=Thresholds_Rates!$C$17),$C75*Thresholds_Rates!$F$18,IF(AND(OR($B$4="New Consultant Contract"),$B75&lt;&gt;""),$C75*Thresholds_Rates!$F$18,IF(AND(OR($B$4="Clinical Lecturer / Medical Research Fellow",$B$4="Clinical Consultant - Old Contract (GP)"),$B75&lt;&gt;""),$C75*Thresholds_Rates!$F$18,IF(AND(OR($B$4="APM Level 7",$B$4="R&amp;T Level 7"),H75&lt;&gt;""),$C75*Thresholds_Rates!$F$18,IF(SUMIF(Grades!$A:$A,$B$4,Grades!$BQ:$BQ)=1,$C75*Thresholds_Rates!$F$18,""))))))))</f>
        <v/>
      </c>
      <c r="K75" s="4"/>
      <c r="L75" s="25" t="str">
        <f t="shared" ca="1" si="8"/>
        <v/>
      </c>
      <c r="M75" s="25" t="str">
        <f t="shared" ca="1" si="9"/>
        <v/>
      </c>
      <c r="N75" s="25" t="str">
        <f t="shared" ca="1" si="10"/>
        <v/>
      </c>
      <c r="O75" s="25" t="str">
        <f t="shared" ca="1" si="11"/>
        <v/>
      </c>
      <c r="P75" s="25" t="str">
        <f t="shared" ca="1" si="12"/>
        <v/>
      </c>
      <c r="R75" s="28" t="str">
        <f ca="1">IF(B75="","",IF($B$4="R&amp;T Level 5 - Clinical Lecturers (Vet School)",SUMIF(Points_Lookup!$M:$M,$B75,Points_Lookup!$N:$N),IF($B$4="R&amp;T Level 6 - Clinical Associate Professors and Clinical Readers (Vet School)",SUMIF(Points_Lookup!$T:$T,$B75,Points_Lookup!$U:$U),"")))</f>
        <v/>
      </c>
      <c r="S75" s="29" t="str">
        <f ca="1">IF(B75="","",IF($B$4="R&amp;T Level 5 - Clinical Lecturers (Vet School)",$C75-SUMIF(Points_Lookup!$M:$M,$B75,Points_Lookup!$O:$O),IF($B$4="R&amp;T Level 6 - Clinical Associate Professors and Clinical Readers (Vet School)",$C75-SUMIF(Points_Lookup!$T:$T,$B75,Points_Lookup!$V:$V),"")))</f>
        <v/>
      </c>
      <c r="T75" s="28" t="str">
        <f ca="1">IF(B75="","",IF($B$4="R&amp;T Level 5 - Clinical Lecturers (Vet School)",SUMIF(Points_Lookup!$M:$M,$B75,Points_Lookup!$Q:$Q),IF($B$4="R&amp;T Level 6 - Clinical Associate Professors and Clinical Readers (Vet School)",SUMIF(Points_Lookup!$T:$T,$B75,Points_Lookup!$X:$X),"")))</f>
        <v/>
      </c>
      <c r="U75" s="29" t="str">
        <f t="shared" ca="1" si="7"/>
        <v/>
      </c>
    </row>
    <row r="76" spans="2:26" x14ac:dyDescent="0.25">
      <c r="B76" s="4" t="str">
        <f ca="1">IFERROR(INDEX(Points_Lookup!$A:$A,MATCH($Z78,Points_Lookup!$AE:$AE,0)),"")</f>
        <v/>
      </c>
      <c r="C76" s="25" t="str">
        <f ca="1">IF(B76="","",IF($B$4="Apprenticeship",SUMIF(Points_Lookup!$AA:$AA,B76,Points_Lookup!$AC:$AC),IF(AND(OR($B$4="New Consultant Contract"),$B76&lt;&gt;""),INDEX(Points_Lookup!$K:$K,MATCH($B76,Points_Lookup!$J:$J,0)),IF(AND(OR($B$4="Clinical Lecturer / Medical Research Fellow",$B$4="Clinical Consultant - Old Contract (GP)"),$B76&lt;&gt;""),INDEX(Points_Lookup!$H:$H,MATCH($B76,Points_Lookup!$G:$G,0)),IF(AND(OR($B$4="APM Level 7",$B$4="R&amp;T Level 7",$B$4="APM Level 8"),B76&lt;&gt;""),INDEX(Points_Lookup!$E:$E,MATCH($Z76,Points_Lookup!$AE:$AE,0)),IF($B$4="R&amp;T Level 5 - Clinical Lecturers (Vet School)",SUMIF(Points_Lookup!$M:$M,$B76,Points_Lookup!$P:$P),IF($B$4="R&amp;T Level 6 - Clinical Associate Professors and Clinical Readers (Vet School)",SUMIF(Points_Lookup!$T:$T,$B76,Points_Lookup!$W:$W),IFERROR(INDEX(Points_Lookup!$B:$B,MATCH($Z76,Points_Lookup!$AE:$AE,0)),""))))))))</f>
        <v/>
      </c>
      <c r="D76" s="36"/>
      <c r="E76" s="25" t="str">
        <f ca="1">IF($B76="","",IF(AND($B$4="Salary Points 3 to 57",B76&lt;Thresholds_Rates!$C$16),"-",IF(SUMIF(Grades!$A:$A,$B$4,Grades!$BO:$BO)=0,"-",IF(AND($B$4="Salary Points 3 to 57",B76&gt;=Thresholds_Rates!$C$16),$C76*Thresholds_Rates!$F$15,IF(AND(OR($B$4="New Consultant Contract"),$B76&lt;&gt;""),$C76*Thresholds_Rates!$F$15,IF(AND(OR($B$4="Clinical Lecturer / Medical Research Fellow",$B$4="Clinical Consultant - Old Contract (GP)"),$B76&lt;&gt;""),$C76*Thresholds_Rates!$F$15,IF(OR($B$4="APM Level 7",$B$4="R&amp;T Level 7"),$C76*Thresholds_Rates!$F$15,IF(SUMIF(Grades!$A:$A,$B$4,Grades!$BO:$BO)=1,$C76*Thresholds_Rates!$F$15,""))))))))</f>
        <v/>
      </c>
      <c r="F76" s="25" t="str">
        <f ca="1">IF(B76="","",IF($B$4="Salary Points 1 to 57","-",IF(SUMIF(Grades!$A:$A,$B$4,Grades!$BP:$BP)=0,"-",IF(AND(OR($B$4="New Consultant Contract"),$B76&lt;&gt;""),$C76*Thresholds_Rates!$F$16,IF(AND(OR($B$4="Clinical Lecturer / Medical Research Fellow",$B$4="Clinical Consultant - Old Contract (GP)"),$B76&lt;&gt;""),$C76*Thresholds_Rates!$F$16,IF(AND(OR($B$4="APM Level 7",$B$4="R&amp;T Level 7"),E76&lt;&gt;""),$C76*Thresholds_Rates!$F$16,IF(SUMIF(Grades!$A:$A,$B$4,Grades!$BP:$BP)=1,$C76*Thresholds_Rates!$F$16,"")))))))</f>
        <v/>
      </c>
      <c r="G76" s="25" t="str">
        <f ca="1">IF(B76="","",IF(SUMIF(Grades!$A:$A,$B$4,Grades!$BQ:$BQ)=0,"-",IF(AND($B$4="Salary Points 1 to 57",B76&gt;Thresholds_Rates!$C$17),"-",IF(AND($B$4="Salary Points 1 to 57",B76&lt;=Thresholds_Rates!$C$17),$C76*Thresholds_Rates!$F$17,IF(AND(OR($B$4="New Consultant Contract"),$B76&lt;&gt;""),$C76*Thresholds_Rates!$F$17,IF(AND(OR($B$4="Clinical Lecturer / Medical Research Fellow",$B$4="Clinical Consultant - Old Contract (GP)"),$B76&lt;&gt;""),$C76*Thresholds_Rates!$F$17,IF(AND(OR($B$4="APM Level 7",$B$4="R&amp;T Level 7"),F76&lt;&gt;""),$C76*Thresholds_Rates!$F$17,IF(SUMIF(Grades!$A:$A,$B$4,Grades!$BQ:$BQ)=1,$C76*Thresholds_Rates!$F$17,""))))))))</f>
        <v/>
      </c>
      <c r="H76" s="25" t="str">
        <f ca="1">IF($B76="","",ROUND(($C76-(Thresholds_Rates!$C$5*12))*Thresholds_Rates!$C$10,0))</f>
        <v/>
      </c>
      <c r="I76" s="25" t="str">
        <f ca="1">IF(B76="","",(C76*Thresholds_Rates!$C$12))</f>
        <v/>
      </c>
      <c r="J76" s="25" t="str">
        <f ca="1">IF(B76="","",IF(AND($B$4="Salary Points 1 to 57",B76&gt;Thresholds_Rates!$C$17),"-",IF(SUMIF(Grades!$A:$A,$B$4,Grades!$BR:$BR)=0,"-",IF(AND($B$4="Salary Points 1 to 57",B76&lt;=Thresholds_Rates!$C$17),$C76*Thresholds_Rates!$F$18,IF(AND(OR($B$4="New Consultant Contract"),$B76&lt;&gt;""),$C76*Thresholds_Rates!$F$18,IF(AND(OR($B$4="Clinical Lecturer / Medical Research Fellow",$B$4="Clinical Consultant - Old Contract (GP)"),$B76&lt;&gt;""),$C76*Thresholds_Rates!$F$18,IF(AND(OR($B$4="APM Level 7",$B$4="R&amp;T Level 7"),H76&lt;&gt;""),$C76*Thresholds_Rates!$F$18,IF(SUMIF(Grades!$A:$A,$B$4,Grades!$BQ:$BQ)=1,$C76*Thresholds_Rates!$F$18,""))))))))</f>
        <v/>
      </c>
      <c r="K76" s="4"/>
      <c r="L76" s="25" t="str">
        <f t="shared" ca="1" si="8"/>
        <v/>
      </c>
      <c r="M76" s="25" t="str">
        <f t="shared" ca="1" si="9"/>
        <v/>
      </c>
      <c r="N76" s="25" t="str">
        <f t="shared" ca="1" si="10"/>
        <v/>
      </c>
      <c r="O76" s="25" t="str">
        <f t="shared" ca="1" si="11"/>
        <v/>
      </c>
      <c r="P76" s="25" t="str">
        <f t="shared" ca="1" si="12"/>
        <v/>
      </c>
      <c r="R76" s="28" t="str">
        <f ca="1">IF(B76="","",IF($B$4="R&amp;T Level 5 - Clinical Lecturers (Vet School)",SUMIF(Points_Lookup!$M:$M,$B76,Points_Lookup!$N:$N),IF($B$4="R&amp;T Level 6 - Clinical Associate Professors and Clinical Readers (Vet School)",SUMIF(Points_Lookup!$T:$T,$B76,Points_Lookup!$U:$U),"")))</f>
        <v/>
      </c>
      <c r="S76" s="29" t="str">
        <f ca="1">IF(B76="","",IF($B$4="R&amp;T Level 5 - Clinical Lecturers (Vet School)",$C76-SUMIF(Points_Lookup!$M:$M,$B76,Points_Lookup!$O:$O),IF($B$4="R&amp;T Level 6 - Clinical Associate Professors and Clinical Readers (Vet School)",$C76-SUMIF(Points_Lookup!$T:$T,$B76,Points_Lookup!$V:$V),"")))</f>
        <v/>
      </c>
      <c r="T76" s="28" t="str">
        <f ca="1">IF(B76="","",IF($B$4="R&amp;T Level 5 - Clinical Lecturers (Vet School)",SUMIF(Points_Lookup!$M:$M,$B76,Points_Lookup!$Q:$Q),IF($B$4="R&amp;T Level 6 - Clinical Associate Professors and Clinical Readers (Vet School)",SUMIF(Points_Lookup!$T:$T,$B76,Points_Lookup!$X:$X),"")))</f>
        <v/>
      </c>
      <c r="U76" s="29" t="str">
        <f t="shared" ca="1" si="7"/>
        <v/>
      </c>
    </row>
    <row r="77" spans="2:26" x14ac:dyDescent="0.25">
      <c r="B77" s="4" t="str">
        <f ca="1">IFERROR(INDEX(Points_Lookup!$A:$A,MATCH($Z79,Points_Lookup!$AE:$AE,0)),"")</f>
        <v/>
      </c>
      <c r="C77" s="25" t="str">
        <f ca="1">IF(B77="","",IF($B$4="Apprenticeship",SUMIF(Points_Lookup!$AA:$AA,B77,Points_Lookup!$AC:$AC),IF(AND(OR($B$4="New Consultant Contract"),$B77&lt;&gt;""),INDEX(Points_Lookup!$K:$K,MATCH($B77,Points_Lookup!$J:$J,0)),IF(AND(OR($B$4="Clinical Lecturer / Medical Research Fellow",$B$4="Clinical Consultant - Old Contract (GP)"),$B77&lt;&gt;""),INDEX(Points_Lookup!$H:$H,MATCH($B77,Points_Lookup!$G:$G,0)),IF(AND(OR($B$4="APM Level 7",$B$4="R&amp;T Level 7",$B$4="APM Level 8"),B77&lt;&gt;""),INDEX(Points_Lookup!$E:$E,MATCH($Z77,Points_Lookup!$AE:$AE,0)),IF($B$4="R&amp;T Level 5 - Clinical Lecturers (Vet School)",SUMIF(Points_Lookup!$M:$M,$B77,Points_Lookup!$P:$P),IF($B$4="R&amp;T Level 6 - Clinical Associate Professors and Clinical Readers (Vet School)",SUMIF(Points_Lookup!$T:$T,$B77,Points_Lookup!$W:$W),IFERROR(INDEX(Points_Lookup!$B:$B,MATCH($Z77,Points_Lookup!$AE:$AE,0)),""))))))))</f>
        <v/>
      </c>
      <c r="D77" s="36"/>
      <c r="E77" s="25" t="str">
        <f ca="1">IF($B77="","",IF(AND($B$4="Salary Points 3 to 57",B77&lt;Thresholds_Rates!$C$16),"-",IF(SUMIF(Grades!$A:$A,$B$4,Grades!$BO:$BO)=0,"-",IF(AND($B$4="Salary Points 3 to 57",B77&gt;=Thresholds_Rates!$C$16),$C77*Thresholds_Rates!$F$15,IF(AND(OR($B$4="New Consultant Contract"),$B77&lt;&gt;""),$C77*Thresholds_Rates!$F$15,IF(AND(OR($B$4="Clinical Lecturer / Medical Research Fellow",$B$4="Clinical Consultant - Old Contract (GP)"),$B77&lt;&gt;""),$C77*Thresholds_Rates!$F$15,IF(OR($B$4="APM Level 7",$B$4="R&amp;T Level 7"),$C77*Thresholds_Rates!$F$15,IF(SUMIF(Grades!$A:$A,$B$4,Grades!$BO:$BO)=1,$C77*Thresholds_Rates!$F$15,""))))))))</f>
        <v/>
      </c>
      <c r="F77" s="25" t="str">
        <f ca="1">IF(B77="","",IF($B$4="Salary Points 1 to 57","-",IF(SUMIF(Grades!$A:$A,$B$4,Grades!$BP:$BP)=0,"-",IF(AND(OR($B$4="New Consultant Contract"),$B77&lt;&gt;""),$C77*Thresholds_Rates!$F$16,IF(AND(OR($B$4="Clinical Lecturer / Medical Research Fellow",$B$4="Clinical Consultant - Old Contract (GP)"),$B77&lt;&gt;""),$C77*Thresholds_Rates!$F$16,IF(AND(OR($B$4="APM Level 7",$B$4="R&amp;T Level 7"),E77&lt;&gt;""),$C77*Thresholds_Rates!$F$16,IF(SUMIF(Grades!$A:$A,$B$4,Grades!$BP:$BP)=1,$C77*Thresholds_Rates!$F$16,"")))))))</f>
        <v/>
      </c>
      <c r="G77" s="25" t="str">
        <f ca="1">IF(B77="","",IF(SUMIF(Grades!$A:$A,$B$4,Grades!$BQ:$BQ)=0,"-",IF(AND($B$4="Salary Points 1 to 57",B77&gt;Thresholds_Rates!$C$17),"-",IF(AND($B$4="Salary Points 1 to 57",B77&lt;=Thresholds_Rates!$C$17),$C77*Thresholds_Rates!$F$17,IF(AND(OR($B$4="New Consultant Contract"),$B77&lt;&gt;""),$C77*Thresholds_Rates!$F$17,IF(AND(OR($B$4="Clinical Lecturer / Medical Research Fellow",$B$4="Clinical Consultant - Old Contract (GP)"),$B77&lt;&gt;""),$C77*Thresholds_Rates!$F$17,IF(AND(OR($B$4="APM Level 7",$B$4="R&amp;T Level 7"),F77&lt;&gt;""),$C77*Thresholds_Rates!$F$17,IF(SUMIF(Grades!$A:$A,$B$4,Grades!$BQ:$BQ)=1,$C77*Thresholds_Rates!$F$17,""))))))))</f>
        <v/>
      </c>
      <c r="H77" s="25" t="str">
        <f ca="1">IF($B77="","",ROUND(($C77-(Thresholds_Rates!$C$5*12))*Thresholds_Rates!$C$10,0))</f>
        <v/>
      </c>
      <c r="I77" s="25" t="str">
        <f ca="1">IF(B77="","",(C77*Thresholds_Rates!$C$12))</f>
        <v/>
      </c>
      <c r="J77" s="25" t="str">
        <f ca="1">IF(B77="","",IF(AND($B$4="Salary Points 1 to 57",B77&gt;Thresholds_Rates!$C$17),"-",IF(SUMIF(Grades!$A:$A,$B$4,Grades!$BR:$BR)=0,"-",IF(AND($B$4="Salary Points 1 to 57",B77&lt;=Thresholds_Rates!$C$17),$C77*Thresholds_Rates!$F$18,IF(AND(OR($B$4="New Consultant Contract"),$B77&lt;&gt;""),$C77*Thresholds_Rates!$F$18,IF(AND(OR($B$4="Clinical Lecturer / Medical Research Fellow",$B$4="Clinical Consultant - Old Contract (GP)"),$B77&lt;&gt;""),$C77*Thresholds_Rates!$F$18,IF(AND(OR($B$4="APM Level 7",$B$4="R&amp;T Level 7"),H77&lt;&gt;""),$C77*Thresholds_Rates!$F$18,IF(SUMIF(Grades!$A:$A,$B$4,Grades!$BQ:$BQ)=1,$C77*Thresholds_Rates!$F$18,""))))))))</f>
        <v/>
      </c>
      <c r="K77" s="4"/>
      <c r="L77" s="25" t="str">
        <f t="shared" ca="1" si="8"/>
        <v/>
      </c>
      <c r="M77" s="25" t="str">
        <f t="shared" ca="1" si="9"/>
        <v/>
      </c>
      <c r="N77" s="25" t="str">
        <f t="shared" ca="1" si="10"/>
        <v/>
      </c>
      <c r="O77" s="25" t="str">
        <f t="shared" ca="1" si="11"/>
        <v/>
      </c>
      <c r="P77" s="25" t="str">
        <f t="shared" ca="1" si="12"/>
        <v/>
      </c>
      <c r="R77" s="28" t="str">
        <f ca="1">IF(B77="","",IF($B$4="R&amp;T Level 5 - Clinical Lecturers (Vet School)",SUMIF(Points_Lookup!$M:$M,$B77,Points_Lookup!$N:$N),IF($B$4="R&amp;T Level 6 - Clinical Associate Professors and Clinical Readers (Vet School)",SUMIF(Points_Lookup!$T:$T,$B77,Points_Lookup!$U:$U),"")))</f>
        <v/>
      </c>
      <c r="S77" s="29" t="str">
        <f ca="1">IF(B77="","",IF($B$4="R&amp;T Level 5 - Clinical Lecturers (Vet School)",$C77-SUMIF(Points_Lookup!$M:$M,$B77,Points_Lookup!$O:$O),IF($B$4="R&amp;T Level 6 - Clinical Associate Professors and Clinical Readers (Vet School)",$C77-SUMIF(Points_Lookup!$T:$T,$B77,Points_Lookup!$V:$V),"")))</f>
        <v/>
      </c>
      <c r="T77" s="28" t="str">
        <f ca="1">IF(B77="","",IF($B$4="R&amp;T Level 5 - Clinical Lecturers (Vet School)",SUMIF(Points_Lookup!$M:$M,$B77,Points_Lookup!$Q:$Q),IF($B$4="R&amp;T Level 6 - Clinical Associate Professors and Clinical Readers (Vet School)",SUMIF(Points_Lookup!$T:$T,$B77,Points_Lookup!$X:$X),"")))</f>
        <v/>
      </c>
      <c r="U77" s="29" t="str">
        <f t="shared" ca="1" si="7"/>
        <v/>
      </c>
    </row>
    <row r="78" spans="2:26" x14ac:dyDescent="0.25">
      <c r="B78" s="4" t="str">
        <f ca="1">IFERROR(INDEX(Points_Lookup!$A:$A,MATCH($Z80,Points_Lookup!$AE:$AE,0)),"")</f>
        <v/>
      </c>
      <c r="C78" s="25" t="str">
        <f ca="1">IF(B78="","",IF($B$4="Apprenticeship",SUMIF(Points_Lookup!$AA:$AA,B78,Points_Lookup!$AC:$AC),IF(AND(OR($B$4="New Consultant Contract"),$B78&lt;&gt;""),INDEX(Points_Lookup!$K:$K,MATCH($B78,Points_Lookup!$J:$J,0)),IF(AND(OR($B$4="Clinical Lecturer / Medical Research Fellow",$B$4="Clinical Consultant - Old Contract (GP)"),$B78&lt;&gt;""),INDEX(Points_Lookup!$H:$H,MATCH($B78,Points_Lookup!$G:$G,0)),IF(AND(OR($B$4="APM Level 7",$B$4="R&amp;T Level 7",$B$4="APM Level 8"),B78&lt;&gt;""),INDEX(Points_Lookup!$E:$E,MATCH($Z78,Points_Lookup!$AE:$AE,0)),IF($B$4="R&amp;T Level 5 - Clinical Lecturers (Vet School)",SUMIF(Points_Lookup!$M:$M,$B78,Points_Lookup!$P:$P),IF($B$4="R&amp;T Level 6 - Clinical Associate Professors and Clinical Readers (Vet School)",SUMIF(Points_Lookup!$T:$T,$B78,Points_Lookup!$W:$W),IFERROR(INDEX(Points_Lookup!$B:$B,MATCH($Z78,Points_Lookup!$AE:$AE,0)),""))))))))</f>
        <v/>
      </c>
      <c r="D78" s="36"/>
      <c r="E78" s="25" t="str">
        <f ca="1">IF($B78="","",IF(AND($B$4="Salary Points 3 to 57",B78&lt;Thresholds_Rates!$C$16),"-",IF(SUMIF(Grades!$A:$A,$B$4,Grades!$BO:$BO)=0,"-",IF(AND($B$4="Salary Points 3 to 57",B78&gt;=Thresholds_Rates!$C$16),$C78*Thresholds_Rates!$F$15,IF(AND(OR($B$4="New Consultant Contract"),$B78&lt;&gt;""),$C78*Thresholds_Rates!$F$15,IF(AND(OR($B$4="Clinical Lecturer / Medical Research Fellow",$B$4="Clinical Consultant - Old Contract (GP)"),$B78&lt;&gt;""),$C78*Thresholds_Rates!$F$15,IF(OR($B$4="APM Level 7",$B$4="R&amp;T Level 7"),$C78*Thresholds_Rates!$F$15,IF(SUMIF(Grades!$A:$A,$B$4,Grades!$BO:$BO)=1,$C78*Thresholds_Rates!$F$15,""))))))))</f>
        <v/>
      </c>
      <c r="F78" s="25" t="str">
        <f ca="1">IF(B78="","",IF($B$4="Salary Points 1 to 57","-",IF(SUMIF(Grades!$A:$A,$B$4,Grades!$BP:$BP)=0,"-",IF(AND(OR($B$4="New Consultant Contract"),$B78&lt;&gt;""),$C78*Thresholds_Rates!$F$16,IF(AND(OR($B$4="Clinical Lecturer / Medical Research Fellow",$B$4="Clinical Consultant - Old Contract (GP)"),$B78&lt;&gt;""),$C78*Thresholds_Rates!$F$16,IF(AND(OR($B$4="APM Level 7",$B$4="R&amp;T Level 7"),E78&lt;&gt;""),$C78*Thresholds_Rates!$F$16,IF(SUMIF(Grades!$A:$A,$B$4,Grades!$BP:$BP)=1,$C78*Thresholds_Rates!$F$16,"")))))))</f>
        <v/>
      </c>
      <c r="G78" s="25" t="str">
        <f ca="1">IF(B78="","",IF(SUMIF(Grades!$A:$A,$B$4,Grades!$BQ:$BQ)=0,"-",IF(AND($B$4="Salary Points 1 to 57",B78&gt;Thresholds_Rates!$C$17),"-",IF(AND($B$4="Salary Points 1 to 57",B78&lt;=Thresholds_Rates!$C$17),$C78*Thresholds_Rates!$F$17,IF(AND(OR($B$4="New Consultant Contract"),$B78&lt;&gt;""),$C78*Thresholds_Rates!$F$17,IF(AND(OR($B$4="Clinical Lecturer / Medical Research Fellow",$B$4="Clinical Consultant - Old Contract (GP)"),$B78&lt;&gt;""),$C78*Thresholds_Rates!$F$17,IF(AND(OR($B$4="APM Level 7",$B$4="R&amp;T Level 7"),F78&lt;&gt;""),$C78*Thresholds_Rates!$F$17,IF(SUMIF(Grades!$A:$A,$B$4,Grades!$BQ:$BQ)=1,$C78*Thresholds_Rates!$F$17,""))))))))</f>
        <v/>
      </c>
      <c r="H78" s="25" t="str">
        <f ca="1">IF($B78="","",ROUND(($C78-(Thresholds_Rates!$C$5*12))*Thresholds_Rates!$C$10,0))</f>
        <v/>
      </c>
      <c r="I78" s="25" t="str">
        <f ca="1">IF(B78="","",(C78*Thresholds_Rates!$C$12))</f>
        <v/>
      </c>
      <c r="J78" s="25" t="str">
        <f ca="1">IF(B78="","",IF(AND($B$4="Salary Points 1 to 57",B78&gt;Thresholds_Rates!$C$17),"-",IF(SUMIF(Grades!$A:$A,$B$4,Grades!$BR:$BR)=0,"-",IF(AND($B$4="Salary Points 1 to 57",B78&lt;=Thresholds_Rates!$C$17),$C78*Thresholds_Rates!$F$18,IF(AND(OR($B$4="New Consultant Contract"),$B78&lt;&gt;""),$C78*Thresholds_Rates!$F$18,IF(AND(OR($B$4="Clinical Lecturer / Medical Research Fellow",$B$4="Clinical Consultant - Old Contract (GP)"),$B78&lt;&gt;""),$C78*Thresholds_Rates!$F$18,IF(AND(OR($B$4="APM Level 7",$B$4="R&amp;T Level 7"),H78&lt;&gt;""),$C78*Thresholds_Rates!$F$18,IF(SUMIF(Grades!$A:$A,$B$4,Grades!$BQ:$BQ)=1,$C78*Thresholds_Rates!$F$18,""))))))))</f>
        <v/>
      </c>
      <c r="K78" s="4"/>
      <c r="L78" s="25" t="str">
        <f t="shared" ca="1" si="8"/>
        <v/>
      </c>
      <c r="M78" s="25" t="str">
        <f t="shared" ca="1" si="9"/>
        <v/>
      </c>
      <c r="N78" s="25" t="str">
        <f t="shared" ca="1" si="10"/>
        <v/>
      </c>
      <c r="O78" s="25" t="str">
        <f t="shared" ca="1" si="11"/>
        <v/>
      </c>
      <c r="P78" s="25" t="str">
        <f t="shared" ca="1" si="12"/>
        <v/>
      </c>
      <c r="R78" s="28" t="str">
        <f ca="1">IF(B78="","",IF($B$4="R&amp;T Level 5 - Clinical Lecturers (Vet School)",SUMIF(Points_Lookup!$M:$M,$B78,Points_Lookup!$N:$N),IF($B$4="R&amp;T Level 6 - Clinical Associate Professors and Clinical Readers (Vet School)",SUMIF(Points_Lookup!$T:$T,$B78,Points_Lookup!$U:$U),"")))</f>
        <v/>
      </c>
      <c r="S78" s="29" t="str">
        <f ca="1">IF(B78="","",IF($B$4="R&amp;T Level 5 - Clinical Lecturers (Vet School)",$C78-SUMIF(Points_Lookup!$M:$M,$B78,Points_Lookup!$O:$O),IF($B$4="R&amp;T Level 6 - Clinical Associate Professors and Clinical Readers (Vet School)",$C78-SUMIF(Points_Lookup!$T:$T,$B78,Points_Lookup!$V:$V),"")))</f>
        <v/>
      </c>
      <c r="T78" s="28" t="str">
        <f ca="1">IF(B78="","",IF($B$4="R&amp;T Level 5 - Clinical Lecturers (Vet School)",SUMIF(Points_Lookup!$M:$M,$B78,Points_Lookup!$Q:$Q),IF($B$4="R&amp;T Level 6 - Clinical Associate Professors and Clinical Readers (Vet School)",SUMIF(Points_Lookup!$T:$T,$B78,Points_Lookup!$X:$X),"")))</f>
        <v/>
      </c>
      <c r="U78" s="29" t="str">
        <f t="shared" ca="1" si="7"/>
        <v/>
      </c>
    </row>
    <row r="79" spans="2:26" x14ac:dyDescent="0.25">
      <c r="B79" s="4" t="str">
        <f ca="1">IFERROR(INDEX(Points_Lookup!$A:$A,MATCH($Z81,Points_Lookup!$AE:$AE,0)),"")</f>
        <v/>
      </c>
      <c r="C79" s="25" t="str">
        <f ca="1">IF(B79="","",IF($B$4="Apprenticeship",SUMIF(Points_Lookup!$AA:$AA,B79,Points_Lookup!$AC:$AC),IF(AND(OR($B$4="New Consultant Contract"),$B79&lt;&gt;""),INDEX(Points_Lookup!$K:$K,MATCH($B79,Points_Lookup!$J:$J,0)),IF(AND(OR($B$4="Clinical Lecturer / Medical Research Fellow",$B$4="Clinical Consultant - Old Contract (GP)"),$B79&lt;&gt;""),INDEX(Points_Lookup!$H:$H,MATCH($B79,Points_Lookup!$G:$G,0)),IF(AND(OR($B$4="APM Level 7",$B$4="R&amp;T Level 7",$B$4="APM Level 8"),B79&lt;&gt;""),INDEX(Points_Lookup!$E:$E,MATCH($Z79,Points_Lookup!$AE:$AE,0)),IF($B$4="R&amp;T Level 5 - Clinical Lecturers (Vet School)",SUMIF(Points_Lookup!$M:$M,$B79,Points_Lookup!$P:$P),IF($B$4="R&amp;T Level 6 - Clinical Associate Professors and Clinical Readers (Vet School)",SUMIF(Points_Lookup!$T:$T,$B79,Points_Lookup!$W:$W),IFERROR(INDEX(Points_Lookup!$B:$B,MATCH($Z79,Points_Lookup!$AE:$AE,0)),""))))))))</f>
        <v/>
      </c>
      <c r="D79" s="36"/>
      <c r="E79" s="25" t="str">
        <f ca="1">IF($B79="","",IF(AND($B$4="Salary Points 3 to 57",B79&lt;Thresholds_Rates!$C$16),"-",IF(SUMIF(Grades!$A:$A,$B$4,Grades!$BO:$BO)=0,"-",IF(AND($B$4="Salary Points 3 to 57",B79&gt;=Thresholds_Rates!$C$16),$C79*Thresholds_Rates!$F$15,IF(AND(OR($B$4="New Consultant Contract"),$B79&lt;&gt;""),$C79*Thresholds_Rates!$F$15,IF(AND(OR($B$4="Clinical Lecturer / Medical Research Fellow",$B$4="Clinical Consultant - Old Contract (GP)"),$B79&lt;&gt;""),$C79*Thresholds_Rates!$F$15,IF(OR($B$4="APM Level 7",$B$4="R&amp;T Level 7"),$C79*Thresholds_Rates!$F$15,IF(SUMIF(Grades!$A:$A,$B$4,Grades!$BO:$BO)=1,$C79*Thresholds_Rates!$F$15,""))))))))</f>
        <v/>
      </c>
      <c r="F79" s="25" t="str">
        <f ca="1">IF(B79="","",IF($B$4="Salary Points 1 to 57","-",IF(SUMIF(Grades!$A:$A,$B$4,Grades!$BP:$BP)=0,"-",IF(AND(OR($B$4="New Consultant Contract"),$B79&lt;&gt;""),$C79*Thresholds_Rates!$F$16,IF(AND(OR($B$4="Clinical Lecturer / Medical Research Fellow",$B$4="Clinical Consultant - Old Contract (GP)"),$B79&lt;&gt;""),$C79*Thresholds_Rates!$F$16,IF(AND(OR($B$4="APM Level 7",$B$4="R&amp;T Level 7"),E79&lt;&gt;""),$C79*Thresholds_Rates!$F$16,IF(SUMIF(Grades!$A:$A,$B$4,Grades!$BP:$BP)=1,$C79*Thresholds_Rates!$F$16,"")))))))</f>
        <v/>
      </c>
      <c r="G79" s="25" t="str">
        <f ca="1">IF(B79="","",IF(SUMIF(Grades!$A:$A,$B$4,Grades!$BQ:$BQ)=0,"-",IF(AND($B$4="Salary Points 1 to 57",B79&gt;Thresholds_Rates!$C$17),"-",IF(AND($B$4="Salary Points 1 to 57",B79&lt;=Thresholds_Rates!$C$17),$C79*Thresholds_Rates!$F$17,IF(AND(OR($B$4="New Consultant Contract"),$B79&lt;&gt;""),$C79*Thresholds_Rates!$F$17,IF(AND(OR($B$4="Clinical Lecturer / Medical Research Fellow",$B$4="Clinical Consultant - Old Contract (GP)"),$B79&lt;&gt;""),$C79*Thresholds_Rates!$F$17,IF(AND(OR($B$4="APM Level 7",$B$4="R&amp;T Level 7"),F79&lt;&gt;""),$C79*Thresholds_Rates!$F$17,IF(SUMIF(Grades!$A:$A,$B$4,Grades!$BQ:$BQ)=1,$C79*Thresholds_Rates!$F$17,""))))))))</f>
        <v/>
      </c>
      <c r="H79" s="25" t="str">
        <f ca="1">IF($B79="","",ROUND(($C79-(Thresholds_Rates!$C$5*12))*Thresholds_Rates!$C$10,0))</f>
        <v/>
      </c>
      <c r="I79" s="25" t="str">
        <f ca="1">IF(B79="","",(C79*Thresholds_Rates!$C$12))</f>
        <v/>
      </c>
      <c r="J79" s="25" t="str">
        <f ca="1">IF(B79="","",IF(AND($B$4="Salary Points 1 to 57",B79&gt;Thresholds_Rates!$C$17),"-",IF(SUMIF(Grades!$A:$A,$B$4,Grades!$BR:$BR)=0,"-",IF(AND($B$4="Salary Points 1 to 57",B79&lt;=Thresholds_Rates!$C$17),$C79*Thresholds_Rates!$F$18,IF(AND(OR($B$4="New Consultant Contract"),$B79&lt;&gt;""),$C79*Thresholds_Rates!$F$18,IF(AND(OR($B$4="Clinical Lecturer / Medical Research Fellow",$B$4="Clinical Consultant - Old Contract (GP)"),$B79&lt;&gt;""),$C79*Thresholds_Rates!$F$18,IF(AND(OR($B$4="APM Level 7",$B$4="R&amp;T Level 7"),H79&lt;&gt;""),$C79*Thresholds_Rates!$F$18,IF(SUMIF(Grades!$A:$A,$B$4,Grades!$BQ:$BQ)=1,$C79*Thresholds_Rates!$F$18,""))))))))</f>
        <v/>
      </c>
      <c r="K79" s="4"/>
      <c r="L79" s="25" t="str">
        <f t="shared" ca="1" si="8"/>
        <v/>
      </c>
      <c r="M79" s="25" t="str">
        <f t="shared" ca="1" si="9"/>
        <v/>
      </c>
      <c r="N79" s="25" t="str">
        <f t="shared" ca="1" si="10"/>
        <v/>
      </c>
      <c r="O79" s="25" t="str">
        <f t="shared" ca="1" si="11"/>
        <v/>
      </c>
      <c r="P79" s="25" t="str">
        <f t="shared" ca="1" si="12"/>
        <v/>
      </c>
      <c r="R79" s="28" t="str">
        <f ca="1">IF(B79="","",IF($B$4="R&amp;T Level 5 - Clinical Lecturers (Vet School)",SUMIF(Points_Lookup!$M:$M,$B79,Points_Lookup!$N:$N),IF($B$4="R&amp;T Level 6 - Clinical Associate Professors and Clinical Readers (Vet School)",SUMIF(Points_Lookup!$T:$T,$B79,Points_Lookup!$U:$U),"")))</f>
        <v/>
      </c>
      <c r="S79" s="29" t="str">
        <f ca="1">IF(B79="","",IF($B$4="R&amp;T Level 5 - Clinical Lecturers (Vet School)",$C79-SUMIF(Points_Lookup!$M:$M,$B79,Points_Lookup!$O:$O),IF($B$4="R&amp;T Level 6 - Clinical Associate Professors and Clinical Readers (Vet School)",$C79-SUMIF(Points_Lookup!$T:$T,$B79,Points_Lookup!$V:$V),"")))</f>
        <v/>
      </c>
      <c r="T79" s="28" t="str">
        <f ca="1">IF(B79="","",IF($B$4="R&amp;T Level 5 - Clinical Lecturers (Vet School)",SUMIF(Points_Lookup!$M:$M,$B79,Points_Lookup!$Q:$Q),IF($B$4="R&amp;T Level 6 - Clinical Associate Professors and Clinical Readers (Vet School)",SUMIF(Points_Lookup!$T:$T,$B79,Points_Lookup!$X:$X),"")))</f>
        <v/>
      </c>
      <c r="U79" s="29" t="str">
        <f t="shared" ca="1" si="7"/>
        <v/>
      </c>
    </row>
    <row r="80" spans="2:26" x14ac:dyDescent="0.25">
      <c r="B80" s="4" t="str">
        <f ca="1">IFERROR(INDEX(Points_Lookup!$A:$A,MATCH($Z82,Points_Lookup!$AE:$AE,0)),"")</f>
        <v/>
      </c>
      <c r="C80" s="25" t="str">
        <f ca="1">IF(B80="","",IF($B$4="Apprenticeship",SUMIF(Points_Lookup!$AA:$AA,B80,Points_Lookup!$AC:$AC),IF(AND(OR($B$4="New Consultant Contract"),$B80&lt;&gt;""),INDEX(Points_Lookup!$K:$K,MATCH($B80,Points_Lookup!$J:$J,0)),IF(AND(OR($B$4="Clinical Lecturer / Medical Research Fellow",$B$4="Clinical Consultant - Old Contract (GP)"),$B80&lt;&gt;""),INDEX(Points_Lookup!$H:$H,MATCH($B80,Points_Lookup!$G:$G,0)),IF(AND(OR($B$4="APM Level 7",$B$4="R&amp;T Level 7",$B$4="APM Level 8"),B80&lt;&gt;""),INDEX(Points_Lookup!$E:$E,MATCH($Z80,Points_Lookup!$AE:$AE,0)),IF($B$4="R&amp;T Level 5 - Clinical Lecturers (Vet School)",SUMIF(Points_Lookup!$M:$M,$B80,Points_Lookup!$P:$P),IF($B$4="R&amp;T Level 6 - Clinical Associate Professors and Clinical Readers (Vet School)",SUMIF(Points_Lookup!$T:$T,$B80,Points_Lookup!$W:$W),IFERROR(INDEX(Points_Lookup!$B:$B,MATCH($Z80,Points_Lookup!$AE:$AE,0)),""))))))))</f>
        <v/>
      </c>
      <c r="D80" s="36"/>
      <c r="E80" s="25" t="str">
        <f ca="1">IF($B80="","",IF(AND($B$4="Salary Points 3 to 57",B80&lt;Thresholds_Rates!$C$16),"-",IF(SUMIF(Grades!$A:$A,$B$4,Grades!$BO:$BO)=0,"-",IF(AND($B$4="Salary Points 3 to 57",B80&gt;=Thresholds_Rates!$C$16),$C80*Thresholds_Rates!$F$15,IF(AND(OR($B$4="New Consultant Contract"),$B80&lt;&gt;""),$C80*Thresholds_Rates!$F$15,IF(AND(OR($B$4="Clinical Lecturer / Medical Research Fellow",$B$4="Clinical Consultant - Old Contract (GP)"),$B80&lt;&gt;""),$C80*Thresholds_Rates!$F$15,IF(OR($B$4="APM Level 7",$B$4="R&amp;T Level 7"),$C80*Thresholds_Rates!$F$15,IF(SUMIF(Grades!$A:$A,$B$4,Grades!$BO:$BO)=1,$C80*Thresholds_Rates!$F$15,""))))))))</f>
        <v/>
      </c>
      <c r="F80" s="25" t="str">
        <f ca="1">IF(B80="","",IF($B$4="Salary Points 1 to 57","-",IF(SUMIF(Grades!$A:$A,$B$4,Grades!$BP:$BP)=0,"-",IF(AND(OR($B$4="New Consultant Contract"),$B80&lt;&gt;""),$C80*Thresholds_Rates!$F$16,IF(AND(OR($B$4="Clinical Lecturer / Medical Research Fellow",$B$4="Clinical Consultant - Old Contract (GP)"),$B80&lt;&gt;""),$C80*Thresholds_Rates!$F$16,IF(AND(OR($B$4="APM Level 7",$B$4="R&amp;T Level 7"),E80&lt;&gt;""),$C80*Thresholds_Rates!$F$16,IF(SUMIF(Grades!$A:$A,$B$4,Grades!$BP:$BP)=1,$C80*Thresholds_Rates!$F$16,"")))))))</f>
        <v/>
      </c>
      <c r="G80" s="25" t="str">
        <f ca="1">IF(B80="","",IF(SUMIF(Grades!$A:$A,$B$4,Grades!$BQ:$BQ)=0,"-",IF(AND($B$4="Salary Points 1 to 57",B80&gt;Thresholds_Rates!$C$17),"-",IF(AND($B$4="Salary Points 1 to 57",B80&lt;=Thresholds_Rates!$C$17),$C80*Thresholds_Rates!$F$17,IF(AND(OR($B$4="New Consultant Contract"),$B80&lt;&gt;""),$C80*Thresholds_Rates!$F$17,IF(AND(OR($B$4="Clinical Lecturer / Medical Research Fellow",$B$4="Clinical Consultant - Old Contract (GP)"),$B80&lt;&gt;""),$C80*Thresholds_Rates!$F$17,IF(AND(OR($B$4="APM Level 7",$B$4="R&amp;T Level 7"),F80&lt;&gt;""),$C80*Thresholds_Rates!$F$17,IF(SUMIF(Grades!$A:$A,$B$4,Grades!$BQ:$BQ)=1,$C80*Thresholds_Rates!$F$17,""))))))))</f>
        <v/>
      </c>
      <c r="H80" s="25" t="str">
        <f ca="1">IF($B80="","",ROUND(($C80-(Thresholds_Rates!$C$5*12))*Thresholds_Rates!$C$10,0))</f>
        <v/>
      </c>
      <c r="I80" s="25" t="str">
        <f ca="1">IF(B80="","",(C80*Thresholds_Rates!$C$12))</f>
        <v/>
      </c>
      <c r="J80" s="25" t="str">
        <f ca="1">IF(B80="","",IF(AND($B$4="Salary Points 1 to 57",B80&gt;Thresholds_Rates!$C$17),"-",IF(SUMIF(Grades!$A:$A,$B$4,Grades!$BR:$BR)=0,"-",IF(AND($B$4="Salary Points 1 to 57",B80&lt;=Thresholds_Rates!$C$17),$C80*Thresholds_Rates!$F$18,IF(AND(OR($B$4="New Consultant Contract"),$B80&lt;&gt;""),$C80*Thresholds_Rates!$F$18,IF(AND(OR($B$4="Clinical Lecturer / Medical Research Fellow",$B$4="Clinical Consultant - Old Contract (GP)"),$B80&lt;&gt;""),$C80*Thresholds_Rates!$F$18,IF(AND(OR($B$4="APM Level 7",$B$4="R&amp;T Level 7"),H80&lt;&gt;""),$C80*Thresholds_Rates!$F$18,IF(SUMIF(Grades!$A:$A,$B$4,Grades!$BQ:$BQ)=1,$C80*Thresholds_Rates!$F$18,""))))))))</f>
        <v/>
      </c>
      <c r="K80" s="4"/>
      <c r="L80" s="25" t="str">
        <f t="shared" ca="1" si="8"/>
        <v/>
      </c>
      <c r="M80" s="25" t="str">
        <f t="shared" ca="1" si="9"/>
        <v/>
      </c>
      <c r="N80" s="25" t="str">
        <f t="shared" ca="1" si="10"/>
        <v/>
      </c>
      <c r="O80" s="25" t="str">
        <f t="shared" ca="1" si="11"/>
        <v/>
      </c>
      <c r="P80" s="25" t="str">
        <f t="shared" ca="1" si="12"/>
        <v/>
      </c>
      <c r="R80" s="28" t="str">
        <f ca="1">IF(B80="","",IF($B$4="R&amp;T Level 5 - Clinical Lecturers (Vet School)",SUMIF(Points_Lookup!$M:$M,$B80,Points_Lookup!$N:$N),IF($B$4="R&amp;T Level 6 - Clinical Associate Professors and Clinical Readers (Vet School)",SUMIF(Points_Lookup!$T:$T,$B80,Points_Lookup!$U:$U),"")))</f>
        <v/>
      </c>
      <c r="S80" s="29" t="str">
        <f ca="1">IF(B80="","",IF($B$4="R&amp;T Level 5 - Clinical Lecturers (Vet School)",$C80-SUMIF(Points_Lookup!$M:$M,$B80,Points_Lookup!$O:$O),IF($B$4="R&amp;T Level 6 - Clinical Associate Professors and Clinical Readers (Vet School)",$C80-SUMIF(Points_Lookup!$T:$T,$B80,Points_Lookup!$V:$V),"")))</f>
        <v/>
      </c>
      <c r="T80" s="28" t="str">
        <f ca="1">IF(B80="","",IF($B$4="R&amp;T Level 5 - Clinical Lecturers (Vet School)",SUMIF(Points_Lookup!$M:$M,$B80,Points_Lookup!$Q:$Q),IF($B$4="R&amp;T Level 6 - Clinical Associate Professors and Clinical Readers (Vet School)",SUMIF(Points_Lookup!$T:$T,$B80,Points_Lookup!$X:$X),"")))</f>
        <v/>
      </c>
      <c r="U80" s="29" t="str">
        <f t="shared" ca="1" si="7"/>
        <v/>
      </c>
    </row>
    <row r="81" spans="2:21" x14ac:dyDescent="0.25">
      <c r="B81" s="4" t="str">
        <f ca="1">IFERROR(INDEX(Points_Lookup!$A:$A,MATCH($Z83,Points_Lookup!$AE:$AE,0)),"")</f>
        <v/>
      </c>
      <c r="C81" s="25" t="str">
        <f ca="1">IF(B81="","",IF($B$4="Apprenticeship",SUMIF(Points_Lookup!$AA:$AA,B81,Points_Lookup!$AC:$AC),IF(AND(OR($B$4="New Consultant Contract"),$B81&lt;&gt;""),INDEX(Points_Lookup!$K:$K,MATCH($B81,Points_Lookup!$J:$J,0)),IF(AND(OR($B$4="Clinical Lecturer / Medical Research Fellow",$B$4="Clinical Consultant - Old Contract (GP)"),$B81&lt;&gt;""),INDEX(Points_Lookup!$H:$H,MATCH($B81,Points_Lookup!$G:$G,0)),IF(AND(OR($B$4="APM Level 7",$B$4="R&amp;T Level 7",$B$4="APM Level 8"),B81&lt;&gt;""),INDEX(Points_Lookup!$E:$E,MATCH($Z81,Points_Lookup!$AE:$AE,0)),IF($B$4="R&amp;T Level 5 - Clinical Lecturers (Vet School)",SUMIF(Points_Lookup!$M:$M,$B81,Points_Lookup!$P:$P),IF($B$4="R&amp;T Level 6 - Clinical Associate Professors and Clinical Readers (Vet School)",SUMIF(Points_Lookup!$T:$T,$B81,Points_Lookup!$W:$W),IFERROR(INDEX(Points_Lookup!$B:$B,MATCH($Z81,Points_Lookup!$AE:$AE,0)),""))))))))</f>
        <v/>
      </c>
      <c r="D81" s="36"/>
      <c r="E81" s="25" t="str">
        <f ca="1">IF($B81="","",IF(AND($B$4="Salary Points 3 to 57",B81&lt;Thresholds_Rates!$C$16),"-",IF(SUMIF(Grades!$A:$A,$B$4,Grades!$BO:$BO)=0,"-",IF(AND($B$4="Salary Points 3 to 57",B81&gt;=Thresholds_Rates!$C$16),$C81*Thresholds_Rates!$F$15,IF(AND(OR($B$4="New Consultant Contract"),$B81&lt;&gt;""),$C81*Thresholds_Rates!$F$15,IF(AND(OR($B$4="Clinical Lecturer / Medical Research Fellow",$B$4="Clinical Consultant - Old Contract (GP)"),$B81&lt;&gt;""),$C81*Thresholds_Rates!$F$15,IF(OR($B$4="APM Level 7",$B$4="R&amp;T Level 7"),$C81*Thresholds_Rates!$F$15,IF(SUMIF(Grades!$A:$A,$B$4,Grades!$BO:$BO)=1,$C81*Thresholds_Rates!$F$15,""))))))))</f>
        <v/>
      </c>
      <c r="F81" s="25" t="str">
        <f ca="1">IF(B81="","",IF($B$4="Salary Points 1 to 57","-",IF(SUMIF(Grades!$A:$A,$B$4,Grades!$BP:$BP)=0,"-",IF(AND(OR($B$4="New Consultant Contract"),$B81&lt;&gt;""),$C81*Thresholds_Rates!$F$16,IF(AND(OR($B$4="Clinical Lecturer / Medical Research Fellow",$B$4="Clinical Consultant - Old Contract (GP)"),$B81&lt;&gt;""),$C81*Thresholds_Rates!$F$16,IF(AND(OR($B$4="APM Level 7",$B$4="R&amp;T Level 7"),E81&lt;&gt;""),$C81*Thresholds_Rates!$F$16,IF(SUMIF(Grades!$A:$A,$B$4,Grades!$BP:$BP)=1,$C81*Thresholds_Rates!$F$16,"")))))))</f>
        <v/>
      </c>
      <c r="G81" s="25" t="str">
        <f ca="1">IF(B81="","",IF(SUMIF(Grades!$A:$A,$B$4,Grades!$BQ:$BQ)=0,"-",IF(AND($B$4="Salary Points 1 to 57",B81&gt;Thresholds_Rates!$C$17),"-",IF(AND($B$4="Salary Points 1 to 57",B81&lt;=Thresholds_Rates!$C$17),$C81*Thresholds_Rates!$F$17,IF(AND(OR($B$4="New Consultant Contract"),$B81&lt;&gt;""),$C81*Thresholds_Rates!$F$17,IF(AND(OR($B$4="Clinical Lecturer / Medical Research Fellow",$B$4="Clinical Consultant - Old Contract (GP)"),$B81&lt;&gt;""),$C81*Thresholds_Rates!$F$17,IF(AND(OR($B$4="APM Level 7",$B$4="R&amp;T Level 7"),F81&lt;&gt;""),$C81*Thresholds_Rates!$F$17,IF(SUMIF(Grades!$A:$A,$B$4,Grades!$BQ:$BQ)=1,$C81*Thresholds_Rates!$F$17,""))))))))</f>
        <v/>
      </c>
      <c r="H81" s="25" t="str">
        <f ca="1">IF($B81="","",ROUND(($C81-(Thresholds_Rates!$C$5*12))*Thresholds_Rates!$C$10,0))</f>
        <v/>
      </c>
      <c r="I81" s="25" t="str">
        <f ca="1">IF(B81="","",(C81*Thresholds_Rates!$C$12))</f>
        <v/>
      </c>
      <c r="J81" s="25" t="str">
        <f ca="1">IF(B81="","",IF(AND($B$4="Salary Points 1 to 57",B81&gt;Thresholds_Rates!$C$17),"-",IF(SUMIF(Grades!$A:$A,$B$4,Grades!$BR:$BR)=0,"-",IF(AND($B$4="Salary Points 1 to 57",B81&lt;=Thresholds_Rates!$C$17),$C81*Thresholds_Rates!$F$18,IF(AND(OR($B$4="New Consultant Contract"),$B81&lt;&gt;""),$C81*Thresholds_Rates!$F$18,IF(AND(OR($B$4="Clinical Lecturer / Medical Research Fellow",$B$4="Clinical Consultant - Old Contract (GP)"),$B81&lt;&gt;""),$C81*Thresholds_Rates!$F$18,IF(AND(OR($B$4="APM Level 7",$B$4="R&amp;T Level 7"),H81&lt;&gt;""),$C81*Thresholds_Rates!$F$18,IF(SUMIF(Grades!$A:$A,$B$4,Grades!$BQ:$BQ)=1,$C81*Thresholds_Rates!$F$18,""))))))))</f>
        <v/>
      </c>
      <c r="K81" s="4"/>
      <c r="L81" s="25" t="str">
        <f t="shared" ca="1" si="8"/>
        <v/>
      </c>
      <c r="M81" s="25" t="str">
        <f t="shared" ca="1" si="9"/>
        <v/>
      </c>
      <c r="N81" s="25" t="str">
        <f t="shared" ca="1" si="10"/>
        <v/>
      </c>
      <c r="O81" s="25" t="str">
        <f t="shared" ca="1" si="11"/>
        <v/>
      </c>
      <c r="P81" s="25" t="str">
        <f t="shared" ca="1" si="12"/>
        <v/>
      </c>
      <c r="R81" s="28" t="str">
        <f ca="1">IF(B81="","",IF($B$4="R&amp;T Level 5 - Clinical Lecturers (Vet School)",SUMIF(Points_Lookup!$M:$M,$B81,Points_Lookup!$N:$N),IF($B$4="R&amp;T Level 6 - Clinical Associate Professors and Clinical Readers (Vet School)",SUMIF(Points_Lookup!$T:$T,$B81,Points_Lookup!$U:$U),"")))</f>
        <v/>
      </c>
      <c r="S81" s="29" t="str">
        <f ca="1">IF(B81="","",IF($B$4="R&amp;T Level 5 - Clinical Lecturers (Vet School)",$C81-SUMIF(Points_Lookup!$M:$M,$B81,Points_Lookup!$O:$O),IF($B$4="R&amp;T Level 6 - Clinical Associate Professors and Clinical Readers (Vet School)",$C81-SUMIF(Points_Lookup!$T:$T,$B81,Points_Lookup!$V:$V),"")))</f>
        <v/>
      </c>
      <c r="T81" s="28" t="str">
        <f ca="1">IF(B81="","",IF($B$4="R&amp;T Level 5 - Clinical Lecturers (Vet School)",SUMIF(Points_Lookup!$M:$M,$B81,Points_Lookup!$Q:$Q),IF($B$4="R&amp;T Level 6 - Clinical Associate Professors and Clinical Readers (Vet School)",SUMIF(Points_Lookup!$T:$T,$B81,Points_Lookup!$X:$X),"")))</f>
        <v/>
      </c>
      <c r="U81" s="29" t="str">
        <f t="shared" ca="1" si="7"/>
        <v/>
      </c>
    </row>
    <row r="82" spans="2:21" x14ac:dyDescent="0.25">
      <c r="B82" s="4" t="str">
        <f ca="1">IFERROR(INDEX(Points_Lookup!$A:$A,MATCH($Z84,Points_Lookup!$AE:$AE,0)),"")</f>
        <v/>
      </c>
      <c r="C82" s="25" t="str">
        <f ca="1">IF(B82="","",IF($B$4="Apprenticeship",SUMIF(Points_Lookup!$AA:$AA,B82,Points_Lookup!$AC:$AC),IF(AND(OR($B$4="New Consultant Contract"),$B82&lt;&gt;""),INDEX(Points_Lookup!$K:$K,MATCH($B82,Points_Lookup!$J:$J,0)),IF(AND(OR($B$4="Clinical Lecturer / Medical Research Fellow",$B$4="Clinical Consultant - Old Contract (GP)"),$B82&lt;&gt;""),INDEX(Points_Lookup!$H:$H,MATCH($B82,Points_Lookup!$G:$G,0)),IF(AND(OR($B$4="APM Level 7",$B$4="R&amp;T Level 7",$B$4="APM Level 8"),B82&lt;&gt;""),INDEX(Points_Lookup!$E:$E,MATCH($Z82,Points_Lookup!$AE:$AE,0)),IF($B$4="R&amp;T Level 5 - Clinical Lecturers (Vet School)",SUMIF(Points_Lookup!$M:$M,$B82,Points_Lookup!$P:$P),IF($B$4="R&amp;T Level 6 - Clinical Associate Professors and Clinical Readers (Vet School)",SUMIF(Points_Lookup!$T:$T,$B82,Points_Lookup!$W:$W),IFERROR(INDEX(Points_Lookup!$B:$B,MATCH($Z82,Points_Lookup!$AE:$AE,0)),""))))))))</f>
        <v/>
      </c>
      <c r="D82" s="36"/>
      <c r="E82" s="25" t="str">
        <f ca="1">IF($B82="","",IF(AND($B$4="Salary Points 3 to 57",B82&lt;Thresholds_Rates!$C$16),"-",IF(SUMIF(Grades!$A:$A,$B$4,Grades!$BO:$BO)=0,"-",IF(AND($B$4="Salary Points 3 to 57",B82&gt;=Thresholds_Rates!$C$16),$C82*Thresholds_Rates!$F$15,IF(AND(OR($B$4="New Consultant Contract"),$B82&lt;&gt;""),$C82*Thresholds_Rates!$F$15,IF(AND(OR($B$4="Clinical Lecturer / Medical Research Fellow",$B$4="Clinical Consultant - Old Contract (GP)"),$B82&lt;&gt;""),$C82*Thresholds_Rates!$F$15,IF(OR($B$4="APM Level 7",$B$4="R&amp;T Level 7"),$C82*Thresholds_Rates!$F$15,IF(SUMIF(Grades!$A:$A,$B$4,Grades!$BO:$BO)=1,$C82*Thresholds_Rates!$F$15,""))))))))</f>
        <v/>
      </c>
      <c r="F82" s="25" t="str">
        <f ca="1">IF(B82="","",IF($B$4="Salary Points 1 to 57","-",IF(SUMIF(Grades!$A:$A,$B$4,Grades!$BP:$BP)=0,"-",IF(AND(OR($B$4="New Consultant Contract"),$B82&lt;&gt;""),$C82*Thresholds_Rates!$F$16,IF(AND(OR($B$4="Clinical Lecturer / Medical Research Fellow",$B$4="Clinical Consultant - Old Contract (GP)"),$B82&lt;&gt;""),$C82*Thresholds_Rates!$F$16,IF(AND(OR($B$4="APM Level 7",$B$4="R&amp;T Level 7"),E82&lt;&gt;""),$C82*Thresholds_Rates!$F$16,IF(SUMIF(Grades!$A:$A,$B$4,Grades!$BP:$BP)=1,$C82*Thresholds_Rates!$F$16,"")))))))</f>
        <v/>
      </c>
      <c r="G82" s="25" t="str">
        <f ca="1">IF(B82="","",IF(SUMIF(Grades!$A:$A,$B$4,Grades!$BQ:$BQ)=0,"-",IF(AND($B$4="Salary Points 1 to 57",B82&gt;Thresholds_Rates!$C$17),"-",IF(AND($B$4="Salary Points 1 to 57",B82&lt;=Thresholds_Rates!$C$17),$C82*Thresholds_Rates!$F$17,IF(AND(OR($B$4="New Consultant Contract"),$B82&lt;&gt;""),$C82*Thresholds_Rates!$F$17,IF(AND(OR($B$4="Clinical Lecturer / Medical Research Fellow",$B$4="Clinical Consultant - Old Contract (GP)"),$B82&lt;&gt;""),$C82*Thresholds_Rates!$F$17,IF(AND(OR($B$4="APM Level 7",$B$4="R&amp;T Level 7"),F82&lt;&gt;""),$C82*Thresholds_Rates!$F$17,IF(SUMIF(Grades!$A:$A,$B$4,Grades!$BQ:$BQ)=1,$C82*Thresholds_Rates!$F$17,""))))))))</f>
        <v/>
      </c>
      <c r="H82" s="25" t="str">
        <f ca="1">IF($B82="","",ROUND(($C82-(Thresholds_Rates!$C$5*12))*Thresholds_Rates!$C$10,0))</f>
        <v/>
      </c>
      <c r="I82" s="25" t="str">
        <f ca="1">IF(B82="","",(C82*Thresholds_Rates!$C$12))</f>
        <v/>
      </c>
      <c r="J82" s="25" t="str">
        <f ca="1">IF(B82="","",IF(AND($B$4="Salary Points 1 to 57",B82&gt;Thresholds_Rates!$C$17),"-",IF(SUMIF(Grades!$A:$A,$B$4,Grades!$BR:$BR)=0,"-",IF(AND($B$4="Salary Points 1 to 57",B82&lt;=Thresholds_Rates!$C$17),$C82*Thresholds_Rates!$F$18,IF(AND(OR($B$4="New Consultant Contract"),$B82&lt;&gt;""),$C82*Thresholds_Rates!$F$18,IF(AND(OR($B$4="Clinical Lecturer / Medical Research Fellow",$B$4="Clinical Consultant - Old Contract (GP)"),$B82&lt;&gt;""),$C82*Thresholds_Rates!$F$18,IF(AND(OR($B$4="APM Level 7",$B$4="R&amp;T Level 7"),H82&lt;&gt;""),$C82*Thresholds_Rates!$F$18,IF(SUMIF(Grades!$A:$A,$B$4,Grades!$BQ:$BQ)=1,$C82*Thresholds_Rates!$F$18,""))))))))</f>
        <v/>
      </c>
      <c r="K82" s="4"/>
      <c r="L82" s="25" t="str">
        <f t="shared" ca="1" si="8"/>
        <v/>
      </c>
      <c r="M82" s="25" t="str">
        <f t="shared" ca="1" si="9"/>
        <v/>
      </c>
      <c r="N82" s="25" t="str">
        <f t="shared" ca="1" si="10"/>
        <v/>
      </c>
      <c r="O82" s="25" t="str">
        <f t="shared" ca="1" si="11"/>
        <v/>
      </c>
      <c r="P82" s="25" t="str">
        <f t="shared" ca="1" si="12"/>
        <v/>
      </c>
      <c r="R82" s="28" t="str">
        <f ca="1">IF(B82="","",IF($B$4="R&amp;T Level 5 - Clinical Lecturers (Vet School)",SUMIF(Points_Lookup!$M:$M,$B82,Points_Lookup!$N:$N),IF($B$4="R&amp;T Level 6 - Clinical Associate Professors and Clinical Readers (Vet School)",SUMIF(Points_Lookup!$T:$T,$B82,Points_Lookup!$U:$U),"")))</f>
        <v/>
      </c>
      <c r="S82" s="29" t="str">
        <f ca="1">IF(B82="","",IF($B$4="R&amp;T Level 5 - Clinical Lecturers (Vet School)",$C82-SUMIF(Points_Lookup!$M:$M,$B82,Points_Lookup!$O:$O),IF($B$4="R&amp;T Level 6 - Clinical Associate Professors and Clinical Readers (Vet School)",$C82-SUMIF(Points_Lookup!$T:$T,$B82,Points_Lookup!$V:$V),"")))</f>
        <v/>
      </c>
      <c r="T82" s="28" t="str">
        <f ca="1">IF(B82="","",IF($B$4="R&amp;T Level 5 - Clinical Lecturers (Vet School)",SUMIF(Points_Lookup!$M:$M,$B82,Points_Lookup!$Q:$Q),IF($B$4="R&amp;T Level 6 - Clinical Associate Professors and Clinical Readers (Vet School)",SUMIF(Points_Lookup!$T:$T,$B82,Points_Lookup!$X:$X),"")))</f>
        <v/>
      </c>
      <c r="U82" s="29" t="str">
        <f t="shared" ca="1" si="7"/>
        <v/>
      </c>
    </row>
    <row r="83" spans="2:21" x14ac:dyDescent="0.25">
      <c r="B83" s="4" t="str">
        <f ca="1">IFERROR(INDEX(Points_Lookup!$A:$A,MATCH($Z85,Points_Lookup!$AE:$AE,0)),"")</f>
        <v/>
      </c>
      <c r="C83" s="25" t="str">
        <f ca="1">IF(B83="","",IF($B$4="Apprenticeship",SUMIF(Points_Lookup!$AA:$AA,B83,Points_Lookup!$AC:$AC),IF(AND(OR($B$4="New Consultant Contract"),$B83&lt;&gt;""),INDEX(Points_Lookup!$K:$K,MATCH($B83,Points_Lookup!$J:$J,0)),IF(AND(OR($B$4="Clinical Lecturer / Medical Research Fellow",$B$4="Clinical Consultant - Old Contract (GP)"),$B83&lt;&gt;""),INDEX(Points_Lookup!$H:$H,MATCH($B83,Points_Lookup!$G:$G,0)),IF(AND(OR($B$4="APM Level 7",$B$4="R&amp;T Level 7",$B$4="APM Level 8"),B83&lt;&gt;""),INDEX(Points_Lookup!$E:$E,MATCH($Z83,Points_Lookup!$AE:$AE,0)),IF($B$4="R&amp;T Level 5 - Clinical Lecturers (Vet School)",SUMIF(Points_Lookup!$M:$M,$B83,Points_Lookup!$P:$P),IF($B$4="R&amp;T Level 6 - Clinical Associate Professors and Clinical Readers (Vet School)",SUMIF(Points_Lookup!$T:$T,$B83,Points_Lookup!$W:$W),IFERROR(INDEX(Points_Lookup!$B:$B,MATCH($Z83,Points_Lookup!$AE:$AE,0)),""))))))))</f>
        <v/>
      </c>
      <c r="D83" s="36"/>
      <c r="E83" s="25" t="str">
        <f ca="1">IF($B83="","",IF(AND($B$4="Salary Points 3 to 57",B83&lt;Thresholds_Rates!$C$16),"-",IF(SUMIF(Grades!$A:$A,$B$4,Grades!$BO:$BO)=0,"-",IF(AND($B$4="Salary Points 3 to 57",B83&gt;=Thresholds_Rates!$C$16),$C83*Thresholds_Rates!$F$15,IF(AND(OR($B$4="New Consultant Contract"),$B83&lt;&gt;""),$C83*Thresholds_Rates!$F$15,IF(AND(OR($B$4="Clinical Lecturer / Medical Research Fellow",$B$4="Clinical Consultant - Old Contract (GP)"),$B83&lt;&gt;""),$C83*Thresholds_Rates!$F$15,IF(OR($B$4="APM Level 7",$B$4="R&amp;T Level 7"),$C83*Thresholds_Rates!$F$15,IF(SUMIF(Grades!$A:$A,$B$4,Grades!$BO:$BO)=1,$C83*Thresholds_Rates!$F$15,""))))))))</f>
        <v/>
      </c>
      <c r="F83" s="25" t="str">
        <f ca="1">IF(B83="","",IF($B$4="Salary Points 1 to 57","-",IF(SUMIF(Grades!$A:$A,$B$4,Grades!$BP:$BP)=0,"-",IF(AND(OR($B$4="New Consultant Contract"),$B83&lt;&gt;""),$C83*Thresholds_Rates!$F$16,IF(AND(OR($B$4="Clinical Lecturer / Medical Research Fellow",$B$4="Clinical Consultant - Old Contract (GP)"),$B83&lt;&gt;""),$C83*Thresholds_Rates!$F$16,IF(AND(OR($B$4="APM Level 7",$B$4="R&amp;T Level 7"),E83&lt;&gt;""),$C83*Thresholds_Rates!$F$16,IF(SUMIF(Grades!$A:$A,$B$4,Grades!$BP:$BP)=1,$C83*Thresholds_Rates!$F$16,"")))))))</f>
        <v/>
      </c>
      <c r="G83" s="25" t="str">
        <f ca="1">IF(B83="","",IF(SUMIF(Grades!$A:$A,$B$4,Grades!$BQ:$BQ)=0,"-",IF(AND($B$4="Salary Points 1 to 57",B83&gt;Thresholds_Rates!$C$17),"-",IF(AND($B$4="Salary Points 1 to 57",B83&lt;=Thresholds_Rates!$C$17),$C83*Thresholds_Rates!$F$17,IF(AND(OR($B$4="New Consultant Contract"),$B83&lt;&gt;""),$C83*Thresholds_Rates!$F$17,IF(AND(OR($B$4="Clinical Lecturer / Medical Research Fellow",$B$4="Clinical Consultant - Old Contract (GP)"),$B83&lt;&gt;""),$C83*Thresholds_Rates!$F$17,IF(AND(OR($B$4="APM Level 7",$B$4="R&amp;T Level 7"),F83&lt;&gt;""),$C83*Thresholds_Rates!$F$17,IF(SUMIF(Grades!$A:$A,$B$4,Grades!$BQ:$BQ)=1,$C83*Thresholds_Rates!$F$17,""))))))))</f>
        <v/>
      </c>
      <c r="H83" s="25" t="str">
        <f ca="1">IF($B83="","",ROUND(($C83-(Thresholds_Rates!$C$5*12))*Thresholds_Rates!$C$10,0))</f>
        <v/>
      </c>
      <c r="I83" s="25" t="str">
        <f ca="1">IF(B83="","",(C83*Thresholds_Rates!$C$12))</f>
        <v/>
      </c>
      <c r="J83" s="25" t="str">
        <f ca="1">IF(B83="","",IF(AND($B$4="Salary Points 1 to 57",B83&gt;Thresholds_Rates!$C$17),"-",IF(SUMIF(Grades!$A:$A,$B$4,Grades!$BR:$BR)=0,"-",IF(AND($B$4="Salary Points 1 to 57",B83&lt;=Thresholds_Rates!$C$17),$C83*Thresholds_Rates!$F$18,IF(AND(OR($B$4="New Consultant Contract"),$B83&lt;&gt;""),$C83*Thresholds_Rates!$F$18,IF(AND(OR($B$4="Clinical Lecturer / Medical Research Fellow",$B$4="Clinical Consultant - Old Contract (GP)"),$B83&lt;&gt;""),$C83*Thresholds_Rates!$F$18,IF(AND(OR($B$4="APM Level 7",$B$4="R&amp;T Level 7"),H83&lt;&gt;""),$C83*Thresholds_Rates!$F$18,IF(SUMIF(Grades!$A:$A,$B$4,Grades!$BQ:$BQ)=1,$C83*Thresholds_Rates!$F$18,""))))))))</f>
        <v/>
      </c>
      <c r="K83" s="4"/>
      <c r="L83" s="25" t="str">
        <f t="shared" ca="1" si="8"/>
        <v/>
      </c>
      <c r="M83" s="25" t="str">
        <f t="shared" ca="1" si="9"/>
        <v/>
      </c>
      <c r="N83" s="25" t="str">
        <f t="shared" ca="1" si="10"/>
        <v/>
      </c>
      <c r="O83" s="25" t="str">
        <f t="shared" ca="1" si="11"/>
        <v/>
      </c>
      <c r="P83" s="25" t="str">
        <f t="shared" ca="1" si="12"/>
        <v/>
      </c>
      <c r="R83" s="28" t="str">
        <f ca="1">IF(B83="","",IF($B$4="R&amp;T Level 5 - Clinical Lecturers (Vet School)",SUMIF(Points_Lookup!$M:$M,$B83,Points_Lookup!$N:$N),IF($B$4="R&amp;T Level 6 - Clinical Associate Professors and Clinical Readers (Vet School)",SUMIF(Points_Lookup!$T:$T,$B83,Points_Lookup!$U:$U),"")))</f>
        <v/>
      </c>
      <c r="S83" s="29" t="str">
        <f ca="1">IF(B83="","",IF($B$4="R&amp;T Level 5 - Clinical Lecturers (Vet School)",$C83-SUMIF(Points_Lookup!$M:$M,$B83,Points_Lookup!$O:$O),IF($B$4="R&amp;T Level 6 - Clinical Associate Professors and Clinical Readers (Vet School)",$C83-SUMIF(Points_Lookup!$T:$T,$B83,Points_Lookup!$V:$V),"")))</f>
        <v/>
      </c>
      <c r="T83" s="28" t="str">
        <f ca="1">IF(B83="","",IF($B$4="R&amp;T Level 5 - Clinical Lecturers (Vet School)",SUMIF(Points_Lookup!$M:$M,$B83,Points_Lookup!$Q:$Q),IF($B$4="R&amp;T Level 6 - Clinical Associate Professors and Clinical Readers (Vet School)",SUMIF(Points_Lookup!$T:$T,$B83,Points_Lookup!$X:$X),"")))</f>
        <v/>
      </c>
      <c r="U83" s="29" t="str">
        <f t="shared" ca="1" si="7"/>
        <v/>
      </c>
    </row>
    <row r="84" spans="2:21" x14ac:dyDescent="0.25">
      <c r="B84" s="4" t="str">
        <f ca="1">IFERROR(INDEX(Points_Lookup!$A:$A,MATCH($Z86,Points_Lookup!$AE:$AE,0)),"")</f>
        <v/>
      </c>
      <c r="C84" s="25" t="str">
        <f ca="1">IF(B84="","",IF($B$4="Apprenticeship",SUMIF(Points_Lookup!$AA:$AA,B84,Points_Lookup!$AC:$AC),IF(AND(OR($B$4="New Consultant Contract"),$B84&lt;&gt;""),INDEX(Points_Lookup!$K:$K,MATCH($B84,Points_Lookup!$J:$J,0)),IF(AND(OR($B$4="Clinical Lecturer / Medical Research Fellow",$B$4="Clinical Consultant - Old Contract (GP)"),$B84&lt;&gt;""),INDEX(Points_Lookup!$H:$H,MATCH($B84,Points_Lookup!$G:$G,0)),IF(AND(OR($B$4="APM Level 7",$B$4="R&amp;T Level 7",$B$4="APM Level 8"),B84&lt;&gt;""),INDEX(Points_Lookup!$E:$E,MATCH($Z84,Points_Lookup!$AE:$AE,0)),IF($B$4="R&amp;T Level 5 - Clinical Lecturers (Vet School)",SUMIF(Points_Lookup!$M:$M,$B84,Points_Lookup!$P:$P),IF($B$4="R&amp;T Level 6 - Clinical Associate Professors and Clinical Readers (Vet School)",SUMIF(Points_Lookup!$T:$T,$B84,Points_Lookup!$W:$W),IFERROR(INDEX(Points_Lookup!$B:$B,MATCH($Z84,Points_Lookup!$AE:$AE,0)),""))))))))</f>
        <v/>
      </c>
      <c r="D84" s="36"/>
      <c r="E84" s="25" t="str">
        <f ca="1">IF($B84="","",IF(AND($B$4="Salary Points 3 to 57",B84&lt;Thresholds_Rates!$C$16),"-",IF(SUMIF(Grades!$A:$A,$B$4,Grades!$BO:$BO)=0,"-",IF(AND($B$4="Salary Points 3 to 57",B84&gt;=Thresholds_Rates!$C$16),$C84*Thresholds_Rates!$F$15,IF(AND(OR($B$4="New Consultant Contract"),$B84&lt;&gt;""),$C84*Thresholds_Rates!$F$15,IF(AND(OR($B$4="Clinical Lecturer / Medical Research Fellow",$B$4="Clinical Consultant - Old Contract (GP)"),$B84&lt;&gt;""),$C84*Thresholds_Rates!$F$15,IF(OR($B$4="APM Level 7",$B$4="R&amp;T Level 7"),$C84*Thresholds_Rates!$F$15,IF(SUMIF(Grades!$A:$A,$B$4,Grades!$BO:$BO)=1,$C84*Thresholds_Rates!$F$15,""))))))))</f>
        <v/>
      </c>
      <c r="F84" s="25" t="str">
        <f ca="1">IF(B84="","",IF($B$4="Salary Points 1 to 57","-",IF(SUMIF(Grades!$A:$A,$B$4,Grades!$BP:$BP)=0,"-",IF(AND(OR($B$4="New Consultant Contract"),$B84&lt;&gt;""),$C84*Thresholds_Rates!$F$16,IF(AND(OR($B$4="Clinical Lecturer / Medical Research Fellow",$B$4="Clinical Consultant - Old Contract (GP)"),$B84&lt;&gt;""),$C84*Thresholds_Rates!$F$16,IF(AND(OR($B$4="APM Level 7",$B$4="R&amp;T Level 7"),E84&lt;&gt;""),$C84*Thresholds_Rates!$F$16,IF(SUMIF(Grades!$A:$A,$B$4,Grades!$BP:$BP)=1,$C84*Thresholds_Rates!$F$16,"")))))))</f>
        <v/>
      </c>
      <c r="G84" s="25" t="str">
        <f ca="1">IF(B84="","",IF(SUMIF(Grades!$A:$A,$B$4,Grades!$BQ:$BQ)=0,"-",IF(AND($B$4="Salary Points 1 to 57",B84&gt;Thresholds_Rates!$C$17),"-",IF(AND($B$4="Salary Points 1 to 57",B84&lt;=Thresholds_Rates!$C$17),$C84*Thresholds_Rates!$F$17,IF(AND(OR($B$4="New Consultant Contract"),$B84&lt;&gt;""),$C84*Thresholds_Rates!$F$17,IF(AND(OR($B$4="Clinical Lecturer / Medical Research Fellow",$B$4="Clinical Consultant - Old Contract (GP)"),$B84&lt;&gt;""),$C84*Thresholds_Rates!$F$17,IF(AND(OR($B$4="APM Level 7",$B$4="R&amp;T Level 7"),F84&lt;&gt;""),$C84*Thresholds_Rates!$F$17,IF(SUMIF(Grades!$A:$A,$B$4,Grades!$BQ:$BQ)=1,$C84*Thresholds_Rates!$F$17,""))))))))</f>
        <v/>
      </c>
      <c r="H84" s="25" t="str">
        <f ca="1">IF($B84="","",ROUND(($C84-(Thresholds_Rates!$C$5*12))*Thresholds_Rates!$C$10,0))</f>
        <v/>
      </c>
      <c r="I84" s="25" t="str">
        <f ca="1">IF(B84="","",(C84*Thresholds_Rates!$C$12))</f>
        <v/>
      </c>
      <c r="J84" s="25" t="str">
        <f ca="1">IF(B84="","",IF(AND($B$4="Salary Points 1 to 57",B84&gt;Thresholds_Rates!$C$17),"-",IF(SUMIF(Grades!$A:$A,$B$4,Grades!$BR:$BR)=0,"-",IF(AND($B$4="Salary Points 1 to 57",B84&lt;=Thresholds_Rates!$C$17),$C84*Thresholds_Rates!$F$18,IF(AND(OR($B$4="New Consultant Contract"),$B84&lt;&gt;""),$C84*Thresholds_Rates!$F$18,IF(AND(OR($B$4="Clinical Lecturer / Medical Research Fellow",$B$4="Clinical Consultant - Old Contract (GP)"),$B84&lt;&gt;""),$C84*Thresholds_Rates!$F$18,IF(AND(OR($B$4="APM Level 7",$B$4="R&amp;T Level 7"),H84&lt;&gt;""),$C84*Thresholds_Rates!$F$18,IF(SUMIF(Grades!$A:$A,$B$4,Grades!$BQ:$BQ)=1,$C84*Thresholds_Rates!$F$18,""))))))))</f>
        <v/>
      </c>
      <c r="K84" s="4"/>
      <c r="L84" s="25" t="str">
        <f t="shared" ca="1" si="8"/>
        <v/>
      </c>
      <c r="M84" s="25" t="str">
        <f t="shared" ca="1" si="9"/>
        <v/>
      </c>
      <c r="N84" s="25" t="str">
        <f t="shared" ca="1" si="10"/>
        <v/>
      </c>
      <c r="O84" s="25" t="str">
        <f t="shared" ca="1" si="11"/>
        <v/>
      </c>
      <c r="P84" s="25" t="str">
        <f t="shared" ca="1" si="12"/>
        <v/>
      </c>
      <c r="R84" s="28" t="str">
        <f ca="1">IF(B84="","",IF($B$4="R&amp;T Level 5 - Clinical Lecturers (Vet School)",SUMIF(Points_Lookup!$M:$M,$B84,Points_Lookup!$N:$N),IF($B$4="R&amp;T Level 6 - Clinical Associate Professors and Clinical Readers (Vet School)",SUMIF(Points_Lookup!$T:$T,$B84,Points_Lookup!$U:$U),"")))</f>
        <v/>
      </c>
      <c r="S84" s="29" t="str">
        <f ca="1">IF(B84="","",IF($B$4="R&amp;T Level 5 - Clinical Lecturers (Vet School)",$C84-SUMIF(Points_Lookup!$M:$M,$B84,Points_Lookup!$O:$O),IF($B$4="R&amp;T Level 6 - Clinical Associate Professors and Clinical Readers (Vet School)",$C84-SUMIF(Points_Lookup!$T:$T,$B84,Points_Lookup!$V:$V),"")))</f>
        <v/>
      </c>
      <c r="T84" s="28" t="str">
        <f ca="1">IF(B84="","",IF($B$4="R&amp;T Level 5 - Clinical Lecturers (Vet School)",SUMIF(Points_Lookup!$M:$M,$B84,Points_Lookup!$Q:$Q),IF($B$4="R&amp;T Level 6 - Clinical Associate Professors and Clinical Readers (Vet School)",SUMIF(Points_Lookup!$T:$T,$B84,Points_Lookup!$X:$X),"")))</f>
        <v/>
      </c>
      <c r="U84" s="29" t="str">
        <f t="shared" ca="1" si="7"/>
        <v/>
      </c>
    </row>
    <row r="85" spans="2:21" x14ac:dyDescent="0.25">
      <c r="B85" s="4" t="str">
        <f ca="1">IFERROR(INDEX(Points_Lookup!$A:$A,MATCH($Z87,Points_Lookup!$AE:$AE,0)),"")</f>
        <v/>
      </c>
      <c r="C85" s="25" t="str">
        <f ca="1">IF(B85="","",IF($B$4="Apprenticeship",SUMIF(Points_Lookup!$AA:$AA,B85,Points_Lookup!$AC:$AC),IF(AND(OR($B$4="New Consultant Contract"),$B85&lt;&gt;""),INDEX(Points_Lookup!$K:$K,MATCH($B85,Points_Lookup!$J:$J,0)),IF(AND(OR($B$4="Clinical Lecturer / Medical Research Fellow",$B$4="Clinical Consultant - Old Contract (GP)"),$B85&lt;&gt;""),INDEX(Points_Lookup!$H:$H,MATCH($B85,Points_Lookup!$G:$G,0)),IF(AND(OR($B$4="APM Level 7",$B$4="R&amp;T Level 7",$B$4="APM Level 8"),B85&lt;&gt;""),INDEX(Points_Lookup!$E:$E,MATCH($Z85,Points_Lookup!$AE:$AE,0)),IF($B$4="R&amp;T Level 5 - Clinical Lecturers (Vet School)",SUMIF(Points_Lookup!$M:$M,$B85,Points_Lookup!$P:$P),IF($B$4="R&amp;T Level 6 - Clinical Associate Professors and Clinical Readers (Vet School)",SUMIF(Points_Lookup!$T:$T,$B85,Points_Lookup!$W:$W),IFERROR(INDEX(Points_Lookup!$B:$B,MATCH($Z85,Points_Lookup!$AE:$AE,0)),""))))))))</f>
        <v/>
      </c>
      <c r="D85" s="36"/>
      <c r="E85" s="25" t="str">
        <f ca="1">IF($B85="","",IF(AND($B$4="Salary Points 3 to 57",B85&lt;Thresholds_Rates!$C$16),"-",IF(SUMIF(Grades!$A:$A,$B$4,Grades!$BO:$BO)=0,"-",IF(AND($B$4="Salary Points 3 to 57",B85&gt;=Thresholds_Rates!$C$16),$C85*Thresholds_Rates!$F$15,IF(AND(OR($B$4="New Consultant Contract"),$B85&lt;&gt;""),$C85*Thresholds_Rates!$F$15,IF(AND(OR($B$4="Clinical Lecturer / Medical Research Fellow",$B$4="Clinical Consultant - Old Contract (GP)"),$B85&lt;&gt;""),$C85*Thresholds_Rates!$F$15,IF(OR($B$4="APM Level 7",$B$4="R&amp;T Level 7"),$C85*Thresholds_Rates!$F$15,IF(SUMIF(Grades!$A:$A,$B$4,Grades!$BO:$BO)=1,$C85*Thresholds_Rates!$F$15,""))))))))</f>
        <v/>
      </c>
      <c r="F85" s="25" t="str">
        <f ca="1">IF(B85="","",IF($B$4="Salary Points 1 to 57","-",IF(SUMIF(Grades!$A:$A,$B$4,Grades!$BP:$BP)=0,"-",IF(AND(OR($B$4="New Consultant Contract"),$B85&lt;&gt;""),$C85*Thresholds_Rates!$F$16,IF(AND(OR($B$4="Clinical Lecturer / Medical Research Fellow",$B$4="Clinical Consultant - Old Contract (GP)"),$B85&lt;&gt;""),$C85*Thresholds_Rates!$F$16,IF(AND(OR($B$4="APM Level 7",$B$4="R&amp;T Level 7"),E85&lt;&gt;""),$C85*Thresholds_Rates!$F$16,IF(SUMIF(Grades!$A:$A,$B$4,Grades!$BP:$BP)=1,$C85*Thresholds_Rates!$F$16,"")))))))</f>
        <v/>
      </c>
      <c r="G85" s="25" t="str">
        <f ca="1">IF(B85="","",IF(SUMIF(Grades!$A:$A,$B$4,Grades!$BQ:$BQ)=0,"-",IF(AND($B$4="Salary Points 1 to 57",B85&gt;Thresholds_Rates!$C$17),"-",IF(AND($B$4="Salary Points 1 to 57",B85&lt;=Thresholds_Rates!$C$17),$C85*Thresholds_Rates!$F$17,IF(AND(OR($B$4="New Consultant Contract"),$B85&lt;&gt;""),$C85*Thresholds_Rates!$F$17,IF(AND(OR($B$4="Clinical Lecturer / Medical Research Fellow",$B$4="Clinical Consultant - Old Contract (GP)"),$B85&lt;&gt;""),$C85*Thresholds_Rates!$F$17,IF(AND(OR($B$4="APM Level 7",$B$4="R&amp;T Level 7"),F85&lt;&gt;""),$C85*Thresholds_Rates!$F$17,IF(SUMIF(Grades!$A:$A,$B$4,Grades!$BQ:$BQ)=1,$C85*Thresholds_Rates!$F$17,""))))))))</f>
        <v/>
      </c>
      <c r="H85" s="25" t="str">
        <f ca="1">IF($B85="","",ROUND(($C85-(Thresholds_Rates!$C$5*12))*Thresholds_Rates!$C$10,0))</f>
        <v/>
      </c>
      <c r="I85" s="25" t="str">
        <f ca="1">IF(B85="","",(C85*Thresholds_Rates!$C$12))</f>
        <v/>
      </c>
      <c r="J85" s="25" t="str">
        <f ca="1">IF(B85="","",IF(AND($B$4="Salary Points 1 to 57",B85&gt;Thresholds_Rates!$C$17),"-",IF(SUMIF(Grades!$A:$A,$B$4,Grades!$BR:$BR)=0,"-",IF(AND($B$4="Salary Points 1 to 57",B85&lt;=Thresholds_Rates!$C$17),$C85*Thresholds_Rates!$F$18,IF(AND(OR($B$4="New Consultant Contract"),$B85&lt;&gt;""),$C85*Thresholds_Rates!$F$18,IF(AND(OR($B$4="Clinical Lecturer / Medical Research Fellow",$B$4="Clinical Consultant - Old Contract (GP)"),$B85&lt;&gt;""),$C85*Thresholds_Rates!$F$18,IF(AND(OR($B$4="APM Level 7",$B$4="R&amp;T Level 7"),H85&lt;&gt;""),$C85*Thresholds_Rates!$F$18,IF(SUMIF(Grades!$A:$A,$B$4,Grades!$BQ:$BQ)=1,$C85*Thresholds_Rates!$F$18,""))))))))</f>
        <v/>
      </c>
      <c r="K85" s="4"/>
      <c r="L85" s="25" t="str">
        <f t="shared" ca="1" si="8"/>
        <v/>
      </c>
      <c r="M85" s="25" t="str">
        <f t="shared" ca="1" si="9"/>
        <v/>
      </c>
      <c r="N85" s="25" t="str">
        <f t="shared" ca="1" si="10"/>
        <v/>
      </c>
      <c r="O85" s="25" t="str">
        <f t="shared" ca="1" si="11"/>
        <v/>
      </c>
      <c r="P85" s="25" t="str">
        <f t="shared" ca="1" si="12"/>
        <v/>
      </c>
      <c r="R85" s="28" t="str">
        <f ca="1">IF(B85="","",IF($B$4="R&amp;T Level 5 - Clinical Lecturers (Vet School)",SUMIF(Points_Lookup!$M:$M,$B85,Points_Lookup!$N:$N),IF($B$4="R&amp;T Level 6 - Clinical Associate Professors and Clinical Readers (Vet School)",SUMIF(Points_Lookup!$T:$T,$B85,Points_Lookup!$U:$U),"")))</f>
        <v/>
      </c>
      <c r="S85" s="29" t="str">
        <f ca="1">IF(B85="","",IF($B$4="R&amp;T Level 5 - Clinical Lecturers (Vet School)",$C85-SUMIF(Points_Lookup!$M:$M,$B85,Points_Lookup!$O:$O),IF($B$4="R&amp;T Level 6 - Clinical Associate Professors and Clinical Readers (Vet School)",$C85-SUMIF(Points_Lookup!$T:$T,$B85,Points_Lookup!$V:$V),"")))</f>
        <v/>
      </c>
      <c r="T85" s="28" t="str">
        <f ca="1">IF(B85="","",IF($B$4="R&amp;T Level 5 - Clinical Lecturers (Vet School)",SUMIF(Points_Lookup!$M:$M,$B85,Points_Lookup!$Q:$Q),IF($B$4="R&amp;T Level 6 - Clinical Associate Professors and Clinical Readers (Vet School)",SUMIF(Points_Lookup!$T:$T,$B85,Points_Lookup!$X:$X),"")))</f>
        <v/>
      </c>
      <c r="U85" s="29" t="str">
        <f t="shared" ca="1" si="7"/>
        <v/>
      </c>
    </row>
    <row r="86" spans="2:21" x14ac:dyDescent="0.25">
      <c r="B86" s="4" t="str">
        <f ca="1">IFERROR(INDEX(Points_Lookup!$A:$A,MATCH($Z88,Points_Lookup!$AE:$AE,0)),"")</f>
        <v/>
      </c>
      <c r="C86" s="25" t="str">
        <f ca="1">IF(B86="","",IF($B$4="Apprenticeship",SUMIF(Points_Lookup!$AA:$AA,B86,Points_Lookup!$AC:$AC),IF(AND(OR($B$4="New Consultant Contract"),$B86&lt;&gt;""),INDEX(Points_Lookup!$K:$K,MATCH($B86,Points_Lookup!$J:$J,0)),IF(AND(OR($B$4="Clinical Lecturer / Medical Research Fellow",$B$4="Clinical Consultant - Old Contract (GP)"),$B86&lt;&gt;""),INDEX(Points_Lookup!$H:$H,MATCH($B86,Points_Lookup!$G:$G,0)),IF(AND(OR($B$4="APM Level 7",$B$4="R&amp;T Level 7",$B$4="APM Level 8"),B86&lt;&gt;""),INDEX(Points_Lookup!$E:$E,MATCH($Z86,Points_Lookup!$AE:$AE,0)),IF($B$4="R&amp;T Level 5 - Clinical Lecturers (Vet School)",SUMIF(Points_Lookup!$M:$M,$B86,Points_Lookup!$P:$P),IF($B$4="R&amp;T Level 6 - Clinical Associate Professors and Clinical Readers (Vet School)",SUMIF(Points_Lookup!$T:$T,$B86,Points_Lookup!$W:$W),IFERROR(INDEX(Points_Lookup!$B:$B,MATCH($Z86,Points_Lookup!$AE:$AE,0)),""))))))))</f>
        <v/>
      </c>
      <c r="D86" s="36"/>
      <c r="E86" s="25" t="str">
        <f ca="1">IF($B86="","",IF(AND($B$4="Salary Points 3 to 57",B86&lt;Thresholds_Rates!$C$16),"-",IF(SUMIF(Grades!$A:$A,$B$4,Grades!$BO:$BO)=0,"-",IF(AND($B$4="Salary Points 3 to 57",B86&gt;=Thresholds_Rates!$C$16),$C86*Thresholds_Rates!$F$15,IF(AND(OR($B$4="New Consultant Contract"),$B86&lt;&gt;""),$C86*Thresholds_Rates!$F$15,IF(AND(OR($B$4="Clinical Lecturer / Medical Research Fellow",$B$4="Clinical Consultant - Old Contract (GP)"),$B86&lt;&gt;""),$C86*Thresholds_Rates!$F$15,IF(OR($B$4="APM Level 7",$B$4="R&amp;T Level 7"),$C86*Thresholds_Rates!$F$15,IF(SUMIF(Grades!$A:$A,$B$4,Grades!$BO:$BO)=1,$C86*Thresholds_Rates!$F$15,""))))))))</f>
        <v/>
      </c>
      <c r="F86" s="25" t="str">
        <f ca="1">IF(B86="","",IF($B$4="Salary Points 1 to 57","-",IF(SUMIF(Grades!$A:$A,$B$4,Grades!$BP:$BP)=0,"-",IF(AND(OR($B$4="New Consultant Contract"),$B86&lt;&gt;""),$C86*Thresholds_Rates!$F$16,IF(AND(OR($B$4="Clinical Lecturer / Medical Research Fellow",$B$4="Clinical Consultant - Old Contract (GP)"),$B86&lt;&gt;""),$C86*Thresholds_Rates!$F$16,IF(AND(OR($B$4="APM Level 7",$B$4="R&amp;T Level 7"),E86&lt;&gt;""),$C86*Thresholds_Rates!$F$16,IF(SUMIF(Grades!$A:$A,$B$4,Grades!$BP:$BP)=1,$C86*Thresholds_Rates!$F$16,"")))))))</f>
        <v/>
      </c>
      <c r="G86" s="25" t="str">
        <f ca="1">IF(B86="","",IF(SUMIF(Grades!$A:$A,$B$4,Grades!$BQ:$BQ)=0,"-",IF(AND($B$4="Salary Points 1 to 57",B86&gt;Thresholds_Rates!$C$17),"-",IF(AND($B$4="Salary Points 1 to 57",B86&lt;=Thresholds_Rates!$C$17),$C86*Thresholds_Rates!$F$17,IF(AND(OR($B$4="New Consultant Contract"),$B86&lt;&gt;""),$C86*Thresholds_Rates!$F$17,IF(AND(OR($B$4="Clinical Lecturer / Medical Research Fellow",$B$4="Clinical Consultant - Old Contract (GP)"),$B86&lt;&gt;""),$C86*Thresholds_Rates!$F$17,IF(AND(OR($B$4="APM Level 7",$B$4="R&amp;T Level 7"),F86&lt;&gt;""),$C86*Thresholds_Rates!$F$17,IF(SUMIF(Grades!$A:$A,$B$4,Grades!$BQ:$BQ)=1,$C86*Thresholds_Rates!$F$17,""))))))))</f>
        <v/>
      </c>
      <c r="H86" s="25" t="str">
        <f ca="1">IF($B86="","",ROUND(($C86-(Thresholds_Rates!$C$5*12))*Thresholds_Rates!$C$10,0))</f>
        <v/>
      </c>
      <c r="I86" s="25" t="str">
        <f ca="1">IF(B86="","",(C86*Thresholds_Rates!$C$12))</f>
        <v/>
      </c>
      <c r="J86" s="25" t="str">
        <f ca="1">IF(B86="","",IF(AND($B$4="Salary Points 1 to 57",B86&gt;Thresholds_Rates!$C$17),"-",IF(SUMIF(Grades!$A:$A,$B$4,Grades!$BR:$BR)=0,"-",IF(AND($B$4="Salary Points 1 to 57",B86&lt;=Thresholds_Rates!$C$17),$C86*Thresholds_Rates!$F$18,IF(AND(OR($B$4="New Consultant Contract"),$B86&lt;&gt;""),$C86*Thresholds_Rates!$F$18,IF(AND(OR($B$4="Clinical Lecturer / Medical Research Fellow",$B$4="Clinical Consultant - Old Contract (GP)"),$B86&lt;&gt;""),$C86*Thresholds_Rates!$F$18,IF(AND(OR($B$4="APM Level 7",$B$4="R&amp;T Level 7"),H86&lt;&gt;""),$C86*Thresholds_Rates!$F$18,IF(SUMIF(Grades!$A:$A,$B$4,Grades!$BQ:$BQ)=1,$C86*Thresholds_Rates!$F$18,""))))))))</f>
        <v/>
      </c>
      <c r="K86" s="4"/>
      <c r="L86" s="25" t="str">
        <f t="shared" ca="1" si="8"/>
        <v/>
      </c>
      <c r="M86" s="25" t="str">
        <f t="shared" ca="1" si="9"/>
        <v/>
      </c>
      <c r="N86" s="25" t="str">
        <f t="shared" ca="1" si="10"/>
        <v/>
      </c>
      <c r="O86" s="25" t="str">
        <f t="shared" ca="1" si="11"/>
        <v/>
      </c>
      <c r="P86" s="25" t="str">
        <f t="shared" ca="1" si="12"/>
        <v/>
      </c>
      <c r="R86" s="28" t="str">
        <f ca="1">IF(B86="","",IF($B$4="R&amp;T Level 5 - Clinical Lecturers (Vet School)",SUMIF(Points_Lookup!$M:$M,$B86,Points_Lookup!$N:$N),IF($B$4="R&amp;T Level 6 - Clinical Associate Professors and Clinical Readers (Vet School)",SUMIF(Points_Lookup!$T:$T,$B86,Points_Lookup!$U:$U),"")))</f>
        <v/>
      </c>
      <c r="S86" s="29" t="str">
        <f ca="1">IF(B86="","",IF($B$4="R&amp;T Level 5 - Clinical Lecturers (Vet School)",$C86-SUMIF(Points_Lookup!$M:$M,$B86,Points_Lookup!$O:$O),IF($B$4="R&amp;T Level 6 - Clinical Associate Professors and Clinical Readers (Vet School)",$C86-SUMIF(Points_Lookup!$T:$T,$B86,Points_Lookup!$V:$V),"")))</f>
        <v/>
      </c>
      <c r="T86" s="28" t="str">
        <f ca="1">IF(B86="","",IF($B$4="R&amp;T Level 5 - Clinical Lecturers (Vet School)",SUMIF(Points_Lookup!$M:$M,$B86,Points_Lookup!$Q:$Q),IF($B$4="R&amp;T Level 6 - Clinical Associate Professors and Clinical Readers (Vet School)",SUMIF(Points_Lookup!$T:$T,$B86,Points_Lookup!$X:$X),"")))</f>
        <v/>
      </c>
      <c r="U86" s="29" t="str">
        <f t="shared" ca="1" si="7"/>
        <v/>
      </c>
    </row>
    <row r="87" spans="2:21" x14ac:dyDescent="0.25">
      <c r="B87" s="4" t="str">
        <f ca="1">IFERROR(INDEX(Points_Lookup!$A:$A,MATCH($Z89,Points_Lookup!$AE:$AE,0)),"")</f>
        <v/>
      </c>
      <c r="C87" s="25" t="str">
        <f ca="1">IF(B87="","",IF($B$4="Apprenticeship",SUMIF(Points_Lookup!$AA:$AA,B87,Points_Lookup!$AC:$AC),IF(AND(OR($B$4="New Consultant Contract"),$B87&lt;&gt;""),INDEX(Points_Lookup!$K:$K,MATCH($B87,Points_Lookup!$J:$J,0)),IF(AND(OR($B$4="Clinical Lecturer / Medical Research Fellow",$B$4="Clinical Consultant - Old Contract (GP)"),$B87&lt;&gt;""),INDEX(Points_Lookup!$H:$H,MATCH($B87,Points_Lookup!$G:$G,0)),IF(AND(OR($B$4="APM Level 7",$B$4="R&amp;T Level 7",$B$4="APM Level 8"),B87&lt;&gt;""),INDEX(Points_Lookup!$E:$E,MATCH($Z87,Points_Lookup!$AE:$AE,0)),IF($B$4="R&amp;T Level 5 - Clinical Lecturers (Vet School)",SUMIF(Points_Lookup!$M:$M,$B87,Points_Lookup!$P:$P),IF($B$4="R&amp;T Level 6 - Clinical Associate Professors and Clinical Readers (Vet School)",SUMIF(Points_Lookup!$T:$T,$B87,Points_Lookup!$W:$W),IFERROR(INDEX(Points_Lookup!$B:$B,MATCH($Z87,Points_Lookup!$AE:$AE,0)),""))))))))</f>
        <v/>
      </c>
      <c r="D87" s="36"/>
      <c r="E87" s="25" t="str">
        <f ca="1">IF($B87="","",IF(AND($B$4="Salary Points 3 to 57",B87&lt;Thresholds_Rates!$C$16),"-",IF(SUMIF(Grades!$A:$A,$B$4,Grades!$BO:$BO)=0,"-",IF(AND($B$4="Salary Points 3 to 57",B87&gt;=Thresholds_Rates!$C$16),$C87*Thresholds_Rates!$F$15,IF(AND(OR($B$4="New Consultant Contract"),$B87&lt;&gt;""),$C87*Thresholds_Rates!$F$15,IF(AND(OR($B$4="Clinical Lecturer / Medical Research Fellow",$B$4="Clinical Consultant - Old Contract (GP)"),$B87&lt;&gt;""),$C87*Thresholds_Rates!$F$15,IF(OR($B$4="APM Level 7",$B$4="R&amp;T Level 7"),$C87*Thresholds_Rates!$F$15,IF(SUMIF(Grades!$A:$A,$B$4,Grades!$BO:$BO)=1,$C87*Thresholds_Rates!$F$15,""))))))))</f>
        <v/>
      </c>
      <c r="F87" s="25" t="str">
        <f ca="1">IF(B87="","",IF($B$4="Salary Points 1 to 57","-",IF(SUMIF(Grades!$A:$A,$B$4,Grades!$BP:$BP)=0,"-",IF(AND(OR($B$4="New Consultant Contract"),$B87&lt;&gt;""),$C87*Thresholds_Rates!$F$16,IF(AND(OR($B$4="Clinical Lecturer / Medical Research Fellow",$B$4="Clinical Consultant - Old Contract (GP)"),$B87&lt;&gt;""),$C87*Thresholds_Rates!$F$16,IF(AND(OR($B$4="APM Level 7",$B$4="R&amp;T Level 7"),E87&lt;&gt;""),$C87*Thresholds_Rates!$F$16,IF(SUMIF(Grades!$A:$A,$B$4,Grades!$BP:$BP)=1,$C87*Thresholds_Rates!$F$16,"")))))))</f>
        <v/>
      </c>
      <c r="G87" s="25" t="str">
        <f ca="1">IF(B87="","",IF(SUMIF(Grades!$A:$A,$B$4,Grades!$BQ:$BQ)=0,"-",IF(AND($B$4="Salary Points 1 to 57",B87&gt;Thresholds_Rates!$C$17),"-",IF(AND($B$4="Salary Points 1 to 57",B87&lt;=Thresholds_Rates!$C$17),$C87*Thresholds_Rates!$F$17,IF(AND(OR($B$4="New Consultant Contract"),$B87&lt;&gt;""),$C87*Thresholds_Rates!$F$17,IF(AND(OR($B$4="Clinical Lecturer / Medical Research Fellow",$B$4="Clinical Consultant - Old Contract (GP)"),$B87&lt;&gt;""),$C87*Thresholds_Rates!$F$17,IF(AND(OR($B$4="APM Level 7",$B$4="R&amp;T Level 7"),F87&lt;&gt;""),$C87*Thresholds_Rates!$F$17,IF(SUMIF(Grades!$A:$A,$B$4,Grades!$BQ:$BQ)=1,$C87*Thresholds_Rates!$F$17,""))))))))</f>
        <v/>
      </c>
      <c r="H87" s="25" t="str">
        <f ca="1">IF($B87="","",ROUND(($C87-(Thresholds_Rates!$C$5*12))*Thresholds_Rates!$C$10,0))</f>
        <v/>
      </c>
      <c r="I87" s="25" t="str">
        <f ca="1">IF(B87="","",(C87*Thresholds_Rates!$C$12))</f>
        <v/>
      </c>
      <c r="J87" s="25" t="str">
        <f ca="1">IF(B87="","",IF(AND($B$4="Salary Points 1 to 57",B87&gt;Thresholds_Rates!$C$17),"-",IF(SUMIF(Grades!$A:$A,$B$4,Grades!$BR:$BR)=0,"-",IF(AND($B$4="Salary Points 1 to 57",B87&lt;=Thresholds_Rates!$C$17),$C87*Thresholds_Rates!$F$18,IF(AND(OR($B$4="New Consultant Contract"),$B87&lt;&gt;""),$C87*Thresholds_Rates!$F$18,IF(AND(OR($B$4="Clinical Lecturer / Medical Research Fellow",$B$4="Clinical Consultant - Old Contract (GP)"),$B87&lt;&gt;""),$C87*Thresholds_Rates!$F$18,IF(AND(OR($B$4="APM Level 7",$B$4="R&amp;T Level 7"),H87&lt;&gt;""),$C87*Thresholds_Rates!$F$18,IF(SUMIF(Grades!$A:$A,$B$4,Grades!$BQ:$BQ)=1,$C87*Thresholds_Rates!$F$18,""))))))))</f>
        <v/>
      </c>
      <c r="K87" s="4"/>
      <c r="L87" s="25" t="str">
        <f t="shared" ca="1" si="8"/>
        <v/>
      </c>
      <c r="M87" s="25" t="str">
        <f t="shared" ca="1" si="9"/>
        <v/>
      </c>
      <c r="N87" s="25" t="str">
        <f t="shared" ca="1" si="10"/>
        <v/>
      </c>
      <c r="O87" s="25" t="str">
        <f t="shared" ca="1" si="11"/>
        <v/>
      </c>
      <c r="P87" s="25" t="str">
        <f t="shared" ca="1" si="12"/>
        <v/>
      </c>
      <c r="R87" s="28" t="str">
        <f ca="1">IF(B87="","",IF($B$4="R&amp;T Level 5 - Clinical Lecturers (Vet School)",SUMIF(Points_Lookup!$M:$M,$B87,Points_Lookup!$N:$N),IF($B$4="R&amp;T Level 6 - Clinical Associate Professors and Clinical Readers (Vet School)",SUMIF(Points_Lookup!$T:$T,$B87,Points_Lookup!$U:$U),"")))</f>
        <v/>
      </c>
      <c r="S87" s="29" t="str">
        <f ca="1">IF(B87="","",IF($B$4="R&amp;T Level 5 - Clinical Lecturers (Vet School)",$C87-SUMIF(Points_Lookup!$M:$M,$B87,Points_Lookup!$O:$O),IF($B$4="R&amp;T Level 6 - Clinical Associate Professors and Clinical Readers (Vet School)",$C87-SUMIF(Points_Lookup!$T:$T,$B87,Points_Lookup!$V:$V),"")))</f>
        <v/>
      </c>
      <c r="T87" s="28" t="str">
        <f ca="1">IF(B87="","",IF($B$4="R&amp;T Level 5 - Clinical Lecturers (Vet School)",SUMIF(Points_Lookup!$M:$M,$B87,Points_Lookup!$Q:$Q),IF($B$4="R&amp;T Level 6 - Clinical Associate Professors and Clinical Readers (Vet School)",SUMIF(Points_Lookup!$T:$T,$B87,Points_Lookup!$X:$X),"")))</f>
        <v/>
      </c>
      <c r="U87" s="29" t="str">
        <f t="shared" ca="1" si="7"/>
        <v/>
      </c>
    </row>
    <row r="88" spans="2:21" x14ac:dyDescent="0.25">
      <c r="B88" s="4" t="str">
        <f ca="1">IFERROR(INDEX(Points_Lookup!$A:$A,MATCH($Z90,Points_Lookup!$AE:$AE,0)),"")</f>
        <v/>
      </c>
      <c r="C88" s="25" t="str">
        <f ca="1">IF(B88="","",IF($B$4="Apprenticeship",SUMIF(Points_Lookup!$AA:$AA,B88,Points_Lookup!$AC:$AC),IF(AND(OR($B$4="New Consultant Contract"),$B88&lt;&gt;""),INDEX(Points_Lookup!$K:$K,MATCH($B88,Points_Lookup!$J:$J,0)),IF(AND(OR($B$4="Clinical Lecturer / Medical Research Fellow",$B$4="Clinical Consultant - Old Contract (GP)"),$B88&lt;&gt;""),INDEX(Points_Lookup!$H:$H,MATCH($B88,Points_Lookup!$G:$G,0)),IF(AND(OR($B$4="APM Level 7",$B$4="R&amp;T Level 7",$B$4="APM Level 8"),B88&lt;&gt;""),INDEX(Points_Lookup!$E:$E,MATCH($Z88,Points_Lookup!$AE:$AE,0)),IF($B$4="R&amp;T Level 5 - Clinical Lecturers (Vet School)",SUMIF(Points_Lookup!$M:$M,$B88,Points_Lookup!$P:$P),IF($B$4="R&amp;T Level 6 - Clinical Associate Professors and Clinical Readers (Vet School)",SUMIF(Points_Lookup!$T:$T,$B88,Points_Lookup!$W:$W),IFERROR(INDEX(Points_Lookup!$B:$B,MATCH($Z88,Points_Lookup!$AE:$AE,0)),""))))))))</f>
        <v/>
      </c>
      <c r="D88" s="36"/>
      <c r="E88" s="25" t="str">
        <f ca="1">IF($B88="","",IF(AND($B$4="Salary Points 3 to 57",B88&lt;Thresholds_Rates!$C$16),"-",IF(SUMIF(Grades!$A:$A,$B$4,Grades!$BO:$BO)=0,"-",IF(AND($B$4="Salary Points 3 to 57",B88&gt;=Thresholds_Rates!$C$16),$C88*Thresholds_Rates!$F$15,IF(AND(OR($B$4="New Consultant Contract"),$B88&lt;&gt;""),$C88*Thresholds_Rates!$F$15,IF(AND(OR($B$4="Clinical Lecturer / Medical Research Fellow",$B$4="Clinical Consultant - Old Contract (GP)"),$B88&lt;&gt;""),$C88*Thresholds_Rates!$F$15,IF(OR($B$4="APM Level 7",$B$4="R&amp;T Level 7"),$C88*Thresholds_Rates!$F$15,IF(SUMIF(Grades!$A:$A,$B$4,Grades!$BO:$BO)=1,$C88*Thresholds_Rates!$F$15,""))))))))</f>
        <v/>
      </c>
      <c r="F88" s="25" t="str">
        <f ca="1">IF(B88="","",IF($B$4="Salary Points 1 to 57","-",IF(SUMIF(Grades!$A:$A,$B$4,Grades!$BP:$BP)=0,"-",IF(AND(OR($B$4="New Consultant Contract"),$B88&lt;&gt;""),$C88*Thresholds_Rates!$F$16,IF(AND(OR($B$4="Clinical Lecturer / Medical Research Fellow",$B$4="Clinical Consultant - Old Contract (GP)"),$B88&lt;&gt;""),$C88*Thresholds_Rates!$F$16,IF(AND(OR($B$4="APM Level 7",$B$4="R&amp;T Level 7"),E88&lt;&gt;""),$C88*Thresholds_Rates!$F$16,IF(SUMIF(Grades!$A:$A,$B$4,Grades!$BP:$BP)=1,$C88*Thresholds_Rates!$F$16,"")))))))</f>
        <v/>
      </c>
      <c r="G88" s="25" t="str">
        <f ca="1">IF(B88="","",IF(SUMIF(Grades!$A:$A,$B$4,Grades!$BQ:$BQ)=0,"-",IF(AND($B$4="Salary Points 1 to 57",B88&gt;Thresholds_Rates!$C$17),"-",IF(AND($B$4="Salary Points 1 to 57",B88&lt;=Thresholds_Rates!$C$17),$C88*Thresholds_Rates!$F$17,IF(AND(OR($B$4="New Consultant Contract"),$B88&lt;&gt;""),$C88*Thresholds_Rates!$F$17,IF(AND(OR($B$4="Clinical Lecturer / Medical Research Fellow",$B$4="Clinical Consultant - Old Contract (GP)"),$B88&lt;&gt;""),$C88*Thresholds_Rates!$F$17,IF(AND(OR($B$4="APM Level 7",$B$4="R&amp;T Level 7"),F88&lt;&gt;""),$C88*Thresholds_Rates!$F$17,IF(SUMIF(Grades!$A:$A,$B$4,Grades!$BQ:$BQ)=1,$C88*Thresholds_Rates!$F$17,""))))))))</f>
        <v/>
      </c>
      <c r="H88" s="25" t="str">
        <f ca="1">IF($B88="","",ROUND(($C88-(Thresholds_Rates!$C$5*12))*Thresholds_Rates!$C$10,0))</f>
        <v/>
      </c>
      <c r="I88" s="25" t="str">
        <f ca="1">IF(B88="","",(C88*Thresholds_Rates!$C$12))</f>
        <v/>
      </c>
      <c r="J88" s="25" t="str">
        <f ca="1">IF(B88="","",IF(AND($B$4="Salary Points 1 to 57",B88&gt;Thresholds_Rates!$C$17),"-",IF(SUMIF(Grades!$A:$A,$B$4,Grades!$BR:$BR)=0,"-",IF(AND($B$4="Salary Points 1 to 57",B88&lt;=Thresholds_Rates!$C$17),$C88*Thresholds_Rates!$F$18,IF(AND(OR($B$4="New Consultant Contract"),$B88&lt;&gt;""),$C88*Thresholds_Rates!$F$18,IF(AND(OR($B$4="Clinical Lecturer / Medical Research Fellow",$B$4="Clinical Consultant - Old Contract (GP)"),$B88&lt;&gt;""),$C88*Thresholds_Rates!$F$18,IF(AND(OR($B$4="APM Level 7",$B$4="R&amp;T Level 7"),H88&lt;&gt;""),$C88*Thresholds_Rates!$F$18,IF(SUMIF(Grades!$A:$A,$B$4,Grades!$BQ:$BQ)=1,$C88*Thresholds_Rates!$F$18,""))))))))</f>
        <v/>
      </c>
      <c r="K88" s="4"/>
      <c r="L88" s="25" t="str">
        <f t="shared" ca="1" si="8"/>
        <v/>
      </c>
      <c r="M88" s="25" t="str">
        <f t="shared" ca="1" si="9"/>
        <v/>
      </c>
      <c r="N88" s="25" t="str">
        <f t="shared" ca="1" si="10"/>
        <v/>
      </c>
      <c r="O88" s="25" t="str">
        <f t="shared" ca="1" si="11"/>
        <v/>
      </c>
      <c r="P88" s="25" t="str">
        <f t="shared" ca="1" si="12"/>
        <v/>
      </c>
      <c r="R88" s="28" t="str">
        <f ca="1">IF(B88="","",IF($B$4="R&amp;T Level 5 - Clinical Lecturers (Vet School)",SUMIF(Points_Lookup!$M:$M,$B88,Points_Lookup!$N:$N),IF($B$4="R&amp;T Level 6 - Clinical Associate Professors and Clinical Readers (Vet School)",SUMIF(Points_Lookup!$T:$T,$B88,Points_Lookup!$U:$U),"")))</f>
        <v/>
      </c>
      <c r="S88" s="29" t="str">
        <f ca="1">IF(B88="","",IF($B$4="R&amp;T Level 5 - Clinical Lecturers (Vet School)",$C88-SUMIF(Points_Lookup!$M:$M,$B88,Points_Lookup!$O:$O),IF($B$4="R&amp;T Level 6 - Clinical Associate Professors and Clinical Readers (Vet School)",$C88-SUMIF(Points_Lookup!$T:$T,$B88,Points_Lookup!$V:$V),"")))</f>
        <v/>
      </c>
      <c r="T88" s="28" t="str">
        <f ca="1">IF(B88="","",IF($B$4="R&amp;T Level 5 - Clinical Lecturers (Vet School)",SUMIF(Points_Lookup!$M:$M,$B88,Points_Lookup!$Q:$Q),IF($B$4="R&amp;T Level 6 - Clinical Associate Professors and Clinical Readers (Vet School)",SUMIF(Points_Lookup!$T:$T,$B88,Points_Lookup!$X:$X),"")))</f>
        <v/>
      </c>
      <c r="U88" s="29" t="str">
        <f t="shared" ca="1" si="7"/>
        <v/>
      </c>
    </row>
    <row r="89" spans="2:21" x14ac:dyDescent="0.25">
      <c r="B89" s="4" t="str">
        <f ca="1">IFERROR(INDEX(Points_Lookup!$A:$A,MATCH($Z91,Points_Lookup!$AE:$AE,0)),"")</f>
        <v/>
      </c>
      <c r="C89" s="25" t="str">
        <f ca="1">IF(B89="","",IF($B$4="Apprenticeship",SUMIF(Points_Lookup!$AA:$AA,B89,Points_Lookup!$AC:$AC),IF(AND(OR($B$4="New Consultant Contract"),$B89&lt;&gt;""),INDEX(Points_Lookup!$K:$K,MATCH($B89,Points_Lookup!$J:$J,0)),IF(AND(OR($B$4="Clinical Lecturer / Medical Research Fellow",$B$4="Clinical Consultant - Old Contract (GP)"),$B89&lt;&gt;""),INDEX(Points_Lookup!$H:$H,MATCH($B89,Points_Lookup!$G:$G,0)),IF(AND(OR($B$4="APM Level 7",$B$4="R&amp;T Level 7",$B$4="APM Level 8"),B89&lt;&gt;""),INDEX(Points_Lookup!$E:$E,MATCH($Z89,Points_Lookup!$AE:$AE,0)),IF($B$4="R&amp;T Level 5 - Clinical Lecturers (Vet School)",SUMIF(Points_Lookup!$M:$M,$B89,Points_Lookup!$P:$P),IF($B$4="R&amp;T Level 6 - Clinical Associate Professors and Clinical Readers (Vet School)",SUMIF(Points_Lookup!$T:$T,$B89,Points_Lookup!$W:$W),IFERROR(INDEX(Points_Lookup!$B:$B,MATCH($Z89,Points_Lookup!$AE:$AE,0)),""))))))))</f>
        <v/>
      </c>
      <c r="D89" s="36"/>
      <c r="E89" s="25" t="str">
        <f ca="1">IF($B89="","",IF(AND($B$4="Salary Points 3 to 57",B89&lt;Thresholds_Rates!$C$16),"-",IF(SUMIF(Grades!$A:$A,$B$4,Grades!$BO:$BO)=0,"-",IF(AND($B$4="Salary Points 3 to 57",B89&gt;=Thresholds_Rates!$C$16),$C89*Thresholds_Rates!$F$15,IF(AND(OR($B$4="New Consultant Contract"),$B89&lt;&gt;""),$C89*Thresholds_Rates!$F$15,IF(AND(OR($B$4="Clinical Lecturer / Medical Research Fellow",$B$4="Clinical Consultant - Old Contract (GP)"),$B89&lt;&gt;""),$C89*Thresholds_Rates!$F$15,IF(OR($B$4="APM Level 7",$B$4="R&amp;T Level 7"),$C89*Thresholds_Rates!$F$15,IF(SUMIF(Grades!$A:$A,$B$4,Grades!$BO:$BO)=1,$C89*Thresholds_Rates!$F$15,""))))))))</f>
        <v/>
      </c>
      <c r="F89" s="25" t="str">
        <f ca="1">IF(B89="","",IF($B$4="Salary Points 1 to 57","-",IF(SUMIF(Grades!$A:$A,$B$4,Grades!$BP:$BP)=0,"-",IF(AND(OR($B$4="New Consultant Contract"),$B89&lt;&gt;""),$C89*Thresholds_Rates!$F$16,IF(AND(OR($B$4="Clinical Lecturer / Medical Research Fellow",$B$4="Clinical Consultant - Old Contract (GP)"),$B89&lt;&gt;""),$C89*Thresholds_Rates!$F$16,IF(AND(OR($B$4="APM Level 7",$B$4="R&amp;T Level 7"),E89&lt;&gt;""),$C89*Thresholds_Rates!$F$16,IF(SUMIF(Grades!$A:$A,$B$4,Grades!$BP:$BP)=1,$C89*Thresholds_Rates!$F$16,"")))))))</f>
        <v/>
      </c>
      <c r="G89" s="25" t="str">
        <f ca="1">IF(B89="","",IF(SUMIF(Grades!$A:$A,$B$4,Grades!$BQ:$BQ)=0,"-",IF(AND($B$4="Salary Points 1 to 57",B89&gt;Thresholds_Rates!$C$17),"-",IF(AND($B$4="Salary Points 1 to 57",B89&lt;=Thresholds_Rates!$C$17),$C89*Thresholds_Rates!$F$17,IF(AND(OR($B$4="New Consultant Contract"),$B89&lt;&gt;""),$C89*Thresholds_Rates!$F$17,IF(AND(OR($B$4="Clinical Lecturer / Medical Research Fellow",$B$4="Clinical Consultant - Old Contract (GP)"),$B89&lt;&gt;""),$C89*Thresholds_Rates!$F$17,IF(AND(OR($B$4="APM Level 7",$B$4="R&amp;T Level 7"),F89&lt;&gt;""),$C89*Thresholds_Rates!$F$17,IF(SUMIF(Grades!$A:$A,$B$4,Grades!$BQ:$BQ)=1,$C89*Thresholds_Rates!$F$17,""))))))))</f>
        <v/>
      </c>
      <c r="H89" s="25" t="str">
        <f ca="1">IF($B89="","",ROUND(($C89-(Thresholds_Rates!$C$5*12))*Thresholds_Rates!$C$10,0))</f>
        <v/>
      </c>
      <c r="I89" s="25" t="str">
        <f ca="1">IF(B89="","",(C89*Thresholds_Rates!$C$12))</f>
        <v/>
      </c>
      <c r="J89" s="25" t="str">
        <f ca="1">IF(B89="","",IF(AND($B$4="Salary Points 1 to 57",B89&gt;Thresholds_Rates!$C$17),"-",IF(SUMIF(Grades!$A:$A,$B$4,Grades!$BR:$BR)=0,"-",IF(AND($B$4="Salary Points 1 to 57",B89&lt;=Thresholds_Rates!$C$17),$C89*Thresholds_Rates!$F$18,IF(AND(OR($B$4="New Consultant Contract"),$B89&lt;&gt;""),$C89*Thresholds_Rates!$F$18,IF(AND(OR($B$4="Clinical Lecturer / Medical Research Fellow",$B$4="Clinical Consultant - Old Contract (GP)"),$B89&lt;&gt;""),$C89*Thresholds_Rates!$F$18,IF(AND(OR($B$4="APM Level 7",$B$4="R&amp;T Level 7"),H89&lt;&gt;""),$C89*Thresholds_Rates!$F$18,IF(SUMIF(Grades!$A:$A,$B$4,Grades!$BQ:$BQ)=1,$C89*Thresholds_Rates!$F$18,""))))))))</f>
        <v/>
      </c>
      <c r="K89" s="4"/>
      <c r="L89" s="25" t="str">
        <f t="shared" ca="1" si="8"/>
        <v/>
      </c>
      <c r="M89" s="25" t="str">
        <f t="shared" ca="1" si="9"/>
        <v/>
      </c>
      <c r="N89" s="25" t="str">
        <f t="shared" ca="1" si="10"/>
        <v/>
      </c>
      <c r="O89" s="25" t="str">
        <f t="shared" ca="1" si="11"/>
        <v/>
      </c>
      <c r="P89" s="25" t="str">
        <f t="shared" ca="1" si="12"/>
        <v/>
      </c>
      <c r="R89" s="28" t="str">
        <f ca="1">IF(B89="","",IF($B$4="R&amp;T Level 5 - Clinical Lecturers (Vet School)",SUMIF(Points_Lookup!$M:$M,$B89,Points_Lookup!$N:$N),IF($B$4="R&amp;T Level 6 - Clinical Associate Professors and Clinical Readers (Vet School)",SUMIF(Points_Lookup!$T:$T,$B89,Points_Lookup!$U:$U),"")))</f>
        <v/>
      </c>
      <c r="S89" s="29" t="str">
        <f ca="1">IF(B89="","",IF($B$4="R&amp;T Level 5 - Clinical Lecturers (Vet School)",$C89-SUMIF(Points_Lookup!$M:$M,$B89,Points_Lookup!$O:$O),IF($B$4="R&amp;T Level 6 - Clinical Associate Professors and Clinical Readers (Vet School)",$C89-SUMIF(Points_Lookup!$T:$T,$B89,Points_Lookup!$V:$V),"")))</f>
        <v/>
      </c>
      <c r="T89" s="28" t="str">
        <f ca="1">IF(B89="","",IF($B$4="R&amp;T Level 5 - Clinical Lecturers (Vet School)",SUMIF(Points_Lookup!$M:$M,$B89,Points_Lookup!$Q:$Q),IF($B$4="R&amp;T Level 6 - Clinical Associate Professors and Clinical Readers (Vet School)",SUMIF(Points_Lookup!$T:$T,$B89,Points_Lookup!$X:$X),"")))</f>
        <v/>
      </c>
      <c r="U89" s="29" t="str">
        <f t="shared" ca="1" si="7"/>
        <v/>
      </c>
    </row>
    <row r="90" spans="2:21" x14ac:dyDescent="0.25">
      <c r="B90" s="4" t="str">
        <f ca="1">IFERROR(INDEX(Points_Lookup!$A:$A,MATCH($Z92,Points_Lookup!$AE:$AE,0)),"")</f>
        <v/>
      </c>
      <c r="C90" s="25" t="str">
        <f ca="1">IF(B90="","",IF($B$4="Apprenticeship",SUMIF(Points_Lookup!$AA:$AA,B90,Points_Lookup!$AC:$AC),IF(AND(OR($B$4="New Consultant Contract"),$B90&lt;&gt;""),INDEX(Points_Lookup!$K:$K,MATCH($B90,Points_Lookup!$J:$J,0)),IF(AND(OR($B$4="Clinical Lecturer / Medical Research Fellow",$B$4="Clinical Consultant - Old Contract (GP)"),$B90&lt;&gt;""),INDEX(Points_Lookup!$H:$H,MATCH($B90,Points_Lookup!$G:$G,0)),IF(AND(OR($B$4="APM Level 7",$B$4="R&amp;T Level 7",$B$4="APM Level 8"),B90&lt;&gt;""),INDEX(Points_Lookup!$E:$E,MATCH($Z90,Points_Lookup!$AE:$AE,0)),IF($B$4="R&amp;T Level 5 - Clinical Lecturers (Vet School)",SUMIF(Points_Lookup!$M:$M,$B90,Points_Lookup!$P:$P),IF($B$4="R&amp;T Level 6 - Clinical Associate Professors and Clinical Readers (Vet School)",SUMIF(Points_Lookup!$T:$T,$B90,Points_Lookup!$W:$W),IFERROR(INDEX(Points_Lookup!$B:$B,MATCH($Z90,Points_Lookup!$AE:$AE,0)),""))))))))</f>
        <v/>
      </c>
      <c r="D90" s="36"/>
      <c r="E90" s="25" t="str">
        <f ca="1">IF($B90="","",IF(AND($B$4="Salary Points 3 to 57",B90&lt;Thresholds_Rates!$C$16),"-",IF(SUMIF(Grades!$A:$A,$B$4,Grades!$BO:$BO)=0,"-",IF(AND($B$4="Salary Points 3 to 57",B90&gt;=Thresholds_Rates!$C$16),$C90*Thresholds_Rates!$F$15,IF(AND(OR($B$4="New Consultant Contract"),$B90&lt;&gt;""),$C90*Thresholds_Rates!$F$15,IF(AND(OR($B$4="Clinical Lecturer / Medical Research Fellow",$B$4="Clinical Consultant - Old Contract (GP)"),$B90&lt;&gt;""),$C90*Thresholds_Rates!$F$15,IF(OR($B$4="APM Level 7",$B$4="R&amp;T Level 7"),$C90*Thresholds_Rates!$F$15,IF(SUMIF(Grades!$A:$A,$B$4,Grades!$BO:$BO)=1,$C90*Thresholds_Rates!$F$15,""))))))))</f>
        <v/>
      </c>
      <c r="F90" s="25" t="str">
        <f ca="1">IF(B90="","",IF($B$4="Salary Points 1 to 57","-",IF(SUMIF(Grades!$A:$A,$B$4,Grades!$BP:$BP)=0,"-",IF(AND(OR($B$4="New Consultant Contract"),$B90&lt;&gt;""),$C90*Thresholds_Rates!$F$16,IF(AND(OR($B$4="Clinical Lecturer / Medical Research Fellow",$B$4="Clinical Consultant - Old Contract (GP)"),$B90&lt;&gt;""),$C90*Thresholds_Rates!$F$16,IF(AND(OR($B$4="APM Level 7",$B$4="R&amp;T Level 7"),E90&lt;&gt;""),$C90*Thresholds_Rates!$F$16,IF(SUMIF(Grades!$A:$A,$B$4,Grades!$BP:$BP)=1,$C90*Thresholds_Rates!$F$16,"")))))))</f>
        <v/>
      </c>
      <c r="G90" s="25" t="str">
        <f ca="1">IF(B90="","",IF(SUMIF(Grades!$A:$A,$B$4,Grades!$BQ:$BQ)=0,"-",IF(AND($B$4="Salary Points 1 to 57",B90&gt;Thresholds_Rates!$C$17),"-",IF(AND($B$4="Salary Points 1 to 57",B90&lt;=Thresholds_Rates!$C$17),$C90*Thresholds_Rates!$F$17,IF(AND(OR($B$4="New Consultant Contract"),$B90&lt;&gt;""),$C90*Thresholds_Rates!$F$17,IF(AND(OR($B$4="Clinical Lecturer / Medical Research Fellow",$B$4="Clinical Consultant - Old Contract (GP)"),$B90&lt;&gt;""),$C90*Thresholds_Rates!$F$17,IF(AND(OR($B$4="APM Level 7",$B$4="R&amp;T Level 7"),F90&lt;&gt;""),$C90*Thresholds_Rates!$F$17,IF(SUMIF(Grades!$A:$A,$B$4,Grades!$BQ:$BQ)=1,$C90*Thresholds_Rates!$F$17,""))))))))</f>
        <v/>
      </c>
      <c r="H90" s="25" t="str">
        <f ca="1">IF($B90="","",ROUND(($C90-(Thresholds_Rates!$C$5*12))*Thresholds_Rates!$C$10,0))</f>
        <v/>
      </c>
      <c r="I90" s="25" t="str">
        <f ca="1">IF(B90="","",(C90*Thresholds_Rates!$C$12))</f>
        <v/>
      </c>
      <c r="J90" s="25" t="str">
        <f ca="1">IF(B90="","",IF(AND($B$4="Salary Points 1 to 57",B90&gt;Thresholds_Rates!$C$17),"-",IF(SUMIF(Grades!$A:$A,$B$4,Grades!$BR:$BR)=0,"-",IF(AND($B$4="Salary Points 1 to 57",B90&lt;=Thresholds_Rates!$C$17),$C90*Thresholds_Rates!$F$18,IF(AND(OR($B$4="New Consultant Contract"),$B90&lt;&gt;""),$C90*Thresholds_Rates!$F$18,IF(AND(OR($B$4="Clinical Lecturer / Medical Research Fellow",$B$4="Clinical Consultant - Old Contract (GP)"),$B90&lt;&gt;""),$C90*Thresholds_Rates!$F$18,IF(AND(OR($B$4="APM Level 7",$B$4="R&amp;T Level 7"),H90&lt;&gt;""),$C90*Thresholds_Rates!$F$18,IF(SUMIF(Grades!$A:$A,$B$4,Grades!$BQ:$BQ)=1,$C90*Thresholds_Rates!$F$18,""))))))))</f>
        <v/>
      </c>
      <c r="K90" s="4"/>
      <c r="L90" s="25" t="str">
        <f t="shared" ca="1" si="8"/>
        <v/>
      </c>
      <c r="M90" s="25" t="str">
        <f t="shared" ca="1" si="9"/>
        <v/>
      </c>
      <c r="N90" s="25" t="str">
        <f t="shared" ca="1" si="10"/>
        <v/>
      </c>
      <c r="O90" s="25" t="str">
        <f t="shared" ca="1" si="11"/>
        <v/>
      </c>
      <c r="P90" s="25" t="str">
        <f t="shared" ca="1" si="12"/>
        <v/>
      </c>
      <c r="R90" s="28" t="str">
        <f ca="1">IF(B90="","",IF($B$4="R&amp;T Level 5 - Clinical Lecturers (Vet School)",SUMIF(Points_Lookup!$M:$M,$B90,Points_Lookup!$N:$N),IF($B$4="R&amp;T Level 6 - Clinical Associate Professors and Clinical Readers (Vet School)",SUMIF(Points_Lookup!$T:$T,$B90,Points_Lookup!$U:$U),"")))</f>
        <v/>
      </c>
      <c r="S90" s="29" t="str">
        <f ca="1">IF(B90="","",IF($B$4="R&amp;T Level 5 - Clinical Lecturers (Vet School)",$C90-SUMIF(Points_Lookup!$M:$M,$B90,Points_Lookup!$O:$O),IF($B$4="R&amp;T Level 6 - Clinical Associate Professors and Clinical Readers (Vet School)",$C90-SUMIF(Points_Lookup!$T:$T,$B90,Points_Lookup!$V:$V),"")))</f>
        <v/>
      </c>
      <c r="T90" s="28" t="str">
        <f ca="1">IF(B90="","",IF($B$4="R&amp;T Level 5 - Clinical Lecturers (Vet School)",SUMIF(Points_Lookup!$M:$M,$B90,Points_Lookup!$Q:$Q),IF($B$4="R&amp;T Level 6 - Clinical Associate Professors and Clinical Readers (Vet School)",SUMIF(Points_Lookup!$T:$T,$B90,Points_Lookup!$X:$X),"")))</f>
        <v/>
      </c>
      <c r="U90" s="29" t="str">
        <f t="shared" ca="1" si="7"/>
        <v/>
      </c>
    </row>
    <row r="91" spans="2:21" x14ac:dyDescent="0.25">
      <c r="B91" s="4" t="str">
        <f ca="1">IFERROR(INDEX(Points_Lookup!$A:$A,MATCH($Z93,Points_Lookup!$AE:$AE,0)),"")</f>
        <v/>
      </c>
      <c r="C91" s="25" t="str">
        <f ca="1">IF(B91="","",IF($B$4="Apprenticeship",SUMIF(Points_Lookup!$AA:$AA,B91,Points_Lookup!$AC:$AC),IF(AND(OR($B$4="New Consultant Contract"),$B91&lt;&gt;""),INDEX(Points_Lookup!$K:$K,MATCH($B91,Points_Lookup!$J:$J,0)),IF(AND(OR($B$4="Clinical Lecturer / Medical Research Fellow",$B$4="Clinical Consultant - Old Contract (GP)"),$B91&lt;&gt;""),INDEX(Points_Lookup!$H:$H,MATCH($B91,Points_Lookup!$G:$G,0)),IF(AND(OR($B$4="APM Level 7",$B$4="R&amp;T Level 7",$B$4="APM Level 8"),B91&lt;&gt;""),INDEX(Points_Lookup!$E:$E,MATCH($Z91,Points_Lookup!$AE:$AE,0)),IF($B$4="R&amp;T Level 5 - Clinical Lecturers (Vet School)",SUMIF(Points_Lookup!$M:$M,$B91,Points_Lookup!$P:$P),IF($B$4="R&amp;T Level 6 - Clinical Associate Professors and Clinical Readers (Vet School)",SUMIF(Points_Lookup!$T:$T,$B91,Points_Lookup!$W:$W),IFERROR(INDEX(Points_Lookup!$B:$B,MATCH($Z91,Points_Lookup!$AE:$AE,0)),""))))))))</f>
        <v/>
      </c>
      <c r="D91" s="36"/>
      <c r="E91" s="25" t="str">
        <f ca="1">IF($B91="","",IF(AND($B$4="Salary Points 3 to 57",B91&lt;Thresholds_Rates!$C$16),"-",IF(SUMIF(Grades!$A:$A,$B$4,Grades!$BO:$BO)=0,"-",IF(AND($B$4="Salary Points 3 to 57",B91&gt;=Thresholds_Rates!$C$16),$C91*Thresholds_Rates!$F$15,IF(AND(OR($B$4="New Consultant Contract"),$B91&lt;&gt;""),$C91*Thresholds_Rates!$F$15,IF(AND(OR($B$4="Clinical Lecturer / Medical Research Fellow",$B$4="Clinical Consultant - Old Contract (GP)"),$B91&lt;&gt;""),$C91*Thresholds_Rates!$F$15,IF(OR($B$4="APM Level 7",$B$4="R&amp;T Level 7"),$C91*Thresholds_Rates!$F$15,IF(SUMIF(Grades!$A:$A,$B$4,Grades!$BO:$BO)=1,$C91*Thresholds_Rates!$F$15,""))))))))</f>
        <v/>
      </c>
      <c r="F91" s="25" t="str">
        <f ca="1">IF(B91="","",IF($B$4="Salary Points 1 to 57","-",IF(SUMIF(Grades!$A:$A,$B$4,Grades!$BP:$BP)=0,"-",IF(AND(OR($B$4="New Consultant Contract"),$B91&lt;&gt;""),$C91*Thresholds_Rates!$F$16,IF(AND(OR($B$4="Clinical Lecturer / Medical Research Fellow",$B$4="Clinical Consultant - Old Contract (GP)"),$B91&lt;&gt;""),$C91*Thresholds_Rates!$F$16,IF(AND(OR($B$4="APM Level 7",$B$4="R&amp;T Level 7"),E91&lt;&gt;""),$C91*Thresholds_Rates!$F$16,IF(SUMIF(Grades!$A:$A,$B$4,Grades!$BP:$BP)=1,$C91*Thresholds_Rates!$F$16,"")))))))</f>
        <v/>
      </c>
      <c r="G91" s="25" t="str">
        <f ca="1">IF(B91="","",IF(SUMIF(Grades!$A:$A,$B$4,Grades!$BQ:$BQ)=0,"-",IF(AND($B$4="Salary Points 1 to 57",B91&gt;Thresholds_Rates!$C$17),"-",IF(AND($B$4="Salary Points 1 to 57",B91&lt;=Thresholds_Rates!$C$17),$C91*Thresholds_Rates!$F$17,IF(AND(OR($B$4="New Consultant Contract"),$B91&lt;&gt;""),$C91*Thresholds_Rates!$F$17,IF(AND(OR($B$4="Clinical Lecturer / Medical Research Fellow",$B$4="Clinical Consultant - Old Contract (GP)"),$B91&lt;&gt;""),$C91*Thresholds_Rates!$F$17,IF(AND(OR($B$4="APM Level 7",$B$4="R&amp;T Level 7"),F91&lt;&gt;""),$C91*Thresholds_Rates!$F$17,IF(SUMIF(Grades!$A:$A,$B$4,Grades!$BQ:$BQ)=1,$C91*Thresholds_Rates!$F$17,""))))))))</f>
        <v/>
      </c>
      <c r="H91" s="25" t="str">
        <f ca="1">IF($B91="","",ROUND(($C91-(Thresholds_Rates!$C$5*12))*Thresholds_Rates!$C$10,0))</f>
        <v/>
      </c>
      <c r="I91" s="25" t="str">
        <f ca="1">IF(B91="","",(C91*Thresholds_Rates!$C$12))</f>
        <v/>
      </c>
      <c r="J91" s="25" t="str">
        <f ca="1">IF(B91="","",IF(AND($B$4="Salary Points 1 to 57",B91&gt;Thresholds_Rates!$C$17),"-",IF(SUMIF(Grades!$A:$A,$B$4,Grades!$BR:$BR)=0,"-",IF(AND($B$4="Salary Points 1 to 57",B91&lt;=Thresholds_Rates!$C$17),$C91*Thresholds_Rates!$F$18,IF(AND(OR($B$4="New Consultant Contract"),$B91&lt;&gt;""),$C91*Thresholds_Rates!$F$18,IF(AND(OR($B$4="Clinical Lecturer / Medical Research Fellow",$B$4="Clinical Consultant - Old Contract (GP)"),$B91&lt;&gt;""),$C91*Thresholds_Rates!$F$18,IF(AND(OR($B$4="APM Level 7",$B$4="R&amp;T Level 7"),H91&lt;&gt;""),$C91*Thresholds_Rates!$F$18,IF(SUMIF(Grades!$A:$A,$B$4,Grades!$BQ:$BQ)=1,$C91*Thresholds_Rates!$F$18,""))))))))</f>
        <v/>
      </c>
      <c r="K91" s="4"/>
      <c r="L91" s="25" t="str">
        <f t="shared" ca="1" si="8"/>
        <v/>
      </c>
      <c r="M91" s="25" t="str">
        <f t="shared" ca="1" si="9"/>
        <v/>
      </c>
      <c r="N91" s="25" t="str">
        <f t="shared" ca="1" si="10"/>
        <v/>
      </c>
      <c r="O91" s="25" t="str">
        <f t="shared" ca="1" si="11"/>
        <v/>
      </c>
      <c r="P91" s="25" t="str">
        <f t="shared" ca="1" si="12"/>
        <v/>
      </c>
      <c r="R91" s="28" t="str">
        <f ca="1">IF(B91="","",IF($B$4="R&amp;T Level 5 - Clinical Lecturers (Vet School)",SUMIF(Points_Lookup!$M:$M,$B91,Points_Lookup!$N:$N),IF($B$4="R&amp;T Level 6 - Clinical Associate Professors and Clinical Readers (Vet School)",SUMIF(Points_Lookup!$T:$T,$B91,Points_Lookup!$U:$U),"")))</f>
        <v/>
      </c>
      <c r="S91" s="29" t="str">
        <f ca="1">IF(B91="","",IF($B$4="R&amp;T Level 5 - Clinical Lecturers (Vet School)",$C91-SUMIF(Points_Lookup!$M:$M,$B91,Points_Lookup!$O:$O),IF($B$4="R&amp;T Level 6 - Clinical Associate Professors and Clinical Readers (Vet School)",$C91-SUMIF(Points_Lookup!$T:$T,$B91,Points_Lookup!$V:$V),"")))</f>
        <v/>
      </c>
      <c r="T91" s="28" t="str">
        <f ca="1">IF(B91="","",IF($B$4="R&amp;T Level 5 - Clinical Lecturers (Vet School)",SUMIF(Points_Lookup!$M:$M,$B91,Points_Lookup!$Q:$Q),IF($B$4="R&amp;T Level 6 - Clinical Associate Professors and Clinical Readers (Vet School)",SUMIF(Points_Lookup!$T:$T,$B91,Points_Lookup!$X:$X),"")))</f>
        <v/>
      </c>
      <c r="U91" s="29" t="str">
        <f t="shared" ca="1" si="7"/>
        <v/>
      </c>
    </row>
    <row r="92" spans="2:21" x14ac:dyDescent="0.25">
      <c r="B92" s="4" t="str">
        <f ca="1">IFERROR(INDEX(Points_Lookup!$A:$A,MATCH($Z94,Points_Lookup!$AE:$AE,0)),"")</f>
        <v/>
      </c>
      <c r="C92" s="25" t="str">
        <f ca="1">IF(B92="","",IF($B$4="Apprenticeship",SUMIF(Points_Lookup!$AA:$AA,B92,Points_Lookup!$AC:$AC),IF(AND(OR($B$4="New Consultant Contract"),$B92&lt;&gt;""),INDEX(Points_Lookup!$K:$K,MATCH($B92,Points_Lookup!$J:$J,0)),IF(AND(OR($B$4="Clinical Lecturer / Medical Research Fellow",$B$4="Clinical Consultant - Old Contract (GP)"),$B92&lt;&gt;""),INDEX(Points_Lookup!$H:$H,MATCH($B92,Points_Lookup!$G:$G,0)),IF(AND(OR($B$4="APM Level 7",$B$4="R&amp;T Level 7",$B$4="APM Level 8"),B92&lt;&gt;""),INDEX(Points_Lookup!$E:$E,MATCH($Z92,Points_Lookup!$AE:$AE,0)),IF($B$4="R&amp;T Level 5 - Clinical Lecturers (Vet School)",SUMIF(Points_Lookup!$M:$M,$B92,Points_Lookup!$P:$P),IF($B$4="R&amp;T Level 6 - Clinical Associate Professors and Clinical Readers (Vet School)",SUMIF(Points_Lookup!$T:$T,$B92,Points_Lookup!$W:$W),IFERROR(INDEX(Points_Lookup!$B:$B,MATCH($Z92,Points_Lookup!$AE:$AE,0)),""))))))))</f>
        <v/>
      </c>
      <c r="D92" s="36"/>
      <c r="E92" s="25" t="str">
        <f ca="1">IF($B92="","",IF(AND($B$4="Salary Points 3 to 57",B92&lt;Thresholds_Rates!$C$16),"-",IF(SUMIF(Grades!$A:$A,$B$4,Grades!$BO:$BO)=0,"-",IF(AND($B$4="Salary Points 3 to 57",B92&gt;=Thresholds_Rates!$C$16),$C92*Thresholds_Rates!$F$15,IF(AND(OR($B$4="New Consultant Contract"),$B92&lt;&gt;""),$C92*Thresholds_Rates!$F$15,IF(AND(OR($B$4="Clinical Lecturer / Medical Research Fellow",$B$4="Clinical Consultant - Old Contract (GP)"),$B92&lt;&gt;""),$C92*Thresholds_Rates!$F$15,IF(OR($B$4="APM Level 7",$B$4="R&amp;T Level 7"),$C92*Thresholds_Rates!$F$15,IF(SUMIF(Grades!$A:$A,$B$4,Grades!$BO:$BO)=1,$C92*Thresholds_Rates!$F$15,""))))))))</f>
        <v/>
      </c>
      <c r="F92" s="25" t="str">
        <f ca="1">IF(B92="","",IF($B$4="Salary Points 1 to 57","-",IF(SUMIF(Grades!$A:$A,$B$4,Grades!$BP:$BP)=0,"-",IF(AND(OR($B$4="New Consultant Contract"),$B92&lt;&gt;""),$C92*Thresholds_Rates!$F$16,IF(AND(OR($B$4="Clinical Lecturer / Medical Research Fellow",$B$4="Clinical Consultant - Old Contract (GP)"),$B92&lt;&gt;""),$C92*Thresholds_Rates!$F$16,IF(AND(OR($B$4="APM Level 7",$B$4="R&amp;T Level 7"),E92&lt;&gt;""),$C92*Thresholds_Rates!$F$16,IF(SUMIF(Grades!$A:$A,$B$4,Grades!$BP:$BP)=1,$C92*Thresholds_Rates!$F$16,"")))))))</f>
        <v/>
      </c>
      <c r="G92" s="25" t="str">
        <f ca="1">IF(B92="","",IF(SUMIF(Grades!$A:$A,$B$4,Grades!$BQ:$BQ)=0,"-",IF(AND($B$4="Salary Points 1 to 57",B92&gt;Thresholds_Rates!$C$17),"-",IF(AND($B$4="Salary Points 1 to 57",B92&lt;=Thresholds_Rates!$C$17),$C92*Thresholds_Rates!$F$17,IF(AND(OR($B$4="New Consultant Contract"),$B92&lt;&gt;""),$C92*Thresholds_Rates!$F$17,IF(AND(OR($B$4="Clinical Lecturer / Medical Research Fellow",$B$4="Clinical Consultant - Old Contract (GP)"),$B92&lt;&gt;""),$C92*Thresholds_Rates!$F$17,IF(AND(OR($B$4="APM Level 7",$B$4="R&amp;T Level 7"),F92&lt;&gt;""),$C92*Thresholds_Rates!$F$17,IF(SUMIF(Grades!$A:$A,$B$4,Grades!$BQ:$BQ)=1,$C92*Thresholds_Rates!$F$17,""))))))))</f>
        <v/>
      </c>
      <c r="H92" s="25" t="str">
        <f ca="1">IF($B92="","",ROUND(($C92-(Thresholds_Rates!$C$5*12))*Thresholds_Rates!$C$10,0))</f>
        <v/>
      </c>
      <c r="I92" s="25" t="str">
        <f ca="1">IF(B92="","",(C92*Thresholds_Rates!$C$12))</f>
        <v/>
      </c>
      <c r="J92" s="25" t="str">
        <f ca="1">IF(B92="","",IF(AND($B$4="Salary Points 1 to 57",B92&gt;Thresholds_Rates!$C$17),"-",IF(SUMIF(Grades!$A:$A,$B$4,Grades!$BR:$BR)=0,"-",IF(AND($B$4="Salary Points 1 to 57",B92&lt;=Thresholds_Rates!$C$17),$C92*Thresholds_Rates!$F$18,IF(AND(OR($B$4="New Consultant Contract"),$B92&lt;&gt;""),$C92*Thresholds_Rates!$F$18,IF(AND(OR($B$4="Clinical Lecturer / Medical Research Fellow",$B$4="Clinical Consultant - Old Contract (GP)"),$B92&lt;&gt;""),$C92*Thresholds_Rates!$F$18,IF(AND(OR($B$4="APM Level 7",$B$4="R&amp;T Level 7"),H92&lt;&gt;""),$C92*Thresholds_Rates!$F$18,IF(SUMIF(Grades!$A:$A,$B$4,Grades!$BQ:$BQ)=1,$C92*Thresholds_Rates!$F$18,""))))))))</f>
        <v/>
      </c>
      <c r="K92" s="4"/>
      <c r="L92" s="25" t="str">
        <f t="shared" ca="1" si="8"/>
        <v/>
      </c>
      <c r="M92" s="25" t="str">
        <f t="shared" ca="1" si="9"/>
        <v/>
      </c>
      <c r="N92" s="25" t="str">
        <f t="shared" ca="1" si="10"/>
        <v/>
      </c>
      <c r="O92" s="25" t="str">
        <f t="shared" ca="1" si="11"/>
        <v/>
      </c>
      <c r="P92" s="25" t="str">
        <f t="shared" ca="1" si="12"/>
        <v/>
      </c>
      <c r="R92" s="28" t="str">
        <f ca="1">IF(B92="","",IF($B$4="R&amp;T Level 5 - Clinical Lecturers (Vet School)",SUMIF(Points_Lookup!$M:$M,$B92,Points_Lookup!$N:$N),IF($B$4="R&amp;T Level 6 - Clinical Associate Professors and Clinical Readers (Vet School)",SUMIF(Points_Lookup!$T:$T,$B92,Points_Lookup!$U:$U),"")))</f>
        <v/>
      </c>
      <c r="S92" s="29" t="str">
        <f ca="1">IF(B92="","",IF($B$4="R&amp;T Level 5 - Clinical Lecturers (Vet School)",$C92-SUMIF(Points_Lookup!$M:$M,$B92,Points_Lookup!$O:$O),IF($B$4="R&amp;T Level 6 - Clinical Associate Professors and Clinical Readers (Vet School)",$C92-SUMIF(Points_Lookup!$T:$T,$B92,Points_Lookup!$V:$V),"")))</f>
        <v/>
      </c>
      <c r="T92" s="28" t="str">
        <f ca="1">IF(B92="","",IF($B$4="R&amp;T Level 5 - Clinical Lecturers (Vet School)",SUMIF(Points_Lookup!$M:$M,$B92,Points_Lookup!$Q:$Q),IF($B$4="R&amp;T Level 6 - Clinical Associate Professors and Clinical Readers (Vet School)",SUMIF(Points_Lookup!$T:$T,$B92,Points_Lookup!$X:$X),"")))</f>
        <v/>
      </c>
      <c r="U92" s="29" t="str">
        <f t="shared" ca="1" si="7"/>
        <v/>
      </c>
    </row>
    <row r="93" spans="2:21" x14ac:dyDescent="0.25">
      <c r="B93" s="4" t="str">
        <f ca="1">IFERROR(INDEX(Points_Lookup!$A:$A,MATCH($Z95,Points_Lookup!$AE:$AE,0)),"")</f>
        <v/>
      </c>
      <c r="C93" s="25" t="str">
        <f ca="1">IF(B93="","",IF($B$4="Apprenticeship",SUMIF(Points_Lookup!$AA:$AA,B93,Points_Lookup!$AC:$AC),IF(AND(OR($B$4="New Consultant Contract"),$B93&lt;&gt;""),INDEX(Points_Lookup!$K:$K,MATCH($B93,Points_Lookup!$J:$J,0)),IF(AND(OR($B$4="Clinical Lecturer / Medical Research Fellow",$B$4="Clinical Consultant - Old Contract (GP)"),$B93&lt;&gt;""),INDEX(Points_Lookup!$H:$H,MATCH($B93,Points_Lookup!$G:$G,0)),IF(AND(OR($B$4="APM Level 7",$B$4="R&amp;T Level 7",$B$4="APM Level 8"),B93&lt;&gt;""),INDEX(Points_Lookup!$E:$E,MATCH($Z93,Points_Lookup!$AE:$AE,0)),IF($B$4="R&amp;T Level 5 - Clinical Lecturers (Vet School)",SUMIF(Points_Lookup!$M:$M,$B93,Points_Lookup!$P:$P),IF($B$4="R&amp;T Level 6 - Clinical Associate Professors and Clinical Readers (Vet School)",SUMIF(Points_Lookup!$T:$T,$B93,Points_Lookup!$W:$W),IFERROR(INDEX(Points_Lookup!$B:$B,MATCH($Z93,Points_Lookup!$AE:$AE,0)),""))))))))</f>
        <v/>
      </c>
      <c r="D93" s="36"/>
      <c r="E93" s="25" t="str">
        <f ca="1">IF($B93="","",IF(AND($B$4="Salary Points 3 to 57",B93&lt;Thresholds_Rates!$C$16),"-",IF(SUMIF(Grades!$A:$A,$B$4,Grades!$BO:$BO)=0,"-",IF(AND($B$4="Salary Points 3 to 57",B93&gt;=Thresholds_Rates!$C$16),$C93*Thresholds_Rates!$F$15,IF(AND(OR($B$4="New Consultant Contract"),$B93&lt;&gt;""),$C93*Thresholds_Rates!$F$15,IF(AND(OR($B$4="Clinical Lecturer / Medical Research Fellow",$B$4="Clinical Consultant - Old Contract (GP)"),$B93&lt;&gt;""),$C93*Thresholds_Rates!$F$15,IF(OR($B$4="APM Level 7",$B$4="R&amp;T Level 7"),$C93*Thresholds_Rates!$F$15,IF(SUMIF(Grades!$A:$A,$B$4,Grades!$BO:$BO)=1,$C93*Thresholds_Rates!$F$15,""))))))))</f>
        <v/>
      </c>
      <c r="F93" s="25" t="str">
        <f ca="1">IF(B93="","",IF($B$4="Salary Points 1 to 57","-",IF(SUMIF(Grades!$A:$A,$B$4,Grades!$BP:$BP)=0,"-",IF(AND(OR($B$4="New Consultant Contract"),$B93&lt;&gt;""),$C93*Thresholds_Rates!$F$16,IF(AND(OR($B$4="Clinical Lecturer / Medical Research Fellow",$B$4="Clinical Consultant - Old Contract (GP)"),$B93&lt;&gt;""),$C93*Thresholds_Rates!$F$16,IF(AND(OR($B$4="APM Level 7",$B$4="R&amp;T Level 7"),E93&lt;&gt;""),$C93*Thresholds_Rates!$F$16,IF(SUMIF(Grades!$A:$A,$B$4,Grades!$BP:$BP)=1,$C93*Thresholds_Rates!$F$16,"")))))))</f>
        <v/>
      </c>
      <c r="G93" s="25" t="str">
        <f ca="1">IF(B93="","",IF(SUMIF(Grades!$A:$A,$B$4,Grades!$BQ:$BQ)=0,"-",IF(AND($B$4="Salary Points 1 to 57",B93&gt;Thresholds_Rates!$C$17),"-",IF(AND($B$4="Salary Points 1 to 57",B93&lt;=Thresholds_Rates!$C$17),$C93*Thresholds_Rates!$F$17,IF(AND(OR($B$4="New Consultant Contract"),$B93&lt;&gt;""),$C93*Thresholds_Rates!$F$17,IF(AND(OR($B$4="Clinical Lecturer / Medical Research Fellow",$B$4="Clinical Consultant - Old Contract (GP)"),$B93&lt;&gt;""),$C93*Thresholds_Rates!$F$17,IF(AND(OR($B$4="APM Level 7",$B$4="R&amp;T Level 7"),F93&lt;&gt;""),$C93*Thresholds_Rates!$F$17,IF(SUMIF(Grades!$A:$A,$B$4,Grades!$BQ:$BQ)=1,$C93*Thresholds_Rates!$F$17,""))))))))</f>
        <v/>
      </c>
      <c r="H93" s="25" t="str">
        <f ca="1">IF($B93="","",ROUND(($C93-(Thresholds_Rates!$C$5*12))*Thresholds_Rates!$C$10,0))</f>
        <v/>
      </c>
      <c r="I93" s="25" t="str">
        <f ca="1">IF(B93="","",(C93*Thresholds_Rates!$C$12))</f>
        <v/>
      </c>
      <c r="J93" s="25" t="str">
        <f ca="1">IF(B93="","",IF(AND($B$4="Salary Points 1 to 57",B93&gt;Thresholds_Rates!$C$17),"-",IF(SUMIF(Grades!$A:$A,$B$4,Grades!$BR:$BR)=0,"-",IF(AND($B$4="Salary Points 1 to 57",B93&lt;=Thresholds_Rates!$C$17),$C93*Thresholds_Rates!$F$18,IF(AND(OR($B$4="New Consultant Contract"),$B93&lt;&gt;""),$C93*Thresholds_Rates!$F$18,IF(AND(OR($B$4="Clinical Lecturer / Medical Research Fellow",$B$4="Clinical Consultant - Old Contract (GP)"),$B93&lt;&gt;""),$C93*Thresholds_Rates!$F$18,IF(AND(OR($B$4="APM Level 7",$B$4="R&amp;T Level 7"),H93&lt;&gt;""),$C93*Thresholds_Rates!$F$18,IF(SUMIF(Grades!$A:$A,$B$4,Grades!$BQ:$BQ)=1,$C93*Thresholds_Rates!$F$18,""))))))))</f>
        <v/>
      </c>
      <c r="K93" s="4"/>
      <c r="L93" s="25" t="str">
        <f t="shared" ca="1" si="8"/>
        <v/>
      </c>
      <c r="M93" s="25" t="str">
        <f t="shared" ca="1" si="9"/>
        <v/>
      </c>
      <c r="N93" s="25" t="str">
        <f t="shared" ca="1" si="10"/>
        <v/>
      </c>
      <c r="O93" s="25" t="str">
        <f t="shared" ca="1" si="11"/>
        <v/>
      </c>
      <c r="P93" s="25" t="str">
        <f t="shared" ca="1" si="12"/>
        <v/>
      </c>
      <c r="R93" s="28" t="str">
        <f ca="1">IF(B93="","",IF($B$4="R&amp;T Level 5 - Clinical Lecturers (Vet School)",SUMIF(Points_Lookup!$M:$M,$B93,Points_Lookup!$N:$N),IF($B$4="R&amp;T Level 6 - Clinical Associate Professors and Clinical Readers (Vet School)",SUMIF(Points_Lookup!$T:$T,$B93,Points_Lookup!$U:$U),"")))</f>
        <v/>
      </c>
      <c r="S93" s="29" t="str">
        <f ca="1">IF(B93="","",IF($B$4="R&amp;T Level 5 - Clinical Lecturers (Vet School)",$C93-SUMIF(Points_Lookup!$M:$M,$B93,Points_Lookup!$O:$O),IF($B$4="R&amp;T Level 6 - Clinical Associate Professors and Clinical Readers (Vet School)",$C93-SUMIF(Points_Lookup!$T:$T,$B93,Points_Lookup!$V:$V),"")))</f>
        <v/>
      </c>
      <c r="T93" s="28" t="str">
        <f ca="1">IF(B93="","",IF($B$4="R&amp;T Level 5 - Clinical Lecturers (Vet School)",SUMIF(Points_Lookup!$M:$M,$B93,Points_Lookup!$Q:$Q),IF($B$4="R&amp;T Level 6 - Clinical Associate Professors and Clinical Readers (Vet School)",SUMIF(Points_Lookup!$T:$T,$B93,Points_Lookup!$X:$X),"")))</f>
        <v/>
      </c>
      <c r="U93" s="29" t="str">
        <f t="shared" ca="1" si="7"/>
        <v/>
      </c>
    </row>
    <row r="94" spans="2:21" x14ac:dyDescent="0.25">
      <c r="B94" s="4" t="str">
        <f ca="1">IFERROR(INDEX(Points_Lookup!$A:$A,MATCH($Z96,Points_Lookup!$AE:$AE,0)),"")</f>
        <v/>
      </c>
      <c r="C94" s="25" t="str">
        <f ca="1">IF(B94="","",IF($B$4="Apprenticeship",SUMIF(Points_Lookup!$AA:$AA,B94,Points_Lookup!$AC:$AC),IF(AND(OR($B$4="New Consultant Contract"),$B94&lt;&gt;""),INDEX(Points_Lookup!$K:$K,MATCH($B94,Points_Lookup!$J:$J,0)),IF(AND(OR($B$4="Clinical Lecturer / Medical Research Fellow",$B$4="Clinical Consultant - Old Contract (GP)"),$B94&lt;&gt;""),INDEX(Points_Lookup!$H:$H,MATCH($B94,Points_Lookup!$G:$G,0)),IF(AND(OR($B$4="APM Level 7",$B$4="R&amp;T Level 7",$B$4="APM Level 8"),B94&lt;&gt;""),INDEX(Points_Lookup!$E:$E,MATCH($Z94,Points_Lookup!$AE:$AE,0)),IF($B$4="R&amp;T Level 5 - Clinical Lecturers (Vet School)",SUMIF(Points_Lookup!$M:$M,$B94,Points_Lookup!$P:$P),IF($B$4="R&amp;T Level 6 - Clinical Associate Professors and Clinical Readers (Vet School)",SUMIF(Points_Lookup!$T:$T,$B94,Points_Lookup!$W:$W),IFERROR(INDEX(Points_Lookup!$B:$B,MATCH($Z94,Points_Lookup!$AE:$AE,0)),""))))))))</f>
        <v/>
      </c>
      <c r="D94" s="36"/>
      <c r="E94" s="25" t="str">
        <f ca="1">IF($B94="","",IF(AND($B$4="Salary Points 3 to 57",B94&lt;Thresholds_Rates!$C$16),"-",IF(SUMIF(Grades!$A:$A,$B$4,Grades!$BO:$BO)=0,"-",IF(AND($B$4="Salary Points 3 to 57",B94&gt;=Thresholds_Rates!$C$16),$C94*Thresholds_Rates!$F$15,IF(AND(OR($B$4="New Consultant Contract"),$B94&lt;&gt;""),$C94*Thresholds_Rates!$F$15,IF(AND(OR($B$4="Clinical Lecturer / Medical Research Fellow",$B$4="Clinical Consultant - Old Contract (GP)"),$B94&lt;&gt;""),$C94*Thresholds_Rates!$F$15,IF(OR($B$4="APM Level 7",$B$4="R&amp;T Level 7"),$C94*Thresholds_Rates!$F$15,IF(SUMIF(Grades!$A:$A,$B$4,Grades!$BO:$BO)=1,$C94*Thresholds_Rates!$F$15,""))))))))</f>
        <v/>
      </c>
      <c r="F94" s="25" t="str">
        <f ca="1">IF(B94="","",IF($B$4="Salary Points 1 to 57","-",IF(SUMIF(Grades!$A:$A,$B$4,Grades!$BP:$BP)=0,"-",IF(AND(OR($B$4="New Consultant Contract"),$B94&lt;&gt;""),$C94*Thresholds_Rates!$F$16,IF(AND(OR($B$4="Clinical Lecturer / Medical Research Fellow",$B$4="Clinical Consultant - Old Contract (GP)"),$B94&lt;&gt;""),$C94*Thresholds_Rates!$F$16,IF(AND(OR($B$4="APM Level 7",$B$4="R&amp;T Level 7"),E94&lt;&gt;""),$C94*Thresholds_Rates!$F$16,IF(SUMIF(Grades!$A:$A,$B$4,Grades!$BP:$BP)=1,$C94*Thresholds_Rates!$F$16,"")))))))</f>
        <v/>
      </c>
      <c r="G94" s="25" t="str">
        <f ca="1">IF(B94="","",IF(SUMIF(Grades!$A:$A,$B$4,Grades!$BQ:$BQ)=0,"-",IF(AND($B$4="Salary Points 1 to 57",B94&gt;Thresholds_Rates!$C$17),"-",IF(AND($B$4="Salary Points 1 to 57",B94&lt;=Thresholds_Rates!$C$17),$C94*Thresholds_Rates!$F$17,IF(AND(OR($B$4="New Consultant Contract"),$B94&lt;&gt;""),$C94*Thresholds_Rates!$F$17,IF(AND(OR($B$4="Clinical Lecturer / Medical Research Fellow",$B$4="Clinical Consultant - Old Contract (GP)"),$B94&lt;&gt;""),$C94*Thresholds_Rates!$F$17,IF(AND(OR($B$4="APM Level 7",$B$4="R&amp;T Level 7"),F94&lt;&gt;""),$C94*Thresholds_Rates!$F$17,IF(SUMIF(Grades!$A:$A,$B$4,Grades!$BQ:$BQ)=1,$C94*Thresholds_Rates!$F$17,""))))))))</f>
        <v/>
      </c>
      <c r="H94" s="25" t="str">
        <f ca="1">IF($B94="","",ROUND(($C94-(Thresholds_Rates!$C$5*12))*Thresholds_Rates!$C$10,0))</f>
        <v/>
      </c>
      <c r="I94" s="25" t="str">
        <f ca="1">IF(B94="","",(C94*Thresholds_Rates!$C$12))</f>
        <v/>
      </c>
      <c r="J94" s="25" t="str">
        <f ca="1">IF(B94="","",IF(AND($B$4="Salary Points 1 to 57",B94&gt;Thresholds_Rates!$C$17),"-",IF(SUMIF(Grades!$A:$A,$B$4,Grades!$BR:$BR)=0,"-",IF(AND($B$4="Salary Points 1 to 57",B94&lt;=Thresholds_Rates!$C$17),$C94*Thresholds_Rates!$F$18,IF(AND(OR($B$4="New Consultant Contract"),$B94&lt;&gt;""),$C94*Thresholds_Rates!$F$18,IF(AND(OR($B$4="Clinical Lecturer / Medical Research Fellow",$B$4="Clinical Consultant - Old Contract (GP)"),$B94&lt;&gt;""),$C94*Thresholds_Rates!$F$18,IF(AND(OR($B$4="APM Level 7",$B$4="R&amp;T Level 7"),H94&lt;&gt;""),$C94*Thresholds_Rates!$F$18,IF(SUMIF(Grades!$A:$A,$B$4,Grades!$BQ:$BQ)=1,$C94*Thresholds_Rates!$F$18,""))))))))</f>
        <v/>
      </c>
      <c r="K94" s="4"/>
      <c r="L94" s="25" t="str">
        <f t="shared" ca="1" si="8"/>
        <v/>
      </c>
      <c r="M94" s="25" t="str">
        <f t="shared" ca="1" si="9"/>
        <v/>
      </c>
      <c r="N94" s="25" t="str">
        <f t="shared" ca="1" si="10"/>
        <v/>
      </c>
      <c r="O94" s="25" t="str">
        <f t="shared" ca="1" si="11"/>
        <v/>
      </c>
      <c r="P94" s="25" t="str">
        <f t="shared" ca="1" si="12"/>
        <v/>
      </c>
      <c r="R94" s="28" t="str">
        <f ca="1">IF(B94="","",IF($B$4="R&amp;T Level 5 - Clinical Lecturers (Vet School)",SUMIF(Points_Lookup!$M:$M,$B94,Points_Lookup!$N:$N),IF($B$4="R&amp;T Level 6 - Clinical Associate Professors and Clinical Readers (Vet School)",SUMIF(Points_Lookup!$T:$T,$B94,Points_Lookup!$U:$U),"")))</f>
        <v/>
      </c>
      <c r="S94" s="29" t="str">
        <f ca="1">IF(B94="","",IF($B$4="R&amp;T Level 5 - Clinical Lecturers (Vet School)",$C94-SUMIF(Points_Lookup!$M:$M,$B94,Points_Lookup!$O:$O),IF($B$4="R&amp;T Level 6 - Clinical Associate Professors and Clinical Readers (Vet School)",$C94-SUMIF(Points_Lookup!$T:$T,$B94,Points_Lookup!$V:$V),"")))</f>
        <v/>
      </c>
      <c r="T94" s="28" t="str">
        <f ca="1">IF(B94="","",IF($B$4="R&amp;T Level 5 - Clinical Lecturers (Vet School)",SUMIF(Points_Lookup!$M:$M,$B94,Points_Lookup!$Q:$Q),IF($B$4="R&amp;T Level 6 - Clinical Associate Professors and Clinical Readers (Vet School)",SUMIF(Points_Lookup!$T:$T,$B94,Points_Lookup!$X:$X),"")))</f>
        <v/>
      </c>
      <c r="U94" s="29" t="str">
        <f t="shared" ca="1" si="7"/>
        <v/>
      </c>
    </row>
    <row r="95" spans="2:21" x14ac:dyDescent="0.25">
      <c r="B95" s="4" t="str">
        <f ca="1">IFERROR(INDEX(Points_Lookup!$A:$A,MATCH($Z97,Points_Lookup!$AE:$AE,0)),"")</f>
        <v/>
      </c>
      <c r="C95" s="25" t="str">
        <f ca="1">IF(B95="","",IF($B$4="Apprenticeship",SUMIF(Points_Lookup!$AA:$AA,B95,Points_Lookup!$AC:$AC),IF(AND(OR($B$4="New Consultant Contract"),$B95&lt;&gt;""),INDEX(Points_Lookup!$K:$K,MATCH($B95,Points_Lookup!$J:$J,0)),IF(AND(OR($B$4="Clinical Lecturer / Medical Research Fellow",$B$4="Clinical Consultant - Old Contract (GP)"),$B95&lt;&gt;""),INDEX(Points_Lookup!$H:$H,MATCH($B95,Points_Lookup!$G:$G,0)),IF(AND(OR($B$4="APM Level 7",$B$4="R&amp;T Level 7",$B$4="APM Level 8"),B95&lt;&gt;""),INDEX(Points_Lookup!$E:$E,MATCH($Z95,Points_Lookup!$AE:$AE,0)),IF($B$4="R&amp;T Level 5 - Clinical Lecturers (Vet School)",SUMIF(Points_Lookup!$M:$M,$B95,Points_Lookup!$P:$P),IF($B$4="R&amp;T Level 6 - Clinical Associate Professors and Clinical Readers (Vet School)",SUMIF(Points_Lookup!$T:$T,$B95,Points_Lookup!$W:$W),IFERROR(INDEX(Points_Lookup!$B:$B,MATCH($Z95,Points_Lookup!$AE:$AE,0)),""))))))))</f>
        <v/>
      </c>
      <c r="D95" s="36"/>
      <c r="E95" s="25" t="str">
        <f ca="1">IF($B95="","",IF(AND($B$4="Salary Points 3 to 57",B95&lt;Thresholds_Rates!$C$16),"-",IF(SUMIF(Grades!$A:$A,$B$4,Grades!$BO:$BO)=0,"-",IF(AND($B$4="Salary Points 3 to 57",B95&gt;=Thresholds_Rates!$C$16),$C95*Thresholds_Rates!$F$15,IF(AND(OR($B$4="New Consultant Contract"),$B95&lt;&gt;""),$C95*Thresholds_Rates!$F$15,IF(AND(OR($B$4="Clinical Lecturer / Medical Research Fellow",$B$4="Clinical Consultant - Old Contract (GP)"),$B95&lt;&gt;""),$C95*Thresholds_Rates!$F$15,IF(OR($B$4="APM Level 7",$B$4="R&amp;T Level 7"),$C95*Thresholds_Rates!$F$15,IF(SUMIF(Grades!$A:$A,$B$4,Grades!$BO:$BO)=1,$C95*Thresholds_Rates!$F$15,""))))))))</f>
        <v/>
      </c>
      <c r="F95" s="25" t="str">
        <f ca="1">IF(B95="","",IF($B$4="Salary Points 1 to 57","-",IF(SUMIF(Grades!$A:$A,$B$4,Grades!$BP:$BP)=0,"-",IF(AND(OR($B$4="New Consultant Contract"),$B95&lt;&gt;""),$C95*Thresholds_Rates!$F$16,IF(AND(OR($B$4="Clinical Lecturer / Medical Research Fellow",$B$4="Clinical Consultant - Old Contract (GP)"),$B95&lt;&gt;""),$C95*Thresholds_Rates!$F$16,IF(AND(OR($B$4="APM Level 7",$B$4="R&amp;T Level 7"),E95&lt;&gt;""),$C95*Thresholds_Rates!$F$16,IF(SUMIF(Grades!$A:$A,$B$4,Grades!$BP:$BP)=1,$C95*Thresholds_Rates!$F$16,"")))))))</f>
        <v/>
      </c>
      <c r="G95" s="25" t="str">
        <f ca="1">IF(B95="","",IF(SUMIF(Grades!$A:$A,$B$4,Grades!$BQ:$BQ)=0,"-",IF(AND($B$4="Salary Points 1 to 57",B95&gt;Thresholds_Rates!$C$17),"-",IF(AND($B$4="Salary Points 1 to 57",B95&lt;=Thresholds_Rates!$C$17),$C95*Thresholds_Rates!$F$17,IF(AND(OR($B$4="New Consultant Contract"),$B95&lt;&gt;""),$C95*Thresholds_Rates!$F$17,IF(AND(OR($B$4="Clinical Lecturer / Medical Research Fellow",$B$4="Clinical Consultant - Old Contract (GP)"),$B95&lt;&gt;""),$C95*Thresholds_Rates!$F$17,IF(AND(OR($B$4="APM Level 7",$B$4="R&amp;T Level 7"),F95&lt;&gt;""),$C95*Thresholds_Rates!$F$17,IF(SUMIF(Grades!$A:$A,$B$4,Grades!$BQ:$BQ)=1,$C95*Thresholds_Rates!$F$17,""))))))))</f>
        <v/>
      </c>
      <c r="H95" s="25" t="str">
        <f ca="1">IF($B95="","",ROUND(($C95-(Thresholds_Rates!$C$5*12))*Thresholds_Rates!$C$10,0))</f>
        <v/>
      </c>
      <c r="I95" s="25" t="str">
        <f ca="1">IF(B95="","",(C95*Thresholds_Rates!$C$12))</f>
        <v/>
      </c>
      <c r="J95" s="25" t="str">
        <f ca="1">IF(B95="","",IF(AND($B$4="Salary Points 1 to 57",B95&gt;Thresholds_Rates!$C$17),"-",IF(SUMIF(Grades!$A:$A,$B$4,Grades!$BR:$BR)=0,"-",IF(AND($B$4="Salary Points 1 to 57",B95&lt;=Thresholds_Rates!$C$17),$C95*Thresholds_Rates!$F$18,IF(AND(OR($B$4="New Consultant Contract"),$B95&lt;&gt;""),$C95*Thresholds_Rates!$F$18,IF(AND(OR($B$4="Clinical Lecturer / Medical Research Fellow",$B$4="Clinical Consultant - Old Contract (GP)"),$B95&lt;&gt;""),$C95*Thresholds_Rates!$F$18,IF(AND(OR($B$4="APM Level 7",$B$4="R&amp;T Level 7"),H95&lt;&gt;""),$C95*Thresholds_Rates!$F$18,IF(SUMIF(Grades!$A:$A,$B$4,Grades!$BQ:$BQ)=1,$C95*Thresholds_Rates!$F$18,""))))))))</f>
        <v/>
      </c>
      <c r="K95" s="4"/>
      <c r="L95" s="25" t="str">
        <f t="shared" ca="1" si="8"/>
        <v/>
      </c>
      <c r="M95" s="25" t="str">
        <f t="shared" ca="1" si="9"/>
        <v/>
      </c>
      <c r="N95" s="25" t="str">
        <f t="shared" ca="1" si="10"/>
        <v/>
      </c>
      <c r="O95" s="25" t="str">
        <f t="shared" ca="1" si="11"/>
        <v/>
      </c>
      <c r="P95" s="25" t="str">
        <f t="shared" ca="1" si="12"/>
        <v/>
      </c>
      <c r="R95" s="28" t="str">
        <f ca="1">IF(B95="","",IF($B$4="R&amp;T Level 5 - Clinical Lecturers (Vet School)",SUMIF(Points_Lookup!$M:$M,$B95,Points_Lookup!$N:$N),IF($B$4="R&amp;T Level 6 - Clinical Associate Professors and Clinical Readers (Vet School)",SUMIF(Points_Lookup!$T:$T,$B95,Points_Lookup!$U:$U),"")))</f>
        <v/>
      </c>
      <c r="S95" s="29" t="str">
        <f ca="1">IF(B95="","",IF($B$4="R&amp;T Level 5 - Clinical Lecturers (Vet School)",$C95-SUMIF(Points_Lookup!$M:$M,$B95,Points_Lookup!$O:$O),IF($B$4="R&amp;T Level 6 - Clinical Associate Professors and Clinical Readers (Vet School)",$C95-SUMIF(Points_Lookup!$T:$T,$B95,Points_Lookup!$V:$V),"")))</f>
        <v/>
      </c>
      <c r="T95" s="28" t="str">
        <f ca="1">IF(B95="","",IF($B$4="R&amp;T Level 5 - Clinical Lecturers (Vet School)",SUMIF(Points_Lookup!$M:$M,$B95,Points_Lookup!$Q:$Q),IF($B$4="R&amp;T Level 6 - Clinical Associate Professors and Clinical Readers (Vet School)",SUMIF(Points_Lookup!$T:$T,$B95,Points_Lookup!$X:$X),"")))</f>
        <v/>
      </c>
      <c r="U95" s="29" t="str">
        <f t="shared" ca="1" si="7"/>
        <v/>
      </c>
    </row>
    <row r="96" spans="2:21" x14ac:dyDescent="0.25">
      <c r="B96" s="4" t="str">
        <f ca="1">IFERROR(INDEX(Points_Lookup!$A:$A,MATCH($Z98,Points_Lookup!$AE:$AE,0)),"")</f>
        <v/>
      </c>
      <c r="C96" s="25" t="str">
        <f ca="1">IF(B96="","",IF($B$4="Apprenticeship",SUMIF(Points_Lookup!$AA:$AA,B96,Points_Lookup!$AC:$AC),IF(AND(OR($B$4="New Consultant Contract"),$B96&lt;&gt;""),INDEX(Points_Lookup!$K:$K,MATCH($B96,Points_Lookup!$J:$J,0)),IF(AND(OR($B$4="Clinical Lecturer / Medical Research Fellow",$B$4="Clinical Consultant - Old Contract (GP)"),$B96&lt;&gt;""),INDEX(Points_Lookup!$H:$H,MATCH($B96,Points_Lookup!$G:$G,0)),IF(AND(OR($B$4="APM Level 7",$B$4="R&amp;T Level 7",$B$4="APM Level 8"),B96&lt;&gt;""),INDEX(Points_Lookup!$E:$E,MATCH($Z96,Points_Lookup!$AE:$AE,0)),IF($B$4="R&amp;T Level 5 - Clinical Lecturers (Vet School)",SUMIF(Points_Lookup!$M:$M,$B96,Points_Lookup!$P:$P),IF($B$4="R&amp;T Level 6 - Clinical Associate Professors and Clinical Readers (Vet School)",SUMIF(Points_Lookup!$T:$T,$B96,Points_Lookup!$W:$W),IFERROR(INDEX(Points_Lookup!$B:$B,MATCH($Z96,Points_Lookup!$AE:$AE,0)),""))))))))</f>
        <v/>
      </c>
      <c r="D96" s="36"/>
      <c r="E96" s="25" t="str">
        <f ca="1">IF($B96="","",IF(AND($B$4="Salary Points 3 to 57",B96&lt;Thresholds_Rates!$C$16),"-",IF(SUMIF(Grades!$A:$A,$B$4,Grades!$BO:$BO)=0,"-",IF(AND($B$4="Salary Points 3 to 57",B96&gt;=Thresholds_Rates!$C$16),$C96*Thresholds_Rates!$F$15,IF(AND(OR($B$4="New Consultant Contract"),$B96&lt;&gt;""),$C96*Thresholds_Rates!$F$15,IF(AND(OR($B$4="Clinical Lecturer / Medical Research Fellow",$B$4="Clinical Consultant - Old Contract (GP)"),$B96&lt;&gt;""),$C96*Thresholds_Rates!$F$15,IF(OR($B$4="APM Level 7",$B$4="R&amp;T Level 7"),$C96*Thresholds_Rates!$F$15,IF(SUMIF(Grades!$A:$A,$B$4,Grades!$BO:$BO)=1,$C96*Thresholds_Rates!$F$15,""))))))))</f>
        <v/>
      </c>
      <c r="F96" s="25" t="str">
        <f ca="1">IF(B96="","",IF($B$4="Salary Points 1 to 57","-",IF(SUMIF(Grades!$A:$A,$B$4,Grades!$BP:$BP)=0,"-",IF(AND(OR($B$4="New Consultant Contract"),$B96&lt;&gt;""),$C96*Thresholds_Rates!$F$16,IF(AND(OR($B$4="Clinical Lecturer / Medical Research Fellow",$B$4="Clinical Consultant - Old Contract (GP)"),$B96&lt;&gt;""),$C96*Thresholds_Rates!$F$16,IF(AND(OR($B$4="APM Level 7",$B$4="R&amp;T Level 7"),E96&lt;&gt;""),$C96*Thresholds_Rates!$F$16,IF(SUMIF(Grades!$A:$A,$B$4,Grades!$BP:$BP)=1,$C96*Thresholds_Rates!$F$16,"")))))))</f>
        <v/>
      </c>
      <c r="G96" s="25" t="str">
        <f ca="1">IF(B96="","",IF(SUMIF(Grades!$A:$A,$B$4,Grades!$BQ:$BQ)=0,"-",IF(AND($B$4="Salary Points 1 to 57",B96&gt;Thresholds_Rates!$C$17),"-",IF(AND($B$4="Salary Points 1 to 57",B96&lt;=Thresholds_Rates!$C$17),$C96*Thresholds_Rates!$F$17,IF(AND(OR($B$4="New Consultant Contract"),$B96&lt;&gt;""),$C96*Thresholds_Rates!$F$17,IF(AND(OR($B$4="Clinical Lecturer / Medical Research Fellow",$B$4="Clinical Consultant - Old Contract (GP)"),$B96&lt;&gt;""),$C96*Thresholds_Rates!$F$17,IF(AND(OR($B$4="APM Level 7",$B$4="R&amp;T Level 7"),F96&lt;&gt;""),$C96*Thresholds_Rates!$F$17,IF(SUMIF(Grades!$A:$A,$B$4,Grades!$BQ:$BQ)=1,$C96*Thresholds_Rates!$F$17,""))))))))</f>
        <v/>
      </c>
      <c r="H96" s="25" t="str">
        <f ca="1">IF($B96="","",ROUND(($C96-(Thresholds_Rates!$C$5*12))*Thresholds_Rates!$C$10,0))</f>
        <v/>
      </c>
      <c r="I96" s="25" t="str">
        <f ca="1">IF(B96="","",(C96*Thresholds_Rates!$C$12))</f>
        <v/>
      </c>
      <c r="J96" s="25" t="str">
        <f ca="1">IF(B96="","",IF(AND($B$4="Salary Points 1 to 57",B96&gt;Thresholds_Rates!$C$17),"-",IF(SUMIF(Grades!$A:$A,$B$4,Grades!$BR:$BR)=0,"-",IF(AND($B$4="Salary Points 1 to 57",B96&lt;=Thresholds_Rates!$C$17),$C96*Thresholds_Rates!$F$18,IF(AND(OR($B$4="New Consultant Contract"),$B96&lt;&gt;""),$C96*Thresholds_Rates!$F$18,IF(AND(OR($B$4="Clinical Lecturer / Medical Research Fellow",$B$4="Clinical Consultant - Old Contract (GP)"),$B96&lt;&gt;""),$C96*Thresholds_Rates!$F$18,IF(AND(OR($B$4="APM Level 7",$B$4="R&amp;T Level 7"),H96&lt;&gt;""),$C96*Thresholds_Rates!$F$18,IF(SUMIF(Grades!$A:$A,$B$4,Grades!$BQ:$BQ)=1,$C96*Thresholds_Rates!$F$18,""))))))))</f>
        <v/>
      </c>
      <c r="K96" s="4"/>
      <c r="L96" s="25" t="str">
        <f t="shared" ca="1" si="8"/>
        <v/>
      </c>
      <c r="M96" s="25" t="str">
        <f t="shared" ca="1" si="9"/>
        <v/>
      </c>
      <c r="N96" s="25" t="str">
        <f t="shared" ca="1" si="10"/>
        <v/>
      </c>
      <c r="O96" s="25" t="str">
        <f t="shared" ca="1" si="11"/>
        <v/>
      </c>
      <c r="P96" s="25" t="str">
        <f t="shared" ca="1" si="12"/>
        <v/>
      </c>
      <c r="R96" s="28" t="str">
        <f ca="1">IF(B96="","",IF($B$4="R&amp;T Level 5 - Clinical Lecturers (Vet School)",SUMIF(Points_Lookup!$M:$M,$B96,Points_Lookup!$N:$N),IF($B$4="R&amp;T Level 6 - Clinical Associate Professors and Clinical Readers (Vet School)",SUMIF(Points_Lookup!$T:$T,$B96,Points_Lookup!$U:$U),"")))</f>
        <v/>
      </c>
      <c r="S96" s="29" t="str">
        <f ca="1">IF(B96="","",IF($B$4="R&amp;T Level 5 - Clinical Lecturers (Vet School)",$C96-SUMIF(Points_Lookup!$M:$M,$B96,Points_Lookup!$O:$O),IF($B$4="R&amp;T Level 6 - Clinical Associate Professors and Clinical Readers (Vet School)",$C96-SUMIF(Points_Lookup!$T:$T,$B96,Points_Lookup!$V:$V),"")))</f>
        <v/>
      </c>
      <c r="T96" s="28" t="str">
        <f ca="1">IF(B96="","",IF($B$4="R&amp;T Level 5 - Clinical Lecturers (Vet School)",SUMIF(Points_Lookup!$M:$M,$B96,Points_Lookup!$Q:$Q),IF($B$4="R&amp;T Level 6 - Clinical Associate Professors and Clinical Readers (Vet School)",SUMIF(Points_Lookup!$T:$T,$B96,Points_Lookup!$X:$X),"")))</f>
        <v/>
      </c>
      <c r="U96" s="29" t="str">
        <f t="shared" ca="1" si="7"/>
        <v/>
      </c>
    </row>
    <row r="97" spans="2:21" x14ac:dyDescent="0.25">
      <c r="B97" s="4" t="str">
        <f ca="1">IFERROR(INDEX(Points_Lookup!$A:$A,MATCH($Z99,Points_Lookup!$AE:$AE,0)),"")</f>
        <v/>
      </c>
      <c r="C97" s="25" t="str">
        <f ca="1">IF(B97="","",IF($B$4="Apprenticeship",SUMIF(Points_Lookup!$AA:$AA,B97,Points_Lookup!$AC:$AC),IF(AND(OR($B$4="New Consultant Contract"),$B97&lt;&gt;""),INDEX(Points_Lookup!$K:$K,MATCH($B97,Points_Lookup!$J:$J,0)),IF(AND(OR($B$4="Clinical Lecturer / Medical Research Fellow",$B$4="Clinical Consultant - Old Contract (GP)"),$B97&lt;&gt;""),INDEX(Points_Lookup!$H:$H,MATCH($B97,Points_Lookup!$G:$G,0)),IF(AND(OR($B$4="APM Level 7",$B$4="R&amp;T Level 7",$B$4="APM Level 8"),B97&lt;&gt;""),INDEX(Points_Lookup!$E:$E,MATCH($Z97,Points_Lookup!$AE:$AE,0)),IF($B$4="R&amp;T Level 5 - Clinical Lecturers (Vet School)",SUMIF(Points_Lookup!$M:$M,$B97,Points_Lookup!$P:$P),IF($B$4="R&amp;T Level 6 - Clinical Associate Professors and Clinical Readers (Vet School)",SUMIF(Points_Lookup!$T:$T,$B97,Points_Lookup!$W:$W),IFERROR(INDEX(Points_Lookup!$B:$B,MATCH($Z97,Points_Lookup!$AE:$AE,0)),""))))))))</f>
        <v/>
      </c>
      <c r="D97" s="36"/>
      <c r="E97" s="25" t="str">
        <f ca="1">IF($B97="","",IF(AND($B$4="Salary Points 3 to 57",B97&lt;Thresholds_Rates!$C$16),"-",IF(SUMIF(Grades!$A:$A,$B$4,Grades!$BO:$BO)=0,"-",IF(AND($B$4="Salary Points 3 to 57",B97&gt;=Thresholds_Rates!$C$16),$C97*Thresholds_Rates!$F$15,IF(AND(OR($B$4="New Consultant Contract"),$B97&lt;&gt;""),$C97*Thresholds_Rates!$F$15,IF(AND(OR($B$4="Clinical Lecturer / Medical Research Fellow",$B$4="Clinical Consultant - Old Contract (GP)"),$B97&lt;&gt;""),$C97*Thresholds_Rates!$F$15,IF(OR($B$4="APM Level 7",$B$4="R&amp;T Level 7"),$C97*Thresholds_Rates!$F$15,IF(SUMIF(Grades!$A:$A,$B$4,Grades!$BO:$BO)=1,$C97*Thresholds_Rates!$F$15,""))))))))</f>
        <v/>
      </c>
      <c r="F97" s="25" t="str">
        <f ca="1">IF(B97="","",IF($B$4="Salary Points 1 to 57","-",IF(SUMIF(Grades!$A:$A,$B$4,Grades!$BP:$BP)=0,"-",IF(AND(OR($B$4="New Consultant Contract"),$B97&lt;&gt;""),$C97*Thresholds_Rates!$F$16,IF(AND(OR($B$4="Clinical Lecturer / Medical Research Fellow",$B$4="Clinical Consultant - Old Contract (GP)"),$B97&lt;&gt;""),$C97*Thresholds_Rates!$F$16,IF(AND(OR($B$4="APM Level 7",$B$4="R&amp;T Level 7"),E97&lt;&gt;""),$C97*Thresholds_Rates!$F$16,IF(SUMIF(Grades!$A:$A,$B$4,Grades!$BP:$BP)=1,$C97*Thresholds_Rates!$F$16,"")))))))</f>
        <v/>
      </c>
      <c r="G97" s="25" t="str">
        <f ca="1">IF(B97="","",IF(SUMIF(Grades!$A:$A,$B$4,Grades!$BQ:$BQ)=0,"-",IF(AND($B$4="Salary Points 1 to 57",B97&gt;Thresholds_Rates!$C$17),"-",IF(AND($B$4="Salary Points 1 to 57",B97&lt;=Thresholds_Rates!$C$17),$C97*Thresholds_Rates!$F$17,IF(AND(OR($B$4="New Consultant Contract"),$B97&lt;&gt;""),$C97*Thresholds_Rates!$F$17,IF(AND(OR($B$4="Clinical Lecturer / Medical Research Fellow",$B$4="Clinical Consultant - Old Contract (GP)"),$B97&lt;&gt;""),$C97*Thresholds_Rates!$F$17,IF(AND(OR($B$4="APM Level 7",$B$4="R&amp;T Level 7"),F97&lt;&gt;""),$C97*Thresholds_Rates!$F$17,IF(SUMIF(Grades!$A:$A,$B$4,Grades!$BQ:$BQ)=1,$C97*Thresholds_Rates!$F$17,""))))))))</f>
        <v/>
      </c>
      <c r="H97" s="25" t="str">
        <f ca="1">IF($B97="","",ROUND(($C97-(Thresholds_Rates!$C$5*12))*Thresholds_Rates!$C$10,0))</f>
        <v/>
      </c>
      <c r="I97" s="25" t="str">
        <f ca="1">IF(B97="","",(C97*Thresholds_Rates!$C$12))</f>
        <v/>
      </c>
      <c r="J97" s="25" t="str">
        <f ca="1">IF(B97="","",IF(AND($B$4="Salary Points 1 to 57",B97&gt;Thresholds_Rates!$C$17),"-",IF(SUMIF(Grades!$A:$A,$B$4,Grades!$BR:$BR)=0,"-",IF(AND($B$4="Salary Points 1 to 57",B97&lt;=Thresholds_Rates!$C$17),$C97*Thresholds_Rates!$F$18,IF(AND(OR($B$4="New Consultant Contract"),$B97&lt;&gt;""),$C97*Thresholds_Rates!$F$18,IF(AND(OR($B$4="Clinical Lecturer / Medical Research Fellow",$B$4="Clinical Consultant - Old Contract (GP)"),$B97&lt;&gt;""),$C97*Thresholds_Rates!$F$18,IF(AND(OR($B$4="APM Level 7",$B$4="R&amp;T Level 7"),H97&lt;&gt;""),$C97*Thresholds_Rates!$F$18,IF(SUMIF(Grades!$A:$A,$B$4,Grades!$BQ:$BQ)=1,$C97*Thresholds_Rates!$F$18,""))))))))</f>
        <v/>
      </c>
      <c r="K97" s="4"/>
      <c r="L97" s="25" t="str">
        <f t="shared" ca="1" si="8"/>
        <v/>
      </c>
      <c r="M97" s="25" t="str">
        <f t="shared" ca="1" si="9"/>
        <v/>
      </c>
      <c r="N97" s="25" t="str">
        <f t="shared" ca="1" si="10"/>
        <v/>
      </c>
      <c r="O97" s="25" t="str">
        <f t="shared" ca="1" si="11"/>
        <v/>
      </c>
      <c r="P97" s="25" t="str">
        <f t="shared" ca="1" si="12"/>
        <v/>
      </c>
      <c r="R97" s="28" t="str">
        <f ca="1">IF(B97="","",IF($B$4="R&amp;T Level 5 - Clinical Lecturers (Vet School)",SUMIF(Points_Lookup!$M:$M,$B97,Points_Lookup!$N:$N),IF($B$4="R&amp;T Level 6 - Clinical Associate Professors and Clinical Readers (Vet School)",SUMIF(Points_Lookup!$T:$T,$B97,Points_Lookup!$U:$U),"")))</f>
        <v/>
      </c>
      <c r="S97" s="29" t="str">
        <f ca="1">IF(B97="","",IF($B$4="R&amp;T Level 5 - Clinical Lecturers (Vet School)",$C97-SUMIF(Points_Lookup!$M:$M,$B97,Points_Lookup!$O:$O),IF($B$4="R&amp;T Level 6 - Clinical Associate Professors and Clinical Readers (Vet School)",$C97-SUMIF(Points_Lookup!$T:$T,$B97,Points_Lookup!$V:$V),"")))</f>
        <v/>
      </c>
      <c r="T97" s="28" t="str">
        <f ca="1">IF(B97="","",IF($B$4="R&amp;T Level 5 - Clinical Lecturers (Vet School)",SUMIF(Points_Lookup!$M:$M,$B97,Points_Lookup!$Q:$Q),IF($B$4="R&amp;T Level 6 - Clinical Associate Professors and Clinical Readers (Vet School)",SUMIF(Points_Lookup!$T:$T,$B97,Points_Lookup!$X:$X),"")))</f>
        <v/>
      </c>
      <c r="U97" s="29" t="str">
        <f t="shared" ca="1" si="7"/>
        <v/>
      </c>
    </row>
    <row r="98" spans="2:21" x14ac:dyDescent="0.25">
      <c r="B98" s="4" t="str">
        <f ca="1">IFERROR(INDEX(Points_Lookup!$A:$A,MATCH($Z100,Points_Lookup!$AE:$AE,0)),"")</f>
        <v/>
      </c>
      <c r="C98" s="25" t="str">
        <f ca="1">IF(B98="","",IF($B$4="Apprenticeship",SUMIF(Points_Lookup!$AA:$AA,B98,Points_Lookup!$AC:$AC),IF(AND(OR($B$4="New Consultant Contract"),$B98&lt;&gt;""),INDEX(Points_Lookup!$K:$K,MATCH($B98,Points_Lookup!$J:$J,0)),IF(AND(OR($B$4="Clinical Lecturer / Medical Research Fellow",$B$4="Clinical Consultant - Old Contract (GP)"),$B98&lt;&gt;""),INDEX(Points_Lookup!$H:$H,MATCH($B98,Points_Lookup!$G:$G,0)),IF(AND(OR($B$4="APM Level 7",$B$4="R&amp;T Level 7",$B$4="APM Level 8"),B98&lt;&gt;""),INDEX(Points_Lookup!$E:$E,MATCH($Z98,Points_Lookup!$AE:$AE,0)),IF($B$4="R&amp;T Level 5 - Clinical Lecturers (Vet School)",SUMIF(Points_Lookup!$M:$M,$B98,Points_Lookup!$P:$P),IF($B$4="R&amp;T Level 6 - Clinical Associate Professors and Clinical Readers (Vet School)",SUMIF(Points_Lookup!$T:$T,$B98,Points_Lookup!$W:$W),IFERROR(INDEX(Points_Lookup!$B:$B,MATCH($Z98,Points_Lookup!$AE:$AE,0)),""))))))))</f>
        <v/>
      </c>
      <c r="D98" s="36"/>
      <c r="E98" s="25" t="str">
        <f ca="1">IF($B98="","",IF(AND($B$4="Salary Points 3 to 57",B98&lt;Thresholds_Rates!$C$16),"-",IF(SUMIF(Grades!$A:$A,$B$4,Grades!$BO:$BO)=0,"-",IF(AND($B$4="Salary Points 3 to 57",B98&gt;=Thresholds_Rates!$C$16),$C98*Thresholds_Rates!$F$15,IF(AND(OR($B$4="New Consultant Contract"),$B98&lt;&gt;""),$C98*Thresholds_Rates!$F$15,IF(AND(OR($B$4="Clinical Lecturer / Medical Research Fellow",$B$4="Clinical Consultant - Old Contract (GP)"),$B98&lt;&gt;""),$C98*Thresholds_Rates!$F$15,IF(OR($B$4="APM Level 7",$B$4="R&amp;T Level 7"),$C98*Thresholds_Rates!$F$15,IF(SUMIF(Grades!$A:$A,$B$4,Grades!$BO:$BO)=1,$C98*Thresholds_Rates!$F$15,""))))))))</f>
        <v/>
      </c>
      <c r="F98" s="25" t="str">
        <f ca="1">IF(B98="","",IF($B$4="Salary Points 1 to 57","-",IF(SUMIF(Grades!$A:$A,$B$4,Grades!$BP:$BP)=0,"-",IF(AND(OR($B$4="New Consultant Contract"),$B98&lt;&gt;""),$C98*Thresholds_Rates!$F$16,IF(AND(OR($B$4="Clinical Lecturer / Medical Research Fellow",$B$4="Clinical Consultant - Old Contract (GP)"),$B98&lt;&gt;""),$C98*Thresholds_Rates!$F$16,IF(AND(OR($B$4="APM Level 7",$B$4="R&amp;T Level 7"),E98&lt;&gt;""),$C98*Thresholds_Rates!$F$16,IF(SUMIF(Grades!$A:$A,$B$4,Grades!$BP:$BP)=1,$C98*Thresholds_Rates!$F$16,"")))))))</f>
        <v/>
      </c>
      <c r="G98" s="25" t="str">
        <f ca="1">IF(B98="","",IF(SUMIF(Grades!$A:$A,$B$4,Grades!$BQ:$BQ)=0,"-",IF(AND($B$4="Salary Points 1 to 57",B98&gt;Thresholds_Rates!$C$17),"-",IF(AND($B$4="Salary Points 1 to 57",B98&lt;=Thresholds_Rates!$C$17),$C98*Thresholds_Rates!$F$17,IF(AND(OR($B$4="New Consultant Contract"),$B98&lt;&gt;""),$C98*Thresholds_Rates!$F$17,IF(AND(OR($B$4="Clinical Lecturer / Medical Research Fellow",$B$4="Clinical Consultant - Old Contract (GP)"),$B98&lt;&gt;""),$C98*Thresholds_Rates!$F$17,IF(AND(OR($B$4="APM Level 7",$B$4="R&amp;T Level 7"),F98&lt;&gt;""),$C98*Thresholds_Rates!$F$17,IF(SUMIF(Grades!$A:$A,$B$4,Grades!$BQ:$BQ)=1,$C98*Thresholds_Rates!$F$17,""))))))))</f>
        <v/>
      </c>
      <c r="H98" s="25" t="str">
        <f ca="1">IF($B98="","",ROUND(($C98-(Thresholds_Rates!$C$5*12))*Thresholds_Rates!$C$10,0))</f>
        <v/>
      </c>
      <c r="I98" s="25" t="str">
        <f ca="1">IF(B98="","",(C98*Thresholds_Rates!$C$12))</f>
        <v/>
      </c>
      <c r="J98" s="25" t="str">
        <f ca="1">IF(B98="","",IF(AND($B$4="Salary Points 1 to 57",B98&gt;Thresholds_Rates!$C$17),"-",IF(SUMIF(Grades!$A:$A,$B$4,Grades!$BR:$BR)=0,"-",IF(AND($B$4="Salary Points 1 to 57",B98&lt;=Thresholds_Rates!$C$17),$C98*Thresholds_Rates!$F$18,IF(AND(OR($B$4="New Consultant Contract"),$B98&lt;&gt;""),$C98*Thresholds_Rates!$F$18,IF(AND(OR($B$4="Clinical Lecturer / Medical Research Fellow",$B$4="Clinical Consultant - Old Contract (GP)"),$B98&lt;&gt;""),$C98*Thresholds_Rates!$F$18,IF(AND(OR($B$4="APM Level 7",$B$4="R&amp;T Level 7"),H98&lt;&gt;""),$C98*Thresholds_Rates!$F$18,IF(SUMIF(Grades!$A:$A,$B$4,Grades!$BQ:$BQ)=1,$C98*Thresholds_Rates!$F$18,""))))))))</f>
        <v/>
      </c>
      <c r="K98" s="4"/>
      <c r="L98" s="25" t="str">
        <f t="shared" ca="1" si="8"/>
        <v/>
      </c>
      <c r="M98" s="25" t="str">
        <f t="shared" ca="1" si="9"/>
        <v/>
      </c>
      <c r="N98" s="25" t="str">
        <f t="shared" ca="1" si="10"/>
        <v/>
      </c>
      <c r="O98" s="25" t="str">
        <f t="shared" ca="1" si="11"/>
        <v/>
      </c>
      <c r="P98" s="25" t="str">
        <f t="shared" ca="1" si="12"/>
        <v/>
      </c>
      <c r="R98" s="28" t="str">
        <f ca="1">IF(B98="","",IF($B$4="R&amp;T Level 5 - Clinical Lecturers (Vet School)",SUMIF(Points_Lookup!$M:$M,$B98,Points_Lookup!$N:$N),IF($B$4="R&amp;T Level 6 - Clinical Associate Professors and Clinical Readers (Vet School)",SUMIF(Points_Lookup!$T:$T,$B98,Points_Lookup!$U:$U),"")))</f>
        <v/>
      </c>
      <c r="S98" s="29" t="str">
        <f ca="1">IF(B98="","",IF($B$4="R&amp;T Level 5 - Clinical Lecturers (Vet School)",$C98-SUMIF(Points_Lookup!$M:$M,$B98,Points_Lookup!$O:$O),IF($B$4="R&amp;T Level 6 - Clinical Associate Professors and Clinical Readers (Vet School)",$C98-SUMIF(Points_Lookup!$T:$T,$B98,Points_Lookup!$V:$V),"")))</f>
        <v/>
      </c>
      <c r="T98" s="28" t="str">
        <f ca="1">IF(B98="","",IF($B$4="R&amp;T Level 5 - Clinical Lecturers (Vet School)",SUMIF(Points_Lookup!$M:$M,$B98,Points_Lookup!$Q:$Q),IF($B$4="R&amp;T Level 6 - Clinical Associate Professors and Clinical Readers (Vet School)",SUMIF(Points_Lookup!$T:$T,$B98,Points_Lookup!$X:$X),"")))</f>
        <v/>
      </c>
      <c r="U98" s="29" t="str">
        <f t="shared" ca="1" si="7"/>
        <v/>
      </c>
    </row>
    <row r="99" spans="2:21" x14ac:dyDescent="0.25">
      <c r="B99" s="4" t="str">
        <f ca="1">IFERROR(INDEX(Points_Lookup!$A:$A,MATCH($Z101,Points_Lookup!$AE:$AE,0)),"")</f>
        <v/>
      </c>
      <c r="C99" s="25" t="str">
        <f ca="1">IF(B99="","",IF($B$4="Apprenticeship",SUMIF(Points_Lookup!$AA:$AA,B99,Points_Lookup!$AC:$AC),IF(AND(OR($B$4="New Consultant Contract"),$B99&lt;&gt;""),INDEX(Points_Lookup!$K:$K,MATCH($B99,Points_Lookup!$J:$J,0)),IF(AND(OR($B$4="Clinical Lecturer / Medical Research Fellow",$B$4="Clinical Consultant - Old Contract (GP)"),$B99&lt;&gt;""),INDEX(Points_Lookup!$H:$H,MATCH($B99,Points_Lookup!$G:$G,0)),IF(AND(OR($B$4="APM Level 7",$B$4="R&amp;T Level 7",$B$4="APM Level 8"),B99&lt;&gt;""),INDEX(Points_Lookup!$E:$E,MATCH($Z99,Points_Lookup!$AE:$AE,0)),IF($B$4="R&amp;T Level 5 - Clinical Lecturers (Vet School)",SUMIF(Points_Lookup!$M:$M,$B99,Points_Lookup!$P:$P),IF($B$4="R&amp;T Level 6 - Clinical Associate Professors and Clinical Readers (Vet School)",SUMIF(Points_Lookup!$T:$T,$B99,Points_Lookup!$W:$W),IFERROR(INDEX(Points_Lookup!$B:$B,MATCH($Z99,Points_Lookup!$AE:$AE,0)),""))))))))</f>
        <v/>
      </c>
      <c r="D99" s="36"/>
      <c r="E99" s="25" t="str">
        <f ca="1">IF($B99="","",IF(AND($B$4="Salary Points 3 to 57",B99&lt;Thresholds_Rates!$C$16),"-",IF(SUMIF(Grades!$A:$A,$B$4,Grades!$BO:$BO)=0,"-",IF(AND($B$4="Salary Points 3 to 57",B99&gt;=Thresholds_Rates!$C$16),$C99*Thresholds_Rates!$F$15,IF(AND(OR($B$4="New Consultant Contract"),$B99&lt;&gt;""),$C99*Thresholds_Rates!$F$15,IF(AND(OR($B$4="Clinical Lecturer / Medical Research Fellow",$B$4="Clinical Consultant - Old Contract (GP)"),$B99&lt;&gt;""),$C99*Thresholds_Rates!$F$15,IF(OR($B$4="APM Level 7",$B$4="R&amp;T Level 7"),$C99*Thresholds_Rates!$F$15,IF(SUMIF(Grades!$A:$A,$B$4,Grades!$BO:$BO)=1,$C99*Thresholds_Rates!$F$15,""))))))))</f>
        <v/>
      </c>
      <c r="F99" s="25" t="str">
        <f ca="1">IF(B99="","",IF($B$4="Salary Points 1 to 57","-",IF(SUMIF(Grades!$A:$A,$B$4,Grades!$BP:$BP)=0,"-",IF(AND(OR($B$4="New Consultant Contract"),$B99&lt;&gt;""),$C99*Thresholds_Rates!$F$16,IF(AND(OR($B$4="Clinical Lecturer / Medical Research Fellow",$B$4="Clinical Consultant - Old Contract (GP)"),$B99&lt;&gt;""),$C99*Thresholds_Rates!$F$16,IF(AND(OR($B$4="APM Level 7",$B$4="R&amp;T Level 7"),E99&lt;&gt;""),$C99*Thresholds_Rates!$F$16,IF(SUMIF(Grades!$A:$A,$B$4,Grades!$BP:$BP)=1,$C99*Thresholds_Rates!$F$16,"")))))))</f>
        <v/>
      </c>
      <c r="G99" s="25" t="str">
        <f ca="1">IF(B99="","",IF(SUMIF(Grades!$A:$A,$B$4,Grades!$BQ:$BQ)=0,"-",IF(AND($B$4="Salary Points 1 to 57",B99&gt;Thresholds_Rates!$C$17),"-",IF(AND($B$4="Salary Points 1 to 57",B99&lt;=Thresholds_Rates!$C$17),$C99*Thresholds_Rates!$F$17,IF(AND(OR($B$4="New Consultant Contract"),$B99&lt;&gt;""),$C99*Thresholds_Rates!$F$17,IF(AND(OR($B$4="Clinical Lecturer / Medical Research Fellow",$B$4="Clinical Consultant - Old Contract (GP)"),$B99&lt;&gt;""),$C99*Thresholds_Rates!$F$17,IF(AND(OR($B$4="APM Level 7",$B$4="R&amp;T Level 7"),F99&lt;&gt;""),$C99*Thresholds_Rates!$F$17,IF(SUMIF(Grades!$A:$A,$B$4,Grades!$BQ:$BQ)=1,$C99*Thresholds_Rates!$F$17,""))))))))</f>
        <v/>
      </c>
      <c r="H99" s="25" t="str">
        <f ca="1">IF($B99="","",ROUND(($C99-(Thresholds_Rates!$C$5*12))*Thresholds_Rates!$C$10,0))</f>
        <v/>
      </c>
      <c r="I99" s="25" t="str">
        <f ca="1">IF(B99="","",(C99*Thresholds_Rates!$C$12))</f>
        <v/>
      </c>
      <c r="J99" s="25" t="str">
        <f ca="1">IF(B99="","",IF(AND($B$4="Salary Points 1 to 57",B99&gt;Thresholds_Rates!$C$17),"-",IF(SUMIF(Grades!$A:$A,$B$4,Grades!$BR:$BR)=0,"-",IF(AND($B$4="Salary Points 1 to 57",B99&lt;=Thresholds_Rates!$C$17),$C99*Thresholds_Rates!$F$18,IF(AND(OR($B$4="New Consultant Contract"),$B99&lt;&gt;""),$C99*Thresholds_Rates!$F$18,IF(AND(OR($B$4="Clinical Lecturer / Medical Research Fellow",$B$4="Clinical Consultant - Old Contract (GP)"),$B99&lt;&gt;""),$C99*Thresholds_Rates!$F$18,IF(AND(OR($B$4="APM Level 7",$B$4="R&amp;T Level 7"),H99&lt;&gt;""),$C99*Thresholds_Rates!$F$18,IF(SUMIF(Grades!$A:$A,$B$4,Grades!$BQ:$BQ)=1,$C99*Thresholds_Rates!$F$18,""))))))))</f>
        <v/>
      </c>
      <c r="K99" s="4"/>
      <c r="L99" s="25" t="str">
        <f t="shared" ca="1" si="8"/>
        <v/>
      </c>
      <c r="M99" s="25" t="str">
        <f t="shared" ca="1" si="9"/>
        <v/>
      </c>
      <c r="N99" s="25" t="str">
        <f t="shared" ca="1" si="10"/>
        <v/>
      </c>
      <c r="O99" s="25" t="str">
        <f t="shared" ca="1" si="11"/>
        <v/>
      </c>
      <c r="P99" s="25" t="str">
        <f t="shared" ca="1" si="12"/>
        <v/>
      </c>
      <c r="R99" s="28" t="str">
        <f ca="1">IF(B99="","",IF($B$4="R&amp;T Level 5 - Clinical Lecturers (Vet School)",SUMIF(Points_Lookup!$M:$M,$B99,Points_Lookup!$N:$N),IF($B$4="R&amp;T Level 6 - Clinical Associate Professors and Clinical Readers (Vet School)",SUMIF(Points_Lookup!$T:$T,$B99,Points_Lookup!$U:$U),"")))</f>
        <v/>
      </c>
      <c r="S99" s="29" t="str">
        <f ca="1">IF(B99="","",IF($B$4="R&amp;T Level 5 - Clinical Lecturers (Vet School)",$C99-SUMIF(Points_Lookup!$M:$M,$B99,Points_Lookup!$O:$O),IF($B$4="R&amp;T Level 6 - Clinical Associate Professors and Clinical Readers (Vet School)",$C99-SUMIF(Points_Lookup!$T:$T,$B99,Points_Lookup!$V:$V),"")))</f>
        <v/>
      </c>
      <c r="T99" s="28" t="str">
        <f ca="1">IF(B99="","",IF($B$4="R&amp;T Level 5 - Clinical Lecturers (Vet School)",SUMIF(Points_Lookup!$M:$M,$B99,Points_Lookup!$Q:$Q),IF($B$4="R&amp;T Level 6 - Clinical Associate Professors and Clinical Readers (Vet School)",SUMIF(Points_Lookup!$T:$T,$B99,Points_Lookup!$X:$X),"")))</f>
        <v/>
      </c>
      <c r="U99" s="29" t="str">
        <f t="shared" ca="1" si="7"/>
        <v/>
      </c>
    </row>
    <row r="100" spans="2:21" x14ac:dyDescent="0.25">
      <c r="B100" s="4" t="str">
        <f ca="1">IFERROR(INDEX(Points_Lookup!$A:$A,MATCH($Z102,Points_Lookup!$AE:$AE,0)),"")</f>
        <v/>
      </c>
      <c r="C100" s="25" t="str">
        <f ca="1">IF(B100="","",IF($B$4="Apprenticeship",SUMIF(Points_Lookup!$AA:$AA,B100,Points_Lookup!$AC:$AC),IF(AND(OR($B$4="New Consultant Contract"),$B100&lt;&gt;""),INDEX(Points_Lookup!$K:$K,MATCH($B100,Points_Lookup!$J:$J,0)),IF(AND(OR($B$4="Clinical Lecturer / Medical Research Fellow",$B$4="Clinical Consultant - Old Contract (GP)"),$B100&lt;&gt;""),INDEX(Points_Lookup!$H:$H,MATCH($B100,Points_Lookup!$G:$G,0)),IF(AND(OR($B$4="APM Level 7",$B$4="R&amp;T Level 7",$B$4="APM Level 8"),B100&lt;&gt;""),INDEX(Points_Lookup!$E:$E,MATCH($Z100,Points_Lookup!$AE:$AE,0)),IF($B$4="R&amp;T Level 5 - Clinical Lecturers (Vet School)",SUMIF(Points_Lookup!$M:$M,$B100,Points_Lookup!$P:$P),IF($B$4="R&amp;T Level 6 - Clinical Associate Professors and Clinical Readers (Vet School)",SUMIF(Points_Lookup!$T:$T,$B100,Points_Lookup!$W:$W),IFERROR(INDEX(Points_Lookup!$B:$B,MATCH($Z100,Points_Lookup!$AE:$AE,0)),""))))))))</f>
        <v/>
      </c>
      <c r="D100" s="36"/>
      <c r="E100" s="25" t="str">
        <f ca="1">IF($B100="","",IF(AND($B$4="Salary Points 3 to 57",B100&lt;Thresholds_Rates!$C$16),"-",IF(SUMIF(Grades!$A:$A,$B$4,Grades!$BO:$BO)=0,"-",IF(AND($B$4="Salary Points 3 to 57",B100&gt;=Thresholds_Rates!$C$16),$C100*Thresholds_Rates!$F$15,IF(AND(OR($B$4="New Consultant Contract"),$B100&lt;&gt;""),$C100*Thresholds_Rates!$F$15,IF(AND(OR($B$4="Clinical Lecturer / Medical Research Fellow",$B$4="Clinical Consultant - Old Contract (GP)"),$B100&lt;&gt;""),$C100*Thresholds_Rates!$F$15,IF(OR($B$4="APM Level 7",$B$4="R&amp;T Level 7"),$C100*Thresholds_Rates!$F$15,IF(SUMIF(Grades!$A:$A,$B$4,Grades!$BO:$BO)=1,$C100*Thresholds_Rates!$F$15,""))))))))</f>
        <v/>
      </c>
      <c r="F100" s="25" t="str">
        <f ca="1">IF(B100="","",IF($B$4="Salary Points 1 to 57","-",IF(SUMIF(Grades!$A:$A,$B$4,Grades!$BP:$BP)=0,"-",IF(AND(OR($B$4="New Consultant Contract"),$B100&lt;&gt;""),$C100*Thresholds_Rates!$F$16,IF(AND(OR($B$4="Clinical Lecturer / Medical Research Fellow",$B$4="Clinical Consultant - Old Contract (GP)"),$B100&lt;&gt;""),$C100*Thresholds_Rates!$F$16,IF(AND(OR($B$4="APM Level 7",$B$4="R&amp;T Level 7"),E100&lt;&gt;""),$C100*Thresholds_Rates!$F$16,IF(SUMIF(Grades!$A:$A,$B$4,Grades!$BP:$BP)=1,$C100*Thresholds_Rates!$F$16,"")))))))</f>
        <v/>
      </c>
      <c r="G100" s="25" t="str">
        <f ca="1">IF(B100="","",IF(SUMIF(Grades!$A:$A,$B$4,Grades!$BQ:$BQ)=0,"-",IF(AND($B$4="Salary Points 1 to 57",B100&gt;Thresholds_Rates!$C$17),"-",IF(AND($B$4="Salary Points 1 to 57",B100&lt;=Thresholds_Rates!$C$17),$C100*Thresholds_Rates!$F$17,IF(AND(OR($B$4="New Consultant Contract"),$B100&lt;&gt;""),$C100*Thresholds_Rates!$F$17,IF(AND(OR($B$4="Clinical Lecturer / Medical Research Fellow",$B$4="Clinical Consultant - Old Contract (GP)"),$B100&lt;&gt;""),$C100*Thresholds_Rates!$F$17,IF(AND(OR($B$4="APM Level 7",$B$4="R&amp;T Level 7"),F100&lt;&gt;""),$C100*Thresholds_Rates!$F$17,IF(SUMIF(Grades!$A:$A,$B$4,Grades!$BQ:$BQ)=1,$C100*Thresholds_Rates!$F$17,""))))))))</f>
        <v/>
      </c>
      <c r="H100" s="25" t="str">
        <f ca="1">IF($B100="","",ROUND(($C100-(Thresholds_Rates!$C$5*12))*Thresholds_Rates!$C$10,0))</f>
        <v/>
      </c>
      <c r="I100" s="25" t="str">
        <f ca="1">IF(B100="","",(C100*Thresholds_Rates!$C$12))</f>
        <v/>
      </c>
      <c r="J100" s="25" t="str">
        <f ca="1">IF(B100="","",IF(AND($B$4="Salary Points 1 to 57",B100&gt;Thresholds_Rates!$C$17),"-",IF(SUMIF(Grades!$A:$A,$B$4,Grades!$BR:$BR)=0,"-",IF(AND($B$4="Salary Points 1 to 57",B100&lt;=Thresholds_Rates!$C$17),$C100*Thresholds_Rates!$F$18,IF(AND(OR($B$4="New Consultant Contract"),$B100&lt;&gt;""),$C100*Thresholds_Rates!$F$18,IF(AND(OR($B$4="Clinical Lecturer / Medical Research Fellow",$B$4="Clinical Consultant - Old Contract (GP)"),$B100&lt;&gt;""),$C100*Thresholds_Rates!$F$18,IF(AND(OR($B$4="APM Level 7",$B$4="R&amp;T Level 7"),H100&lt;&gt;""),$C100*Thresholds_Rates!$F$18,IF(SUMIF(Grades!$A:$A,$B$4,Grades!$BQ:$BQ)=1,$C100*Thresholds_Rates!$F$18,""))))))))</f>
        <v/>
      </c>
      <c r="K100" s="4"/>
      <c r="L100" s="25" t="str">
        <f t="shared" ca="1" si="8"/>
        <v/>
      </c>
      <c r="M100" s="25" t="str">
        <f t="shared" ca="1" si="9"/>
        <v/>
      </c>
      <c r="N100" s="25" t="str">
        <f t="shared" ca="1" si="10"/>
        <v/>
      </c>
      <c r="O100" s="25" t="str">
        <f t="shared" ca="1" si="11"/>
        <v/>
      </c>
      <c r="P100" s="25" t="str">
        <f t="shared" ca="1" si="12"/>
        <v/>
      </c>
      <c r="R100" s="28" t="str">
        <f ca="1">IF(B100="","",IF($B$4="R&amp;T Level 5 - Clinical Lecturers (Vet School)",SUMIF(Points_Lookup!$M:$M,$B100,Points_Lookup!$N:$N),IF($B$4="R&amp;T Level 6 - Clinical Associate Professors and Clinical Readers (Vet School)",SUMIF(Points_Lookup!$T:$T,$B100,Points_Lookup!$U:$U),"")))</f>
        <v/>
      </c>
      <c r="S100" s="29" t="str">
        <f ca="1">IF(B100="","",IF($B$4="R&amp;T Level 5 - Clinical Lecturers (Vet School)",$C100-SUMIF(Points_Lookup!$M:$M,$B100,Points_Lookup!$O:$O),IF($B$4="R&amp;T Level 6 - Clinical Associate Professors and Clinical Readers (Vet School)",$C100-SUMIF(Points_Lookup!$T:$T,$B100,Points_Lookup!$V:$V),"")))</f>
        <v/>
      </c>
      <c r="T100" s="28" t="str">
        <f ca="1">IF(B100="","",IF($B$4="R&amp;T Level 5 - Clinical Lecturers (Vet School)",SUMIF(Points_Lookup!$M:$M,$B100,Points_Lookup!$Q:$Q),IF($B$4="R&amp;T Level 6 - Clinical Associate Professors and Clinical Readers (Vet School)",SUMIF(Points_Lookup!$T:$T,$B100,Points_Lookup!$X:$X),"")))</f>
        <v/>
      </c>
      <c r="U100" s="29" t="str">
        <f t="shared" ca="1" si="7"/>
        <v/>
      </c>
    </row>
    <row r="101" spans="2:21" x14ac:dyDescent="0.25">
      <c r="B101" s="4" t="str">
        <f ca="1">IFERROR(INDEX(Points_Lookup!$A:$A,MATCH($Z103,Points_Lookup!$AE:$AE,0)),"")</f>
        <v/>
      </c>
      <c r="C101" s="25" t="str">
        <f ca="1">IF(B101="","",IF($B$4="Apprenticeship",SUMIF(Points_Lookup!$AA:$AA,B101,Points_Lookup!$AC:$AC),IF(AND(OR($B$4="New Consultant Contract"),$B101&lt;&gt;""),INDEX(Points_Lookup!$K:$K,MATCH($B101,Points_Lookup!$J:$J,0)),IF(AND(OR($B$4="Clinical Lecturer / Medical Research Fellow",$B$4="Clinical Consultant - Old Contract (GP)"),$B101&lt;&gt;""),INDEX(Points_Lookup!$H:$H,MATCH($B101,Points_Lookup!$G:$G,0)),IF(AND(OR($B$4="APM Level 7",$B$4="R&amp;T Level 7",$B$4="APM Level 8"),B101&lt;&gt;""),INDEX(Points_Lookup!$E:$E,MATCH($Z101,Points_Lookup!$AE:$AE,0)),IF($B$4="R&amp;T Level 5 - Clinical Lecturers (Vet School)",SUMIF(Points_Lookup!$M:$M,$B101,Points_Lookup!$P:$P),IF($B$4="R&amp;T Level 6 - Clinical Associate Professors and Clinical Readers (Vet School)",SUMIF(Points_Lookup!$T:$T,$B101,Points_Lookup!$W:$W),IFERROR(INDEX(Points_Lookup!$B:$B,MATCH($Z101,Points_Lookup!$AE:$AE,0)),""))))))))</f>
        <v/>
      </c>
      <c r="D101" s="36"/>
      <c r="E101" s="25" t="str">
        <f ca="1">IF($B101="","",IF(AND($B$4="Salary Points 3 to 57",B101&lt;Thresholds_Rates!$C$16),"-",IF(SUMIF(Grades!$A:$A,$B$4,Grades!$BO:$BO)=0,"-",IF(AND($B$4="Salary Points 3 to 57",B101&gt;=Thresholds_Rates!$C$16),$C101*Thresholds_Rates!$F$15,IF(AND(OR($B$4="New Consultant Contract"),$B101&lt;&gt;""),$C101*Thresholds_Rates!$F$15,IF(AND(OR($B$4="Clinical Lecturer / Medical Research Fellow",$B$4="Clinical Consultant - Old Contract (GP)"),$B101&lt;&gt;""),$C101*Thresholds_Rates!$F$15,IF(OR($B$4="APM Level 7",$B$4="R&amp;T Level 7"),$C101*Thresholds_Rates!$F$15,IF(SUMIF(Grades!$A:$A,$B$4,Grades!$BO:$BO)=1,$C101*Thresholds_Rates!$F$15,""))))))))</f>
        <v/>
      </c>
      <c r="F101" s="25" t="str">
        <f ca="1">IF(B101="","",IF($B$4="Salary Points 1 to 57","-",IF(SUMIF(Grades!$A:$A,$B$4,Grades!$BP:$BP)=0,"-",IF(AND(OR($B$4="New Consultant Contract"),$B101&lt;&gt;""),$C101*Thresholds_Rates!$F$16,IF(AND(OR($B$4="Clinical Lecturer / Medical Research Fellow",$B$4="Clinical Consultant - Old Contract (GP)"),$B101&lt;&gt;""),$C101*Thresholds_Rates!$F$16,IF(AND(OR($B$4="APM Level 7",$B$4="R&amp;T Level 7"),E101&lt;&gt;""),$C101*Thresholds_Rates!$F$16,IF(SUMIF(Grades!$A:$A,$B$4,Grades!$BP:$BP)=1,$C101*Thresholds_Rates!$F$16,"")))))))</f>
        <v/>
      </c>
      <c r="G101" s="25" t="str">
        <f ca="1">IF(B101="","",IF(SUMIF(Grades!$A:$A,$B$4,Grades!$BQ:$BQ)=0,"-",IF(AND($B$4="Salary Points 1 to 57",B101&gt;Thresholds_Rates!$C$17),"-",IF(AND($B$4="Salary Points 1 to 57",B101&lt;=Thresholds_Rates!$C$17),$C101*Thresholds_Rates!$F$17,IF(AND(OR($B$4="New Consultant Contract"),$B101&lt;&gt;""),$C101*Thresholds_Rates!$F$17,IF(AND(OR($B$4="Clinical Lecturer / Medical Research Fellow",$B$4="Clinical Consultant - Old Contract (GP)"),$B101&lt;&gt;""),$C101*Thresholds_Rates!$F$17,IF(AND(OR($B$4="APM Level 7",$B$4="R&amp;T Level 7"),F101&lt;&gt;""),$C101*Thresholds_Rates!$F$17,IF(SUMIF(Grades!$A:$A,$B$4,Grades!$BQ:$BQ)=1,$C101*Thresholds_Rates!$F$17,""))))))))</f>
        <v/>
      </c>
      <c r="H101" s="25" t="str">
        <f ca="1">IF($B101="","",ROUND(($C101-(Thresholds_Rates!$C$5*12))*Thresholds_Rates!$C$10,0))</f>
        <v/>
      </c>
      <c r="I101" s="25" t="str">
        <f ca="1">IF(B101="","",(C101*Thresholds_Rates!$C$12))</f>
        <v/>
      </c>
      <c r="J101" s="25" t="str">
        <f ca="1">IF(B101="","",IF(AND($B$4="Salary Points 1 to 57",B101&gt;Thresholds_Rates!$C$17),"-",IF(SUMIF(Grades!$A:$A,$B$4,Grades!$BR:$BR)=0,"-",IF(AND($B$4="Salary Points 1 to 57",B101&lt;=Thresholds_Rates!$C$17),$C101*Thresholds_Rates!$F$18,IF(AND(OR($B$4="New Consultant Contract"),$B101&lt;&gt;""),$C101*Thresholds_Rates!$F$18,IF(AND(OR($B$4="Clinical Lecturer / Medical Research Fellow",$B$4="Clinical Consultant - Old Contract (GP)"),$B101&lt;&gt;""),$C101*Thresholds_Rates!$F$18,IF(AND(OR($B$4="APM Level 7",$B$4="R&amp;T Level 7"),H101&lt;&gt;""),$C101*Thresholds_Rates!$F$18,IF(SUMIF(Grades!$A:$A,$B$4,Grades!$BQ:$BQ)=1,$C101*Thresholds_Rates!$F$18,""))))))))</f>
        <v/>
      </c>
      <c r="K101" s="4"/>
      <c r="L101" s="25" t="str">
        <f t="shared" ca="1" si="8"/>
        <v/>
      </c>
      <c r="M101" s="25" t="str">
        <f t="shared" ca="1" si="9"/>
        <v/>
      </c>
      <c r="N101" s="25" t="str">
        <f t="shared" ca="1" si="10"/>
        <v/>
      </c>
      <c r="O101" s="25" t="str">
        <f t="shared" ca="1" si="11"/>
        <v/>
      </c>
      <c r="P101" s="25" t="str">
        <f t="shared" ca="1" si="12"/>
        <v/>
      </c>
      <c r="R101" s="28" t="str">
        <f ca="1">IF(B101="","",IF($B$4="R&amp;T Level 5 - Clinical Lecturers (Vet School)",SUMIF(Points_Lookup!$M:$M,$B101,Points_Lookup!$N:$N),IF($B$4="R&amp;T Level 6 - Clinical Associate Professors and Clinical Readers (Vet School)",SUMIF(Points_Lookup!$T:$T,$B101,Points_Lookup!$U:$U),"")))</f>
        <v/>
      </c>
      <c r="S101" s="29" t="str">
        <f ca="1">IF(B101="","",IF($B$4="R&amp;T Level 5 - Clinical Lecturers (Vet School)",$C101-SUMIF(Points_Lookup!$M:$M,$B101,Points_Lookup!$O:$O),IF($B$4="R&amp;T Level 6 - Clinical Associate Professors and Clinical Readers (Vet School)",$C101-SUMIF(Points_Lookup!$T:$T,$B101,Points_Lookup!$V:$V),"")))</f>
        <v/>
      </c>
      <c r="T101" s="28" t="str">
        <f ca="1">IF(B101="","",IF($B$4="R&amp;T Level 5 - Clinical Lecturers (Vet School)",SUMIF(Points_Lookup!$M:$M,$B101,Points_Lookup!$Q:$Q),IF($B$4="R&amp;T Level 6 - Clinical Associate Professors and Clinical Readers (Vet School)",SUMIF(Points_Lookup!$T:$T,$B101,Points_Lookup!$X:$X),"")))</f>
        <v/>
      </c>
      <c r="U101" s="29" t="str">
        <f t="shared" ca="1" si="7"/>
        <v/>
      </c>
    </row>
    <row r="102" spans="2:21" x14ac:dyDescent="0.25">
      <c r="B102" s="4" t="str">
        <f ca="1">IFERROR(INDEX(Points_Lookup!$A:$A,MATCH($Z104,Points_Lookup!$AE:$AE,0)),"")</f>
        <v/>
      </c>
      <c r="C102" s="25" t="str">
        <f ca="1">IF(B102="","",IF($B$4="Apprenticeship",SUMIF(Points_Lookup!$AA:$AA,B102,Points_Lookup!$AC:$AC),IF(AND(OR($B$4="New Consultant Contract"),$B102&lt;&gt;""),INDEX(Points_Lookup!$K:$K,MATCH($B102,Points_Lookup!$J:$J,0)),IF(AND(OR($B$4="Clinical Lecturer / Medical Research Fellow",$B$4="Clinical Consultant - Old Contract (GP)"),$B102&lt;&gt;""),INDEX(Points_Lookup!$H:$H,MATCH($B102,Points_Lookup!$G:$G,0)),IF(AND(OR($B$4="APM Level 7",$B$4="R&amp;T Level 7",$B$4="APM Level 8"),B102&lt;&gt;""),INDEX(Points_Lookup!$E:$E,MATCH($Z102,Points_Lookup!$AE:$AE,0)),IF($B$4="R&amp;T Level 5 - Clinical Lecturers (Vet School)",SUMIF(Points_Lookup!$M:$M,$B102,Points_Lookup!$P:$P),IF($B$4="R&amp;T Level 6 - Clinical Associate Professors and Clinical Readers (Vet School)",SUMIF(Points_Lookup!$T:$T,$B102,Points_Lookup!$W:$W),IFERROR(INDEX(Points_Lookup!$B:$B,MATCH($Z102,Points_Lookup!$AE:$AE,0)),""))))))))</f>
        <v/>
      </c>
      <c r="D102" s="36"/>
      <c r="E102" s="25" t="str">
        <f ca="1">IF($B102="","",IF(AND($B$4="Salary Points 3 to 57",B102&lt;Thresholds_Rates!$C$16),"-",IF(SUMIF(Grades!$A:$A,$B$4,Grades!$BO:$BO)=0,"-",IF(AND($B$4="Salary Points 3 to 57",B102&gt;=Thresholds_Rates!$C$16),$C102*Thresholds_Rates!$F$15,IF(AND(OR($B$4="New Consultant Contract"),$B102&lt;&gt;""),$C102*Thresholds_Rates!$F$15,IF(AND(OR($B$4="Clinical Lecturer / Medical Research Fellow",$B$4="Clinical Consultant - Old Contract (GP)"),$B102&lt;&gt;""),$C102*Thresholds_Rates!$F$15,IF(OR($B$4="APM Level 7",$B$4="R&amp;T Level 7"),$C102*Thresholds_Rates!$F$15,IF(SUMIF(Grades!$A:$A,$B$4,Grades!$BO:$BO)=1,$C102*Thresholds_Rates!$F$15,""))))))))</f>
        <v/>
      </c>
      <c r="F102" s="25" t="str">
        <f ca="1">IF(B102="","",IF($B$4="Salary Points 1 to 57","-",IF(SUMIF(Grades!$A:$A,$B$4,Grades!$BP:$BP)=0,"-",IF(AND(OR($B$4="New Consultant Contract"),$B102&lt;&gt;""),$C102*Thresholds_Rates!$F$16,IF(AND(OR($B$4="Clinical Lecturer / Medical Research Fellow",$B$4="Clinical Consultant - Old Contract (GP)"),$B102&lt;&gt;""),$C102*Thresholds_Rates!$F$16,IF(AND(OR($B$4="APM Level 7",$B$4="R&amp;T Level 7"),E102&lt;&gt;""),$C102*Thresholds_Rates!$F$16,IF(SUMIF(Grades!$A:$A,$B$4,Grades!$BP:$BP)=1,$C102*Thresholds_Rates!$F$16,"")))))))</f>
        <v/>
      </c>
      <c r="G102" s="25" t="str">
        <f ca="1">IF(B102="","",IF(SUMIF(Grades!$A:$A,$B$4,Grades!$BQ:$BQ)=0,"-",IF(AND($B$4="Salary Points 1 to 57",B102&gt;Thresholds_Rates!$C$17),"-",IF(AND($B$4="Salary Points 1 to 57",B102&lt;=Thresholds_Rates!$C$17),$C102*Thresholds_Rates!$F$17,IF(AND(OR($B$4="New Consultant Contract"),$B102&lt;&gt;""),$C102*Thresholds_Rates!$F$17,IF(AND(OR($B$4="Clinical Lecturer / Medical Research Fellow",$B$4="Clinical Consultant - Old Contract (GP)"),$B102&lt;&gt;""),$C102*Thresholds_Rates!$F$17,IF(AND(OR($B$4="APM Level 7",$B$4="R&amp;T Level 7"),F102&lt;&gt;""),$C102*Thresholds_Rates!$F$17,IF(SUMIF(Grades!$A:$A,$B$4,Grades!$BQ:$BQ)=1,$C102*Thresholds_Rates!$F$17,""))))))))</f>
        <v/>
      </c>
      <c r="H102" s="25" t="str">
        <f ca="1">IF($B102="","",ROUND(($C102-(Thresholds_Rates!$C$5*12))*Thresholds_Rates!$C$10,0))</f>
        <v/>
      </c>
      <c r="I102" s="25" t="str">
        <f ca="1">IF(B102="","",(C102*Thresholds_Rates!$C$12))</f>
        <v/>
      </c>
      <c r="J102" s="25" t="str">
        <f ca="1">IF(B102="","",IF(AND($B$4="Salary Points 1 to 57",B102&gt;Thresholds_Rates!$C$17),"-",IF(SUMIF(Grades!$A:$A,$B$4,Grades!$BR:$BR)=0,"-",IF(AND($B$4="Salary Points 1 to 57",B102&lt;=Thresholds_Rates!$C$17),$C102*Thresholds_Rates!$F$18,IF(AND(OR($B$4="New Consultant Contract"),$B102&lt;&gt;""),$C102*Thresholds_Rates!$F$18,IF(AND(OR($B$4="Clinical Lecturer / Medical Research Fellow",$B$4="Clinical Consultant - Old Contract (GP)"),$B102&lt;&gt;""),$C102*Thresholds_Rates!$F$18,IF(AND(OR($B$4="APM Level 7",$B$4="R&amp;T Level 7"),H102&lt;&gt;""),$C102*Thresholds_Rates!$F$18,IF(SUMIF(Grades!$A:$A,$B$4,Grades!$BQ:$BQ)=1,$C102*Thresholds_Rates!$F$18,""))))))))</f>
        <v/>
      </c>
      <c r="K102" s="4"/>
      <c r="L102" s="25" t="str">
        <f t="shared" ca="1" si="8"/>
        <v/>
      </c>
      <c r="M102" s="25" t="str">
        <f t="shared" ca="1" si="9"/>
        <v/>
      </c>
      <c r="N102" s="25" t="str">
        <f t="shared" ca="1" si="10"/>
        <v/>
      </c>
      <c r="O102" s="25" t="str">
        <f t="shared" ca="1" si="11"/>
        <v/>
      </c>
      <c r="P102" s="25" t="str">
        <f t="shared" ca="1" si="12"/>
        <v/>
      </c>
      <c r="R102" s="28" t="str">
        <f ca="1">IF(B102="","",IF($B$4="R&amp;T Level 5 - Clinical Lecturers (Vet School)",SUMIF(Points_Lookup!$M:$M,$B102,Points_Lookup!$N:$N),IF($B$4="R&amp;T Level 6 - Clinical Associate Professors and Clinical Readers (Vet School)",SUMIF(Points_Lookup!$T:$T,$B102,Points_Lookup!$U:$U),"")))</f>
        <v/>
      </c>
      <c r="S102" s="29" t="str">
        <f ca="1">IF(B102="","",IF($B$4="R&amp;T Level 5 - Clinical Lecturers (Vet School)",$C102-SUMIF(Points_Lookup!$M:$M,$B102,Points_Lookup!$O:$O),IF($B$4="R&amp;T Level 6 - Clinical Associate Professors and Clinical Readers (Vet School)",$C102-SUMIF(Points_Lookup!$T:$T,$B102,Points_Lookup!$V:$V),"")))</f>
        <v/>
      </c>
      <c r="T102" s="28" t="str">
        <f ca="1">IF(B102="","",IF($B$4="R&amp;T Level 5 - Clinical Lecturers (Vet School)",SUMIF(Points_Lookup!$M:$M,$B102,Points_Lookup!$Q:$Q),IF($B$4="R&amp;T Level 6 - Clinical Associate Professors and Clinical Readers (Vet School)",SUMIF(Points_Lookup!$T:$T,$B102,Points_Lookup!$X:$X),"")))</f>
        <v/>
      </c>
      <c r="U102" s="29" t="str">
        <f t="shared" ca="1" si="7"/>
        <v/>
      </c>
    </row>
    <row r="103" spans="2:21" x14ac:dyDescent="0.25">
      <c r="B103" s="4" t="str">
        <f ca="1">IFERROR(INDEX(Points_Lookup!$A:$A,MATCH($Z105,Points_Lookup!$AE:$AE,0)),"")</f>
        <v/>
      </c>
      <c r="C103" s="25" t="str">
        <f ca="1">IF(B103="","",IF($B$4="Apprenticeship",SUMIF(Points_Lookup!$AA:$AA,B103,Points_Lookup!$AC:$AC),IF(AND(OR($B$4="New Consultant Contract"),$B103&lt;&gt;""),INDEX(Points_Lookup!$K:$K,MATCH($B103,Points_Lookup!$J:$J,0)),IF(AND(OR($B$4="Clinical Lecturer / Medical Research Fellow",$B$4="Clinical Consultant - Old Contract (GP)"),$B103&lt;&gt;""),INDEX(Points_Lookup!$H:$H,MATCH($B103,Points_Lookup!$G:$G,0)),IF(AND(OR($B$4="APM Level 7",$B$4="R&amp;T Level 7",$B$4="APM Level 8"),B103&lt;&gt;""),INDEX(Points_Lookup!$E:$E,MATCH($Z103,Points_Lookup!$AE:$AE,0)),IF($B$4="R&amp;T Level 5 - Clinical Lecturers (Vet School)",SUMIF(Points_Lookup!$M:$M,$B103,Points_Lookup!$P:$P),IF($B$4="R&amp;T Level 6 - Clinical Associate Professors and Clinical Readers (Vet School)",SUMIF(Points_Lookup!$T:$T,$B103,Points_Lookup!$W:$W),IFERROR(INDEX(Points_Lookup!$B:$B,MATCH($Z103,Points_Lookup!$AE:$AE,0)),""))))))))</f>
        <v/>
      </c>
      <c r="D103" s="36"/>
      <c r="E103" s="25" t="str">
        <f ca="1">IF($B103="","",IF(AND($B$4="Salary Points 3 to 57",B103&lt;Thresholds_Rates!$C$16),"-",IF(SUMIF(Grades!$A:$A,$B$4,Grades!$BO:$BO)=0,"-",IF(AND($B$4="Salary Points 3 to 57",B103&gt;=Thresholds_Rates!$C$16),$C103*Thresholds_Rates!$F$15,IF(AND(OR($B$4="New Consultant Contract"),$B103&lt;&gt;""),$C103*Thresholds_Rates!$F$15,IF(AND(OR($B$4="Clinical Lecturer / Medical Research Fellow",$B$4="Clinical Consultant - Old Contract (GP)"),$B103&lt;&gt;""),$C103*Thresholds_Rates!$F$15,IF(OR($B$4="APM Level 7",$B$4="R&amp;T Level 7"),$C103*Thresholds_Rates!$F$15,IF(SUMIF(Grades!$A:$A,$B$4,Grades!$BO:$BO)=1,$C103*Thresholds_Rates!$F$15,""))))))))</f>
        <v/>
      </c>
      <c r="F103" s="25" t="str">
        <f ca="1">IF(B103="","",IF($B$4="Salary Points 1 to 57","-",IF(SUMIF(Grades!$A:$A,$B$4,Grades!$BP:$BP)=0,"-",IF(AND(OR($B$4="New Consultant Contract"),$B103&lt;&gt;""),$C103*Thresholds_Rates!$F$16,IF(AND(OR($B$4="Clinical Lecturer / Medical Research Fellow",$B$4="Clinical Consultant - Old Contract (GP)"),$B103&lt;&gt;""),$C103*Thresholds_Rates!$F$16,IF(AND(OR($B$4="APM Level 7",$B$4="R&amp;T Level 7"),E103&lt;&gt;""),$C103*Thresholds_Rates!$F$16,IF(SUMIF(Grades!$A:$A,$B$4,Grades!$BP:$BP)=1,$C103*Thresholds_Rates!$F$16,"")))))))</f>
        <v/>
      </c>
      <c r="G103" s="25" t="str">
        <f ca="1">IF(B103="","",IF(SUMIF(Grades!$A:$A,$B$4,Grades!$BQ:$BQ)=0,"-",IF(AND($B$4="Salary Points 1 to 57",B103&gt;Thresholds_Rates!$C$17),"-",IF(AND($B$4="Salary Points 1 to 57",B103&lt;=Thresholds_Rates!$C$17),$C103*Thresholds_Rates!$F$17,IF(AND(OR($B$4="New Consultant Contract"),$B103&lt;&gt;""),$C103*Thresholds_Rates!$F$17,IF(AND(OR($B$4="Clinical Lecturer / Medical Research Fellow",$B$4="Clinical Consultant - Old Contract (GP)"),$B103&lt;&gt;""),$C103*Thresholds_Rates!$F$17,IF(AND(OR($B$4="APM Level 7",$B$4="R&amp;T Level 7"),F103&lt;&gt;""),$C103*Thresholds_Rates!$F$17,IF(SUMIF(Grades!$A:$A,$B$4,Grades!$BQ:$BQ)=1,$C103*Thresholds_Rates!$F$17,""))))))))</f>
        <v/>
      </c>
      <c r="H103" s="25" t="str">
        <f ca="1">IF($B103="","",ROUND(($C103-(Thresholds_Rates!$C$5*12))*Thresholds_Rates!$C$10,0))</f>
        <v/>
      </c>
      <c r="I103" s="25" t="str">
        <f ca="1">IF(B103="","",(C103*Thresholds_Rates!$C$12))</f>
        <v/>
      </c>
      <c r="J103" s="25" t="str">
        <f ca="1">IF(B103="","",IF(AND($B$4="Salary Points 1 to 57",B103&gt;Thresholds_Rates!$C$17),"-",IF(SUMIF(Grades!$A:$A,$B$4,Grades!$BR:$BR)=0,"-",IF(AND($B$4="Salary Points 1 to 57",B103&lt;=Thresholds_Rates!$C$17),$C103*Thresholds_Rates!$F$18,IF(AND(OR($B$4="New Consultant Contract"),$B103&lt;&gt;""),$C103*Thresholds_Rates!$F$18,IF(AND(OR($B$4="Clinical Lecturer / Medical Research Fellow",$B$4="Clinical Consultant - Old Contract (GP)"),$B103&lt;&gt;""),$C103*Thresholds_Rates!$F$18,IF(AND(OR($B$4="APM Level 7",$B$4="R&amp;T Level 7"),H103&lt;&gt;""),$C103*Thresholds_Rates!$F$18,IF(SUMIF(Grades!$A:$A,$B$4,Grades!$BQ:$BQ)=1,$C103*Thresholds_Rates!$F$18,""))))))))</f>
        <v/>
      </c>
      <c r="K103" s="4"/>
      <c r="L103" s="25" t="str">
        <f t="shared" ca="1" si="8"/>
        <v/>
      </c>
      <c r="M103" s="25" t="str">
        <f t="shared" ca="1" si="9"/>
        <v/>
      </c>
      <c r="N103" s="25" t="str">
        <f t="shared" ca="1" si="10"/>
        <v/>
      </c>
      <c r="O103" s="25" t="str">
        <f t="shared" ca="1" si="11"/>
        <v/>
      </c>
      <c r="P103" s="25" t="str">
        <f t="shared" ca="1" si="12"/>
        <v/>
      </c>
      <c r="R103" s="28" t="str">
        <f ca="1">IF(B103="","",IF($B$4="R&amp;T Level 5 - Clinical Lecturers (Vet School)",SUMIF(Points_Lookup!$M:$M,$B103,Points_Lookup!$N:$N),IF($B$4="R&amp;T Level 6 - Clinical Associate Professors and Clinical Readers (Vet School)",SUMIF(Points_Lookup!$T:$T,$B103,Points_Lookup!$U:$U),"")))</f>
        <v/>
      </c>
      <c r="S103" s="29" t="str">
        <f ca="1">IF(B103="","",IF($B$4="R&amp;T Level 5 - Clinical Lecturers (Vet School)",$C103-SUMIF(Points_Lookup!$M:$M,$B103,Points_Lookup!$O:$O),IF($B$4="R&amp;T Level 6 - Clinical Associate Professors and Clinical Readers (Vet School)",$C103-SUMIF(Points_Lookup!$T:$T,$B103,Points_Lookup!$V:$V),"")))</f>
        <v/>
      </c>
      <c r="T103" s="28" t="str">
        <f ca="1">IF(B103="","",IF($B$4="R&amp;T Level 5 - Clinical Lecturers (Vet School)",SUMIF(Points_Lookup!$M:$M,$B103,Points_Lookup!$Q:$Q),IF($B$4="R&amp;T Level 6 - Clinical Associate Professors and Clinical Readers (Vet School)",SUMIF(Points_Lookup!$T:$T,$B103,Points_Lookup!$X:$X),"")))</f>
        <v/>
      </c>
      <c r="U103" s="29" t="str">
        <f t="shared" ca="1" si="7"/>
        <v/>
      </c>
    </row>
    <row r="104" spans="2:21" x14ac:dyDescent="0.25">
      <c r="B104" s="4" t="str">
        <f ca="1">IFERROR(INDEX(Points_Lookup!$A:$A,MATCH($Z106,Points_Lookup!$AE:$AE,0)),"")</f>
        <v/>
      </c>
      <c r="C104" s="25" t="str">
        <f ca="1">IF(B104="","",IF($B$4="Apprenticeship",SUMIF(Points_Lookup!$AA:$AA,B104,Points_Lookup!$AC:$AC),IF(AND(OR($B$4="New Consultant Contract"),$B104&lt;&gt;""),INDEX(Points_Lookup!$K:$K,MATCH($B104,Points_Lookup!$J:$J,0)),IF(AND(OR($B$4="Clinical Lecturer / Medical Research Fellow",$B$4="Clinical Consultant - Old Contract (GP)"),$B104&lt;&gt;""),INDEX(Points_Lookup!$H:$H,MATCH($B104,Points_Lookup!$G:$G,0)),IF(AND(OR($B$4="APM Level 7",$B$4="R&amp;T Level 7",$B$4="APM Level 8"),B104&lt;&gt;""),INDEX(Points_Lookup!$E:$E,MATCH($Z104,Points_Lookup!$AE:$AE,0)),IF($B$4="R&amp;T Level 5 - Clinical Lecturers (Vet School)",SUMIF(Points_Lookup!$M:$M,$B104,Points_Lookup!$P:$P),IF($B$4="R&amp;T Level 6 - Clinical Associate Professors and Clinical Readers (Vet School)",SUMIF(Points_Lookup!$T:$T,$B104,Points_Lookup!$W:$W),IFERROR(INDEX(Points_Lookup!$B:$B,MATCH($Z104,Points_Lookup!$AE:$AE,0)),""))))))))</f>
        <v/>
      </c>
      <c r="D104" s="36"/>
      <c r="E104" s="25" t="str">
        <f ca="1">IF($B104="","",IF(AND($B$4="Salary Points 3 to 57",B104&lt;Thresholds_Rates!$C$16),"-",IF(SUMIF(Grades!$A:$A,$B$4,Grades!$BO:$BO)=0,"-",IF(AND($B$4="Salary Points 3 to 57",B104&gt;=Thresholds_Rates!$C$16),$C104*Thresholds_Rates!$F$15,IF(AND(OR($B$4="New Consultant Contract"),$B104&lt;&gt;""),$C104*Thresholds_Rates!$F$15,IF(AND(OR($B$4="Clinical Lecturer / Medical Research Fellow",$B$4="Clinical Consultant - Old Contract (GP)"),$B104&lt;&gt;""),$C104*Thresholds_Rates!$F$15,IF(OR($B$4="APM Level 7",$B$4="R&amp;T Level 7"),$C104*Thresholds_Rates!$F$15,IF(SUMIF(Grades!$A:$A,$B$4,Grades!$BO:$BO)=1,$C104*Thresholds_Rates!$F$15,""))))))))</f>
        <v/>
      </c>
      <c r="F104" s="25" t="str">
        <f ca="1">IF(B104="","",IF($B$4="Salary Points 1 to 57","-",IF(SUMIF(Grades!$A:$A,$B$4,Grades!$BP:$BP)=0,"-",IF(AND(OR($B$4="New Consultant Contract"),$B104&lt;&gt;""),$C104*Thresholds_Rates!$F$16,IF(AND(OR($B$4="Clinical Lecturer / Medical Research Fellow",$B$4="Clinical Consultant - Old Contract (GP)"),$B104&lt;&gt;""),$C104*Thresholds_Rates!$F$16,IF(AND(OR($B$4="APM Level 7",$B$4="R&amp;T Level 7"),E104&lt;&gt;""),$C104*Thresholds_Rates!$F$16,IF(SUMIF(Grades!$A:$A,$B$4,Grades!$BP:$BP)=1,$C104*Thresholds_Rates!$F$16,"")))))))</f>
        <v/>
      </c>
      <c r="G104" s="25" t="str">
        <f ca="1">IF(B104="","",IF(SUMIF(Grades!$A:$A,$B$4,Grades!$BQ:$BQ)=0,"-",IF(AND($B$4="Salary Points 1 to 57",B104&gt;Thresholds_Rates!$C$17),"-",IF(AND($B$4="Salary Points 1 to 57",B104&lt;=Thresholds_Rates!$C$17),$C104*Thresholds_Rates!$F$17,IF(AND(OR($B$4="New Consultant Contract"),$B104&lt;&gt;""),$C104*Thresholds_Rates!$F$17,IF(AND(OR($B$4="Clinical Lecturer / Medical Research Fellow",$B$4="Clinical Consultant - Old Contract (GP)"),$B104&lt;&gt;""),$C104*Thresholds_Rates!$F$17,IF(AND(OR($B$4="APM Level 7",$B$4="R&amp;T Level 7"),F104&lt;&gt;""),$C104*Thresholds_Rates!$F$17,IF(SUMIF(Grades!$A:$A,$B$4,Grades!$BQ:$BQ)=1,$C104*Thresholds_Rates!$F$17,""))))))))</f>
        <v/>
      </c>
      <c r="H104" s="25"/>
      <c r="I104" s="25" t="str">
        <f ca="1">IF(B104="","",(C104*Thresholds_Rates!$C$12))</f>
        <v/>
      </c>
      <c r="J104" s="25"/>
      <c r="K104" s="4"/>
      <c r="L104" s="25" t="str">
        <f t="shared" ca="1" si="8"/>
        <v/>
      </c>
      <c r="M104" s="25" t="str">
        <f t="shared" ca="1" si="9"/>
        <v/>
      </c>
      <c r="N104" s="25" t="str">
        <f t="shared" ca="1" si="10"/>
        <v/>
      </c>
      <c r="O104" s="25" t="str">
        <f t="shared" ca="1" si="11"/>
        <v/>
      </c>
      <c r="P104" s="25" t="str">
        <f t="shared" ca="1" si="12"/>
        <v/>
      </c>
      <c r="R104" s="28"/>
      <c r="S104" s="29"/>
      <c r="T104" s="28"/>
      <c r="U104" s="29"/>
    </row>
    <row r="105" spans="2:21" x14ac:dyDescent="0.25">
      <c r="B105" s="4" t="str">
        <f ca="1">IFERROR(INDEX(Points_Lookup!$A:$A,MATCH($Z107,Points_Lookup!$AE:$AE,0)),"")</f>
        <v/>
      </c>
      <c r="C105" s="25" t="str">
        <f ca="1">IF(B105="","",IF($B$4="Apprenticeship",SUMIF(Points_Lookup!$AA:$AA,B105,Points_Lookup!$AC:$AC),IF(AND(OR($B$4="New Consultant Contract"),$B105&lt;&gt;""),INDEX(Points_Lookup!$K:$K,MATCH($B105,Points_Lookup!$J:$J,0)),IF(AND(OR($B$4="Clinical Lecturer / Medical Research Fellow",$B$4="Clinical Consultant - Old Contract (GP)"),$B105&lt;&gt;""),INDEX(Points_Lookup!$H:$H,MATCH($B105,Points_Lookup!$G:$G,0)),IF(AND(OR($B$4="APM Level 7",$B$4="R&amp;T Level 7",$B$4="APM Level 8"),B105&lt;&gt;""),INDEX(Points_Lookup!$E:$E,MATCH($Z105,Points_Lookup!$AE:$AE,0)),IF($B$4="R&amp;T Level 5 - Clinical Lecturers (Vet School)",SUMIF(Points_Lookup!$M:$M,$B105,Points_Lookup!$P:$P),IF($B$4="R&amp;T Level 6 - Clinical Associate Professors and Clinical Readers (Vet School)",SUMIF(Points_Lookup!$T:$T,$B105,Points_Lookup!$W:$W),IFERROR(INDEX(Points_Lookup!$B:$B,MATCH($Z105,Points_Lookup!$AE:$AE,0)),""))))))))</f>
        <v/>
      </c>
      <c r="D105" s="36"/>
      <c r="E105" s="25" t="str">
        <f ca="1">IF($B105="","",IF(AND($B$4="Salary Points 3 to 57",B105&lt;Thresholds_Rates!$C$16),"-",IF(SUMIF(Grades!$A:$A,$B$4,Grades!$BO:$BO)=0,"-",IF(AND($B$4="Salary Points 3 to 57",B105&gt;=Thresholds_Rates!$C$16),$C105*Thresholds_Rates!$F$15,IF(AND(OR($B$4="New Consultant Contract"),$B105&lt;&gt;""),$C105*Thresholds_Rates!$F$15,IF(AND(OR($B$4="Clinical Lecturer / Medical Research Fellow",$B$4="Clinical Consultant - Old Contract (GP)"),$B105&lt;&gt;""),$C105*Thresholds_Rates!$F$15,IF(OR($B$4="APM Level 7",$B$4="R&amp;T Level 7"),$C105*Thresholds_Rates!$F$15,IF(SUMIF(Grades!$A:$A,$B$4,Grades!$BO:$BO)=1,$C105*Thresholds_Rates!$F$15,""))))))))</f>
        <v/>
      </c>
      <c r="F105" s="25" t="str">
        <f ca="1">IF(B105="","",IF($B$4="Salary Points 1 to 57","-",IF(SUMIF(Grades!$A:$A,$B$4,Grades!$BP:$BP)=0,"-",IF(AND(OR($B$4="New Consultant Contract"),$B105&lt;&gt;""),$C105*Thresholds_Rates!$F$16,IF(AND(OR($B$4="Clinical Lecturer / Medical Research Fellow",$B$4="Clinical Consultant - Old Contract (GP)"),$B105&lt;&gt;""),$C105*Thresholds_Rates!$F$16,IF(AND(OR($B$4="APM Level 7",$B$4="R&amp;T Level 7"),E105&lt;&gt;""),$C105*Thresholds_Rates!$F$16,IF(SUMIF(Grades!$A:$A,$B$4,Grades!$BP:$BP)=1,$C105*Thresholds_Rates!$F$16,"")))))))</f>
        <v/>
      </c>
      <c r="G105" s="25" t="str">
        <f ca="1">IF(B105="","",IF(SUMIF(Grades!$A:$A,$B$4,Grades!$BQ:$BQ)=0,"-",IF(AND($B$4="Salary Points 1 to 57",B105&gt;Thresholds_Rates!$C$17),"-",IF(AND($B$4="Salary Points 1 to 57",B105&lt;=Thresholds_Rates!$C$17),$C105*Thresholds_Rates!$F$17,IF(AND(OR($B$4="New Consultant Contract"),$B105&lt;&gt;""),$C105*Thresholds_Rates!$F$17,IF(AND(OR($B$4="Clinical Lecturer / Medical Research Fellow",$B$4="Clinical Consultant - Old Contract (GP)"),$B105&lt;&gt;""),$C105*Thresholds_Rates!$F$17,IF(AND(OR($B$4="APM Level 7",$B$4="R&amp;T Level 7"),F105&lt;&gt;""),$C105*Thresholds_Rates!$F$17,IF(SUMIF(Grades!$A:$A,$B$4,Grades!$BQ:$BQ)=1,$C105*Thresholds_Rates!$F$17,""))))))))</f>
        <v/>
      </c>
      <c r="H105" s="25"/>
      <c r="I105" s="25" t="str">
        <f ca="1">IF(B105="","",(C105*Thresholds_Rates!$C$12))</f>
        <v/>
      </c>
      <c r="J105" s="25"/>
      <c r="K105" s="4"/>
      <c r="L105" s="25" t="str">
        <f t="shared" ca="1" si="8"/>
        <v/>
      </c>
      <c r="M105" s="25" t="str">
        <f t="shared" ca="1" si="9"/>
        <v/>
      </c>
      <c r="N105" s="25" t="str">
        <f t="shared" ca="1" si="10"/>
        <v/>
      </c>
      <c r="O105" s="25" t="str">
        <f t="shared" ca="1" si="11"/>
        <v/>
      </c>
      <c r="P105" s="25" t="str">
        <f t="shared" ca="1" si="12"/>
        <v/>
      </c>
      <c r="R105" s="28"/>
      <c r="S105" s="29"/>
      <c r="T105" s="28"/>
      <c r="U105" s="29"/>
    </row>
    <row r="106" spans="2:21" x14ac:dyDescent="0.25">
      <c r="B106" s="4" t="str">
        <f ca="1">IFERROR(INDEX(Points_Lookup!$A:$A,MATCH($Z108,Points_Lookup!$AE:$AE,0)),"")</f>
        <v/>
      </c>
      <c r="C106" s="25" t="str">
        <f ca="1">IF(B106="","",IF($B$4="Apprenticeship",SUMIF(Points_Lookup!$AA:$AA,B106,Points_Lookup!$AC:$AC),IF(AND(OR($B$4="New Consultant Contract"),$B106&lt;&gt;""),INDEX(Points_Lookup!$K:$K,MATCH($B106,Points_Lookup!$J:$J,0)),IF(AND(OR($B$4="Clinical Lecturer / Medical Research Fellow",$B$4="Clinical Consultant - Old Contract (GP)"),$B106&lt;&gt;""),INDEX(Points_Lookup!$H:$H,MATCH($B106,Points_Lookup!$G:$G,0)),IF(AND(OR($B$4="APM Level 7",$B$4="R&amp;T Level 7",$B$4="APM Level 8"),B106&lt;&gt;""),INDEX(Points_Lookup!$E:$E,MATCH($Z106,Points_Lookup!$AE:$AE,0)),IF($B$4="R&amp;T Level 5 - Clinical Lecturers (Vet School)",SUMIF(Points_Lookup!$M:$M,$B106,Points_Lookup!$P:$P),IF($B$4="R&amp;T Level 6 - Clinical Associate Professors and Clinical Readers (Vet School)",SUMIF(Points_Lookup!$T:$T,$B106,Points_Lookup!$W:$W),IFERROR(INDEX(Points_Lookup!$B:$B,MATCH($Z106,Points_Lookup!$AE:$AE,0)),""))))))))</f>
        <v/>
      </c>
      <c r="D106" s="36"/>
      <c r="E106" s="25" t="str">
        <f ca="1">IF($B106="","",IF(AND($B$4="Salary Points 3 to 57",B106&lt;Thresholds_Rates!$C$16),"-",IF(SUMIF(Grades!$A:$A,$B$4,Grades!$BO:$BO)=0,"-",IF(AND($B$4="Salary Points 3 to 57",B106&gt;=Thresholds_Rates!$C$16),$C106*Thresholds_Rates!$F$15,IF(AND(OR($B$4="New Consultant Contract"),$B106&lt;&gt;""),$C106*Thresholds_Rates!$F$15,IF(AND(OR($B$4="Clinical Lecturer / Medical Research Fellow",$B$4="Clinical Consultant - Old Contract (GP)"),$B106&lt;&gt;""),$C106*Thresholds_Rates!$F$15,IF(OR($B$4="APM Level 7",$B$4="R&amp;T Level 7"),$C106*Thresholds_Rates!$F$15,IF(SUMIF(Grades!$A:$A,$B$4,Grades!$BO:$BO)=1,$C106*Thresholds_Rates!$F$15,""))))))))</f>
        <v/>
      </c>
      <c r="F106" s="25" t="str">
        <f ca="1">IF(B106="","",IF($B$4="Salary Points 1 to 57","-",IF(SUMIF(Grades!$A:$A,$B$4,Grades!$BP:$BP)=0,"-",IF(AND(OR($B$4="New Consultant Contract"),$B106&lt;&gt;""),$C106*Thresholds_Rates!$F$16,IF(AND(OR($B$4="Clinical Lecturer / Medical Research Fellow",$B$4="Clinical Consultant - Old Contract (GP)"),$B106&lt;&gt;""),$C106*Thresholds_Rates!$F$16,IF(AND(OR($B$4="APM Level 7",$B$4="R&amp;T Level 7"),E106&lt;&gt;""),$C106*Thresholds_Rates!$F$16,IF(SUMIF(Grades!$A:$A,$B$4,Grades!$BP:$BP)=1,$C106*Thresholds_Rates!$F$16,"")))))))</f>
        <v/>
      </c>
      <c r="G106" s="25" t="str">
        <f ca="1">IF(B106="","",IF(SUMIF(Grades!$A:$A,$B$4,Grades!$BQ:$BQ)=0,"-",IF(AND($B$4="Salary Points 1 to 57",B106&gt;Thresholds_Rates!$C$17),"-",IF(AND($B$4="Salary Points 1 to 57",B106&lt;=Thresholds_Rates!$C$17),$C106*Thresholds_Rates!$F$17,IF(AND(OR($B$4="New Consultant Contract"),$B106&lt;&gt;""),$C106*Thresholds_Rates!$F$17,IF(AND(OR($B$4="Clinical Lecturer / Medical Research Fellow",$B$4="Clinical Consultant - Old Contract (GP)"),$B106&lt;&gt;""),$C106*Thresholds_Rates!$F$17,IF(AND(OR($B$4="APM Level 7",$B$4="R&amp;T Level 7"),F106&lt;&gt;""),$C106*Thresholds_Rates!$F$17,IF(SUMIF(Grades!$A:$A,$B$4,Grades!$BQ:$BQ)=1,$C106*Thresholds_Rates!$F$17,""))))))))</f>
        <v/>
      </c>
      <c r="H106" s="25"/>
      <c r="I106" s="25" t="str">
        <f ca="1">IF(B106="","",(C106*Thresholds_Rates!$C$12))</f>
        <v/>
      </c>
      <c r="J106" s="25"/>
      <c r="K106" s="4"/>
      <c r="L106" s="25" t="str">
        <f t="shared" ca="1" si="8"/>
        <v/>
      </c>
      <c r="M106" s="25" t="str">
        <f t="shared" ca="1" si="9"/>
        <v/>
      </c>
      <c r="N106" s="25" t="str">
        <f t="shared" ca="1" si="10"/>
        <v/>
      </c>
      <c r="O106" s="25" t="str">
        <f t="shared" ca="1" si="11"/>
        <v/>
      </c>
      <c r="P106" s="25" t="str">
        <f t="shared" ca="1" si="12"/>
        <v/>
      </c>
      <c r="R106" s="28"/>
      <c r="S106" s="29"/>
      <c r="T106" s="28"/>
      <c r="U106" s="29"/>
    </row>
    <row r="107" spans="2:21" x14ac:dyDescent="0.25">
      <c r="B107" s="4" t="str">
        <f ca="1">IFERROR(INDEX(Points_Lookup!$A:$A,MATCH($Z109,Points_Lookup!$AE:$AE,0)),"")</f>
        <v/>
      </c>
      <c r="C107" s="25" t="str">
        <f ca="1">IF(B107="","",IF($B$4="Apprenticeship",SUMIF(Points_Lookup!$AA:$AA,B107,Points_Lookup!$AC:$AC),IF(AND(OR($B$4="New Consultant Contract"),$B107&lt;&gt;""),INDEX(Points_Lookup!$K:$K,MATCH($B107,Points_Lookup!$J:$J,0)),IF(AND(OR($B$4="Clinical Lecturer / Medical Research Fellow",$B$4="Clinical Consultant - Old Contract (GP)"),$B107&lt;&gt;""),INDEX(Points_Lookup!$H:$H,MATCH($B107,Points_Lookup!$G:$G,0)),IF(AND(OR($B$4="APM Level 7",$B$4="R&amp;T Level 7",$B$4="APM Level 8"),B107&lt;&gt;""),INDEX(Points_Lookup!$E:$E,MATCH($Z107,Points_Lookup!$AE:$AE,0)),IF($B$4="R&amp;T Level 5 - Clinical Lecturers (Vet School)",SUMIF(Points_Lookup!$M:$M,$B107,Points_Lookup!$P:$P),IF($B$4="R&amp;T Level 6 - Clinical Associate Professors and Clinical Readers (Vet School)",SUMIF(Points_Lookup!$T:$T,$B107,Points_Lookup!$W:$W),IFERROR(INDEX(Points_Lookup!$B:$B,MATCH($Z107,Points_Lookup!$AE:$AE,0)),""))))))))</f>
        <v/>
      </c>
      <c r="D107" s="36"/>
      <c r="E107" s="25" t="str">
        <f ca="1">IF($B107="","",IF(AND($B$4="Salary Points 3 to 57",B107&lt;Thresholds_Rates!$C$16),"-",IF(SUMIF(Grades!$A:$A,$B$4,Grades!$BO:$BO)=0,"-",IF(AND($B$4="Salary Points 3 to 57",B107&gt;=Thresholds_Rates!$C$16),$C107*Thresholds_Rates!$F$15,IF(AND(OR($B$4="New Consultant Contract"),$B107&lt;&gt;""),$C107*Thresholds_Rates!$F$15,IF(AND(OR($B$4="Clinical Lecturer / Medical Research Fellow",$B$4="Clinical Consultant - Old Contract (GP)"),$B107&lt;&gt;""),$C107*Thresholds_Rates!$F$15,IF(OR($B$4="APM Level 7",$B$4="R&amp;T Level 7"),$C107*Thresholds_Rates!$F$15,IF(SUMIF(Grades!$A:$A,$B$4,Grades!$BO:$BO)=1,$C107*Thresholds_Rates!$F$15,""))))))))</f>
        <v/>
      </c>
      <c r="F107" s="25" t="str">
        <f ca="1">IF(B107="","",IF($B$4="Salary Points 1 to 57","-",IF(SUMIF(Grades!$A:$A,$B$4,Grades!$BP:$BP)=0,"-",IF(AND(OR($B$4="New Consultant Contract"),$B107&lt;&gt;""),$C107*Thresholds_Rates!$F$16,IF(AND(OR($B$4="Clinical Lecturer / Medical Research Fellow",$B$4="Clinical Consultant - Old Contract (GP)"),$B107&lt;&gt;""),$C107*Thresholds_Rates!$F$16,IF(AND(OR($B$4="APM Level 7",$B$4="R&amp;T Level 7"),E107&lt;&gt;""),$C107*Thresholds_Rates!$F$16,IF(SUMIF(Grades!$A:$A,$B$4,Grades!$BP:$BP)=1,$C107*Thresholds_Rates!$F$16,"")))))))</f>
        <v/>
      </c>
      <c r="G107" s="25" t="str">
        <f ca="1">IF(B107="","",IF(SUMIF(Grades!$A:$A,$B$4,Grades!$BQ:$BQ)=0,"-",IF(AND($B$4="Salary Points 1 to 57",B107&gt;Thresholds_Rates!$C$17),"-",IF(AND($B$4="Salary Points 1 to 57",B107&lt;=Thresholds_Rates!$C$17),$C107*Thresholds_Rates!$F$17,IF(AND(OR($B$4="New Consultant Contract"),$B107&lt;&gt;""),$C107*Thresholds_Rates!$F$17,IF(AND(OR($B$4="Clinical Lecturer / Medical Research Fellow",$B$4="Clinical Consultant - Old Contract (GP)"),$B107&lt;&gt;""),$C107*Thresholds_Rates!$F$17,IF(AND(OR($B$4="APM Level 7",$B$4="R&amp;T Level 7"),F107&lt;&gt;""),$C107*Thresholds_Rates!$F$17,IF(SUMIF(Grades!$A:$A,$B$4,Grades!$BQ:$BQ)=1,$C107*Thresholds_Rates!$F$17,""))))))))</f>
        <v/>
      </c>
      <c r="H107" s="25"/>
      <c r="I107" s="25" t="str">
        <f ca="1">IF(B107="","",(C107*Thresholds_Rates!$C$12))</f>
        <v/>
      </c>
      <c r="J107" s="25"/>
      <c r="K107" s="4"/>
      <c r="L107" s="25" t="str">
        <f t="shared" ca="1" si="8"/>
        <v/>
      </c>
      <c r="M107" s="25" t="str">
        <f t="shared" ca="1" si="9"/>
        <v/>
      </c>
      <c r="N107" s="25" t="str">
        <f t="shared" ca="1" si="10"/>
        <v/>
      </c>
      <c r="O107" s="25" t="str">
        <f t="shared" ca="1" si="11"/>
        <v/>
      </c>
      <c r="P107" s="25" t="str">
        <f t="shared" ca="1" si="12"/>
        <v/>
      </c>
      <c r="R107" s="28"/>
      <c r="S107" s="29"/>
      <c r="T107" s="28"/>
      <c r="U107" s="29"/>
    </row>
    <row r="108" spans="2:21" x14ac:dyDescent="0.25">
      <c r="B108" s="4" t="str">
        <f ca="1">IFERROR(INDEX(Points_Lookup!$A:$A,MATCH($Z110,Points_Lookup!$AE:$AE,0)),"")</f>
        <v/>
      </c>
      <c r="C108" s="25" t="str">
        <f ca="1">IF(B108="","",IF($B$4="Apprenticeship",SUMIF(Points_Lookup!$AA:$AA,B108,Points_Lookup!$AC:$AC),IF(AND(OR($B$4="New Consultant Contract"),$B108&lt;&gt;""),INDEX(Points_Lookup!$K:$K,MATCH($B108,Points_Lookup!$J:$J,0)),IF(AND(OR($B$4="Clinical Lecturer / Medical Research Fellow",$B$4="Clinical Consultant - Old Contract (GP)"),$B108&lt;&gt;""),INDEX(Points_Lookup!$H:$H,MATCH($B108,Points_Lookup!$G:$G,0)),IF(AND(OR($B$4="APM Level 7",$B$4="R&amp;T Level 7",$B$4="APM Level 8"),B108&lt;&gt;""),INDEX(Points_Lookup!$E:$E,MATCH($Z108,Points_Lookup!$AE:$AE,0)),IF($B$4="R&amp;T Level 5 - Clinical Lecturers (Vet School)",SUMIF(Points_Lookup!$M:$M,$B108,Points_Lookup!$P:$P),IF($B$4="R&amp;T Level 6 - Clinical Associate Professors and Clinical Readers (Vet School)",SUMIF(Points_Lookup!$T:$T,$B108,Points_Lookup!$W:$W),IFERROR(INDEX(Points_Lookup!$B:$B,MATCH($Z108,Points_Lookup!$AE:$AE,0)),""))))))))</f>
        <v/>
      </c>
      <c r="D108" s="36"/>
      <c r="E108" s="25" t="str">
        <f ca="1">IF($B108="","",IF(AND($B$4="Salary Points 3 to 57",B108&lt;Thresholds_Rates!$C$16),"-",IF(SUMIF(Grades!$A:$A,$B$4,Grades!$BO:$BO)=0,"-",IF(AND($B$4="Salary Points 3 to 57",B108&gt;=Thresholds_Rates!$C$16),$C108*Thresholds_Rates!$F$15,IF(AND(OR($B$4="New Consultant Contract"),$B108&lt;&gt;""),$C108*Thresholds_Rates!$F$15,IF(AND(OR($B$4="Clinical Lecturer / Medical Research Fellow",$B$4="Clinical Consultant - Old Contract (GP)"),$B108&lt;&gt;""),$C108*Thresholds_Rates!$F$15,IF(OR($B$4="APM Level 7",$B$4="R&amp;T Level 7"),$C108*Thresholds_Rates!$F$15,IF(SUMIF(Grades!$A:$A,$B$4,Grades!$BO:$BO)=1,$C108*Thresholds_Rates!$F$15,""))))))))</f>
        <v/>
      </c>
      <c r="F108" s="25" t="str">
        <f ca="1">IF(B108="","",IF($B$4="Salary Points 1 to 57","-",IF(SUMIF(Grades!$A:$A,$B$4,Grades!$BP:$BP)=0,"-",IF(AND(OR($B$4="New Consultant Contract"),$B108&lt;&gt;""),$C108*Thresholds_Rates!$F$16,IF(AND(OR($B$4="Clinical Lecturer / Medical Research Fellow",$B$4="Clinical Consultant - Old Contract (GP)"),$B108&lt;&gt;""),$C108*Thresholds_Rates!$F$16,IF(AND(OR($B$4="APM Level 7",$B$4="R&amp;T Level 7"),E108&lt;&gt;""),$C108*Thresholds_Rates!$F$16,IF(SUMIF(Grades!$A:$A,$B$4,Grades!$BP:$BP)=1,$C108*Thresholds_Rates!$F$16,"")))))))</f>
        <v/>
      </c>
      <c r="G108" s="25" t="str">
        <f ca="1">IF(B108="","",IF(SUMIF(Grades!$A:$A,$B$4,Grades!$BQ:$BQ)=0,"-",IF(AND($B$4="Salary Points 1 to 57",B108&gt;Thresholds_Rates!$C$17),"-",IF(AND($B$4="Salary Points 1 to 57",B108&lt;=Thresholds_Rates!$C$17),$C108*Thresholds_Rates!$F$17,IF(AND(OR($B$4="New Consultant Contract"),$B108&lt;&gt;""),$C108*Thresholds_Rates!$F$17,IF(AND(OR($B$4="Clinical Lecturer / Medical Research Fellow",$B$4="Clinical Consultant - Old Contract (GP)"),$B108&lt;&gt;""),$C108*Thresholds_Rates!$F$17,IF(AND(OR($B$4="APM Level 7",$B$4="R&amp;T Level 7"),F108&lt;&gt;""),$C108*Thresholds_Rates!$F$17,IF(SUMIF(Grades!$A:$A,$B$4,Grades!$BQ:$BQ)=1,$C108*Thresholds_Rates!$F$17,""))))))))</f>
        <v/>
      </c>
      <c r="H108" s="25"/>
      <c r="I108" s="25" t="str">
        <f ca="1">IF(B108="","",(C108*Thresholds_Rates!$C$12))</f>
        <v/>
      </c>
      <c r="J108" s="25"/>
      <c r="K108" s="4"/>
      <c r="L108" s="25" t="str">
        <f t="shared" ca="1" si="8"/>
        <v/>
      </c>
      <c r="M108" s="25" t="str">
        <f t="shared" ca="1" si="9"/>
        <v/>
      </c>
      <c r="N108" s="25" t="str">
        <f t="shared" ca="1" si="10"/>
        <v/>
      </c>
      <c r="O108" s="25" t="str">
        <f t="shared" ca="1" si="11"/>
        <v/>
      </c>
      <c r="P108" s="25" t="str">
        <f t="shared" ca="1" si="12"/>
        <v/>
      </c>
      <c r="R108" s="28"/>
      <c r="S108" s="29"/>
      <c r="T108" s="28"/>
      <c r="U108" s="29"/>
    </row>
    <row r="109" spans="2:21" x14ac:dyDescent="0.25">
      <c r="B109" s="4" t="str">
        <f ca="1">IFERROR(INDEX(Points_Lookup!$A:$A,MATCH($Z111,Points_Lookup!$AE:$AE,0)),"")</f>
        <v/>
      </c>
      <c r="C109" s="25" t="str">
        <f ca="1">IF(B109="","",IF($B$4="Apprenticeship",SUMIF(Points_Lookup!$AA:$AA,B109,Points_Lookup!$AC:$AC),IF(AND(OR($B$4="New Consultant Contract"),$B109&lt;&gt;""),INDEX(Points_Lookup!$K:$K,MATCH($B109,Points_Lookup!$J:$J,0)),IF(AND(OR($B$4="Clinical Lecturer / Medical Research Fellow",$B$4="Clinical Consultant - Old Contract (GP)"),$B109&lt;&gt;""),INDEX(Points_Lookup!$H:$H,MATCH($B109,Points_Lookup!$G:$G,0)),IF(AND(OR($B$4="APM Level 7",$B$4="R&amp;T Level 7",$B$4="APM Level 8"),B109&lt;&gt;""),INDEX(Points_Lookup!$E:$E,MATCH($Z109,Points_Lookup!$AE:$AE,0)),IF($B$4="R&amp;T Level 5 - Clinical Lecturers (Vet School)",SUMIF(Points_Lookup!$M:$M,$B109,Points_Lookup!$P:$P),IF($B$4="R&amp;T Level 6 - Clinical Associate Professors and Clinical Readers (Vet School)",SUMIF(Points_Lookup!$T:$T,$B109,Points_Lookup!$W:$W),IFERROR(INDEX(Points_Lookup!$B:$B,MATCH($Z109,Points_Lookup!$AE:$AE,0)),""))))))))</f>
        <v/>
      </c>
      <c r="D109" s="36"/>
      <c r="E109" s="25" t="str">
        <f ca="1">IF($B109="","",IF(AND($B$4="Salary Points 3 to 57",B109&lt;Thresholds_Rates!$C$16),"-",IF(SUMIF(Grades!$A:$A,$B$4,Grades!$BO:$BO)=0,"-",IF(AND($B$4="Salary Points 3 to 57",B109&gt;=Thresholds_Rates!$C$16),$C109*Thresholds_Rates!$F$15,IF(AND(OR($B$4="New Consultant Contract"),$B109&lt;&gt;""),$C109*Thresholds_Rates!$F$15,IF(AND(OR($B$4="Clinical Lecturer / Medical Research Fellow",$B$4="Clinical Consultant - Old Contract (GP)"),$B109&lt;&gt;""),$C109*Thresholds_Rates!$F$15,IF(OR($B$4="APM Level 7",$B$4="R&amp;T Level 7"),$C109*Thresholds_Rates!$F$15,IF(SUMIF(Grades!$A:$A,$B$4,Grades!$BO:$BO)=1,$C109*Thresholds_Rates!$F$15,""))))))))</f>
        <v/>
      </c>
      <c r="F109" s="25" t="str">
        <f ca="1">IF(B109="","",IF($B$4="Salary Points 1 to 57","-",IF(SUMIF(Grades!$A:$A,$B$4,Grades!$BP:$BP)=0,"-",IF(AND(OR($B$4="New Consultant Contract"),$B109&lt;&gt;""),$C109*Thresholds_Rates!$F$16,IF(AND(OR($B$4="Clinical Lecturer / Medical Research Fellow",$B$4="Clinical Consultant - Old Contract (GP)"),$B109&lt;&gt;""),$C109*Thresholds_Rates!$F$16,IF(AND(OR($B$4="APM Level 7",$B$4="R&amp;T Level 7"),E109&lt;&gt;""),$C109*Thresholds_Rates!$F$16,IF(SUMIF(Grades!$A:$A,$B$4,Grades!$BP:$BP)=1,$C109*Thresholds_Rates!$F$16,"")))))))</f>
        <v/>
      </c>
      <c r="G109" s="25" t="str">
        <f ca="1">IF(B109="","",IF(SUMIF(Grades!$A:$A,$B$4,Grades!$BQ:$BQ)=0,"-",IF(AND($B$4="Salary Points 1 to 57",B109&gt;Thresholds_Rates!$C$17),"-",IF(AND($B$4="Salary Points 1 to 57",B109&lt;=Thresholds_Rates!$C$17),$C109*Thresholds_Rates!$F$17,IF(AND(OR($B$4="New Consultant Contract"),$B109&lt;&gt;""),$C109*Thresholds_Rates!$F$17,IF(AND(OR($B$4="Clinical Lecturer / Medical Research Fellow",$B$4="Clinical Consultant - Old Contract (GP)"),$B109&lt;&gt;""),$C109*Thresholds_Rates!$F$17,IF(AND(OR($B$4="APM Level 7",$B$4="R&amp;T Level 7"),F109&lt;&gt;""),$C109*Thresholds_Rates!$F$17,IF(SUMIF(Grades!$A:$A,$B$4,Grades!$BQ:$BQ)=1,$C109*Thresholds_Rates!$F$17,""))))))))</f>
        <v/>
      </c>
      <c r="H109" s="25"/>
      <c r="I109" s="25" t="str">
        <f ca="1">IF(B109="","",(C109*Thresholds_Rates!$C$12))</f>
        <v/>
      </c>
      <c r="J109" s="25"/>
      <c r="K109" s="4"/>
      <c r="L109" s="25" t="str">
        <f t="shared" ca="1" si="8"/>
        <v/>
      </c>
      <c r="M109" s="25" t="str">
        <f t="shared" ca="1" si="9"/>
        <v/>
      </c>
      <c r="N109" s="25" t="str">
        <f t="shared" ca="1" si="10"/>
        <v/>
      </c>
      <c r="O109" s="25" t="str">
        <f t="shared" ca="1" si="11"/>
        <v/>
      </c>
      <c r="P109" s="25" t="str">
        <f t="shared" ca="1" si="12"/>
        <v/>
      </c>
      <c r="R109" s="28"/>
      <c r="S109" s="29"/>
      <c r="T109" s="28"/>
      <c r="U109" s="29"/>
    </row>
    <row r="110" spans="2:21" x14ac:dyDescent="0.25">
      <c r="B110" s="4" t="str">
        <f ca="1">IFERROR(INDEX(Points_Lookup!$A:$A,MATCH($Z112,Points_Lookup!$AE:$AE,0)),"")</f>
        <v/>
      </c>
      <c r="C110" s="25" t="str">
        <f ca="1">IF(B110="","",IF($B$4="Apprenticeship",SUMIF(Points_Lookup!$AA:$AA,B110,Points_Lookup!$AC:$AC),IF(AND(OR($B$4="New Consultant Contract"),$B110&lt;&gt;""),INDEX(Points_Lookup!$K:$K,MATCH($B110,Points_Lookup!$J:$J,0)),IF(AND(OR($B$4="Clinical Lecturer / Medical Research Fellow",$B$4="Clinical Consultant - Old Contract (GP)"),$B110&lt;&gt;""),INDEX(Points_Lookup!$H:$H,MATCH($B110,Points_Lookup!$G:$G,0)),IF(AND(OR($B$4="APM Level 7",$B$4="R&amp;T Level 7",$B$4="APM Level 8"),B110&lt;&gt;""),INDEX(Points_Lookup!$E:$E,MATCH($Z110,Points_Lookup!$AE:$AE,0)),IF($B$4="R&amp;T Level 5 - Clinical Lecturers (Vet School)",SUMIF(Points_Lookup!$M:$M,$B110,Points_Lookup!$P:$P),IF($B$4="R&amp;T Level 6 - Clinical Associate Professors and Clinical Readers (Vet School)",SUMIF(Points_Lookup!$T:$T,$B110,Points_Lookup!$W:$W),IFERROR(INDEX(Points_Lookup!$B:$B,MATCH($Z110,Points_Lookup!$AE:$AE,0)),""))))))))</f>
        <v/>
      </c>
      <c r="D110" s="36"/>
      <c r="E110" s="25" t="str">
        <f ca="1">IF($B110="","",IF(AND($B$4="Salary Points 3 to 57",B110&lt;Thresholds_Rates!$C$16),"-",IF(SUMIF(Grades!$A:$A,$B$4,Grades!$BO:$BO)=0,"-",IF(AND($B$4="Salary Points 3 to 57",B110&gt;=Thresholds_Rates!$C$16),$C110*Thresholds_Rates!$F$15,IF(AND(OR($B$4="New Consultant Contract"),$B110&lt;&gt;""),$C110*Thresholds_Rates!$F$15,IF(AND(OR($B$4="Clinical Lecturer / Medical Research Fellow",$B$4="Clinical Consultant - Old Contract (GP)"),$B110&lt;&gt;""),$C110*Thresholds_Rates!$F$15,IF(OR($B$4="APM Level 7",$B$4="R&amp;T Level 7"),$C110*Thresholds_Rates!$F$15,IF(SUMIF(Grades!$A:$A,$B$4,Grades!$BO:$BO)=1,$C110*Thresholds_Rates!$F$15,""))))))))</f>
        <v/>
      </c>
      <c r="F110" s="25" t="str">
        <f ca="1">IF(B110="","",IF($B$4="Salary Points 1 to 57","-",IF(SUMIF(Grades!$A:$A,$B$4,Grades!$BP:$BP)=0,"-",IF(AND(OR($B$4="New Consultant Contract"),$B110&lt;&gt;""),$C110*Thresholds_Rates!$F$16,IF(AND(OR($B$4="Clinical Lecturer / Medical Research Fellow",$B$4="Clinical Consultant - Old Contract (GP)"),$B110&lt;&gt;""),$C110*Thresholds_Rates!$F$16,IF(AND(OR($B$4="APM Level 7",$B$4="R&amp;T Level 7"),E110&lt;&gt;""),$C110*Thresholds_Rates!$F$16,IF(SUMIF(Grades!$A:$A,$B$4,Grades!$BP:$BP)=1,$C110*Thresholds_Rates!$F$16,"")))))))</f>
        <v/>
      </c>
      <c r="G110" s="25" t="str">
        <f ca="1">IF(B110="","",IF(SUMIF(Grades!$A:$A,$B$4,Grades!$BQ:$BQ)=0,"-",IF(AND($B$4="Salary Points 1 to 57",B110&gt;Thresholds_Rates!$C$17),"-",IF(AND($B$4="Salary Points 1 to 57",B110&lt;=Thresholds_Rates!$C$17),$C110*Thresholds_Rates!$F$17,IF(AND(OR($B$4="New Consultant Contract"),$B110&lt;&gt;""),$C110*Thresholds_Rates!$F$17,IF(AND(OR($B$4="Clinical Lecturer / Medical Research Fellow",$B$4="Clinical Consultant - Old Contract (GP)"),$B110&lt;&gt;""),$C110*Thresholds_Rates!$F$17,IF(AND(OR($B$4="APM Level 7",$B$4="R&amp;T Level 7"),F110&lt;&gt;""),$C110*Thresholds_Rates!$F$17,IF(SUMIF(Grades!$A:$A,$B$4,Grades!$BQ:$BQ)=1,$C110*Thresholds_Rates!$F$17,""))))))))</f>
        <v/>
      </c>
      <c r="H110" s="25"/>
      <c r="I110" s="25" t="str">
        <f ca="1">IF(B110="","",(C110*Thresholds_Rates!$C$12))</f>
        <v/>
      </c>
      <c r="J110" s="25"/>
      <c r="K110" s="4"/>
      <c r="L110" s="25" t="str">
        <f t="shared" ca="1" si="8"/>
        <v/>
      </c>
      <c r="M110" s="25" t="str">
        <f t="shared" ca="1" si="9"/>
        <v/>
      </c>
      <c r="N110" s="25" t="str">
        <f t="shared" ca="1" si="10"/>
        <v/>
      </c>
      <c r="O110" s="25" t="str">
        <f t="shared" ca="1" si="11"/>
        <v/>
      </c>
      <c r="P110" s="25" t="str">
        <f t="shared" ca="1" si="12"/>
        <v/>
      </c>
      <c r="R110" s="28"/>
      <c r="S110" s="29"/>
      <c r="T110" s="28"/>
      <c r="U110" s="29"/>
    </row>
    <row r="111" spans="2:21" x14ac:dyDescent="0.25">
      <c r="B111" s="4" t="str">
        <f ca="1">IFERROR(INDEX(Points_Lookup!$A:$A,MATCH($Z113,Points_Lookup!$AE:$AE,0)),"")</f>
        <v/>
      </c>
      <c r="C111" s="25" t="str">
        <f ca="1">IF(B111="","",IF($B$4="Apprenticeship",SUMIF(Points_Lookup!$AA:$AA,B111,Points_Lookup!$AC:$AC),IF(AND(OR($B$4="New Consultant Contract"),$B111&lt;&gt;""),INDEX(Points_Lookup!$K:$K,MATCH($B111,Points_Lookup!$J:$J,0)),IF(AND(OR($B$4="Clinical Lecturer / Medical Research Fellow",$B$4="Clinical Consultant - Old Contract (GP)"),$B111&lt;&gt;""),INDEX(Points_Lookup!$H:$H,MATCH($B111,Points_Lookup!$G:$G,0)),IF(AND(OR($B$4="APM Level 7",$B$4="R&amp;T Level 7",$B$4="APM Level 8"),B111&lt;&gt;""),INDEX(Points_Lookup!$E:$E,MATCH($Z111,Points_Lookup!$AE:$AE,0)),IF($B$4="R&amp;T Level 5 - Clinical Lecturers (Vet School)",SUMIF(Points_Lookup!$M:$M,$B111,Points_Lookup!$P:$P),IF($B$4="R&amp;T Level 6 - Clinical Associate Professors and Clinical Readers (Vet School)",SUMIF(Points_Lookup!$T:$T,$B111,Points_Lookup!$W:$W),IFERROR(INDEX(Points_Lookup!$B:$B,MATCH($Z111,Points_Lookup!$AE:$AE,0)),""))))))))</f>
        <v/>
      </c>
      <c r="D111" s="36"/>
      <c r="E111" s="25" t="str">
        <f ca="1">IF($B111="","",IF(AND($B$4="Salary Points 3 to 57",B111&lt;Thresholds_Rates!$C$16),"-",IF(SUMIF(Grades!$A:$A,$B$4,Grades!$BO:$BO)=0,"-",IF(AND($B$4="Salary Points 3 to 57",B111&gt;=Thresholds_Rates!$C$16),$C111*Thresholds_Rates!$F$15,IF(AND(OR($B$4="New Consultant Contract"),$B111&lt;&gt;""),$C111*Thresholds_Rates!$F$15,IF(AND(OR($B$4="Clinical Lecturer / Medical Research Fellow",$B$4="Clinical Consultant - Old Contract (GP)"),$B111&lt;&gt;""),$C111*Thresholds_Rates!$F$15,IF(OR($B$4="APM Level 7",$B$4="R&amp;T Level 7"),$C111*Thresholds_Rates!$F$15,IF(SUMIF(Grades!$A:$A,$B$4,Grades!$BO:$BO)=1,$C111*Thresholds_Rates!$F$15,""))))))))</f>
        <v/>
      </c>
      <c r="F111" s="25" t="str">
        <f ca="1">IF(B111="","",IF($B$4="Salary Points 1 to 57","-",IF(SUMIF(Grades!$A:$A,$B$4,Grades!$BP:$BP)=0,"-",IF(AND(OR($B$4="New Consultant Contract"),$B111&lt;&gt;""),$C111*Thresholds_Rates!$F$16,IF(AND(OR($B$4="Clinical Lecturer / Medical Research Fellow",$B$4="Clinical Consultant - Old Contract (GP)"),$B111&lt;&gt;""),$C111*Thresholds_Rates!$F$16,IF(AND(OR($B$4="APM Level 7",$B$4="R&amp;T Level 7"),E111&lt;&gt;""),$C111*Thresholds_Rates!$F$16,IF(SUMIF(Grades!$A:$A,$B$4,Grades!$BP:$BP)=1,$C111*Thresholds_Rates!$F$16,"")))))))</f>
        <v/>
      </c>
      <c r="G111" s="25" t="str">
        <f ca="1">IF(B111="","",IF(SUMIF(Grades!$A:$A,$B$4,Grades!$BQ:$BQ)=0,"-",IF(AND($B$4="Salary Points 1 to 57",B111&gt;Thresholds_Rates!$C$17),"-",IF(AND($B$4="Salary Points 1 to 57",B111&lt;=Thresholds_Rates!$C$17),$C111*Thresholds_Rates!$F$17,IF(AND(OR($B$4="New Consultant Contract"),$B111&lt;&gt;""),$C111*Thresholds_Rates!$F$17,IF(AND(OR($B$4="Clinical Lecturer / Medical Research Fellow",$B$4="Clinical Consultant - Old Contract (GP)"),$B111&lt;&gt;""),$C111*Thresholds_Rates!$F$17,IF(AND(OR($B$4="APM Level 7",$B$4="R&amp;T Level 7"),F111&lt;&gt;""),$C111*Thresholds_Rates!$F$17,IF(SUMIF(Grades!$A:$A,$B$4,Grades!$BQ:$BQ)=1,$C111*Thresholds_Rates!$F$17,""))))))))</f>
        <v/>
      </c>
      <c r="H111" s="25"/>
      <c r="I111" s="25" t="str">
        <f ca="1">IF(B111="","",(C111*Thresholds_Rates!$C$12))</f>
        <v/>
      </c>
      <c r="J111" s="25"/>
      <c r="K111" s="4"/>
      <c r="L111" s="25" t="str">
        <f t="shared" ca="1" si="8"/>
        <v/>
      </c>
      <c r="M111" s="25" t="str">
        <f t="shared" ca="1" si="9"/>
        <v/>
      </c>
      <c r="N111" s="25" t="str">
        <f t="shared" ca="1" si="10"/>
        <v/>
      </c>
      <c r="O111" s="25" t="str">
        <f t="shared" ca="1" si="11"/>
        <v/>
      </c>
      <c r="P111" s="25" t="str">
        <f t="shared" ca="1" si="12"/>
        <v/>
      </c>
      <c r="R111" s="28"/>
      <c r="S111" s="29"/>
      <c r="T111" s="28"/>
      <c r="U111" s="29"/>
    </row>
    <row r="112" spans="2:21" x14ac:dyDescent="0.25">
      <c r="B112" s="4" t="str">
        <f ca="1">IFERROR(INDEX(Points_Lookup!$A:$A,MATCH($Z114,Points_Lookup!$AE:$AE,0)),"")</f>
        <v/>
      </c>
      <c r="C112" s="25" t="str">
        <f ca="1">IF(B112="","",IF($B$4="Apprenticeship",SUMIF(Points_Lookup!$AA:$AA,B112,Points_Lookup!$AC:$AC),IF(AND(OR($B$4="New Consultant Contract"),$B112&lt;&gt;""),INDEX(Points_Lookup!$K:$K,MATCH($B112,Points_Lookup!$J:$J,0)),IF(AND(OR($B$4="Clinical Lecturer / Medical Research Fellow",$B$4="Clinical Consultant - Old Contract (GP)"),$B112&lt;&gt;""),INDEX(Points_Lookup!$H:$H,MATCH($B112,Points_Lookup!$G:$G,0)),IF(AND(OR($B$4="APM Level 7",$B$4="R&amp;T Level 7",$B$4="APM Level 8"),B112&lt;&gt;""),INDEX(Points_Lookup!$E:$E,MATCH($Z112,Points_Lookup!$AE:$AE,0)),IF($B$4="R&amp;T Level 5 - Clinical Lecturers (Vet School)",SUMIF(Points_Lookup!$M:$M,$B112,Points_Lookup!$P:$P),IF($B$4="R&amp;T Level 6 - Clinical Associate Professors and Clinical Readers (Vet School)",SUMIF(Points_Lookup!$T:$T,$B112,Points_Lookup!$W:$W),IFERROR(INDEX(Points_Lookup!$B:$B,MATCH($Z112,Points_Lookup!$AE:$AE,0)),""))))))))</f>
        <v/>
      </c>
      <c r="D112" s="36"/>
      <c r="E112" s="25" t="str">
        <f ca="1">IF($B112="","",IF(AND($B$4="Salary Points 3 to 57",B112&lt;Thresholds_Rates!$C$16),"-",IF(SUMIF(Grades!$A:$A,$B$4,Grades!$BO:$BO)=0,"-",IF(AND($B$4="Salary Points 3 to 57",B112&gt;=Thresholds_Rates!$C$16),$C112*Thresholds_Rates!$F$15,IF(AND(OR($B$4="New Consultant Contract"),$B112&lt;&gt;""),$C112*Thresholds_Rates!$F$15,IF(AND(OR($B$4="Clinical Lecturer / Medical Research Fellow",$B$4="Clinical Consultant - Old Contract (GP)"),$B112&lt;&gt;""),$C112*Thresholds_Rates!$F$15,IF(OR($B$4="APM Level 7",$B$4="R&amp;T Level 7"),$C112*Thresholds_Rates!$F$15,IF(SUMIF(Grades!$A:$A,$B$4,Grades!$BO:$BO)=1,$C112*Thresholds_Rates!$F$15,""))))))))</f>
        <v/>
      </c>
      <c r="F112" s="25" t="str">
        <f ca="1">IF(B112="","",IF($B$4="Salary Points 1 to 57","-",IF(SUMIF(Grades!$A:$A,$B$4,Grades!$BP:$BP)=0,"-",IF(AND(OR($B$4="New Consultant Contract"),$B112&lt;&gt;""),$C112*Thresholds_Rates!$F$16,IF(AND(OR($B$4="Clinical Lecturer / Medical Research Fellow",$B$4="Clinical Consultant - Old Contract (GP)"),$B112&lt;&gt;""),$C112*Thresholds_Rates!$F$16,IF(AND(OR($B$4="APM Level 7",$B$4="R&amp;T Level 7"),E112&lt;&gt;""),$C112*Thresholds_Rates!$F$16,IF(SUMIF(Grades!$A:$A,$B$4,Grades!$BP:$BP)=1,$C112*Thresholds_Rates!$F$16,"")))))))</f>
        <v/>
      </c>
      <c r="G112" s="25" t="str">
        <f ca="1">IF(B112="","",IF(SUMIF(Grades!$A:$A,$B$4,Grades!$BQ:$BQ)=0,"-",IF(AND($B$4="Salary Points 1 to 57",B112&gt;Thresholds_Rates!$C$17),"-",IF(AND($B$4="Salary Points 1 to 57",B112&lt;=Thresholds_Rates!$C$17),$C112*Thresholds_Rates!$F$17,IF(AND(OR($B$4="New Consultant Contract"),$B112&lt;&gt;""),$C112*Thresholds_Rates!$F$17,IF(AND(OR($B$4="Clinical Lecturer / Medical Research Fellow",$B$4="Clinical Consultant - Old Contract (GP)"),$B112&lt;&gt;""),$C112*Thresholds_Rates!$F$17,IF(AND(OR($B$4="APM Level 7",$B$4="R&amp;T Level 7"),F112&lt;&gt;""),$C112*Thresholds_Rates!$F$17,IF(SUMIF(Grades!$A:$A,$B$4,Grades!$BQ:$BQ)=1,$C112*Thresholds_Rates!$F$17,""))))))))</f>
        <v/>
      </c>
      <c r="H112" s="25"/>
      <c r="I112" s="25" t="str">
        <f ca="1">IF(B112="","",(C112*Thresholds_Rates!$C$12))</f>
        <v/>
      </c>
      <c r="J112" s="25"/>
      <c r="K112" s="4"/>
      <c r="L112" s="25" t="str">
        <f t="shared" ca="1" si="8"/>
        <v/>
      </c>
      <c r="M112" s="25" t="str">
        <f t="shared" ca="1" si="9"/>
        <v/>
      </c>
      <c r="N112" s="25" t="str">
        <f t="shared" ca="1" si="10"/>
        <v/>
      </c>
      <c r="O112" s="25" t="str">
        <f t="shared" ca="1" si="11"/>
        <v/>
      </c>
      <c r="P112" s="25" t="str">
        <f t="shared" ca="1" si="12"/>
        <v/>
      </c>
      <c r="R112" s="28"/>
      <c r="S112" s="29"/>
      <c r="T112" s="28"/>
      <c r="U112" s="29"/>
    </row>
    <row r="113" spans="2:21" x14ac:dyDescent="0.25">
      <c r="B113" s="4" t="str">
        <f ca="1">IFERROR(INDEX(Points_Lookup!$A:$A,MATCH($Z115,Points_Lookup!$AE:$AE,0)),"")</f>
        <v/>
      </c>
      <c r="C113" s="25" t="str">
        <f ca="1">IF(B113="","",IF($B$4="Apprenticeship",SUMIF(Points_Lookup!$AA:$AA,B113,Points_Lookup!$AC:$AC),IF(AND(OR($B$4="New Consultant Contract"),$B113&lt;&gt;""),INDEX(Points_Lookup!$K:$K,MATCH($B113,Points_Lookup!$J:$J,0)),IF(AND(OR($B$4="Clinical Lecturer / Medical Research Fellow",$B$4="Clinical Consultant - Old Contract (GP)"),$B113&lt;&gt;""),INDEX(Points_Lookup!$H:$H,MATCH($B113,Points_Lookup!$G:$G,0)),IF(AND(OR($B$4="APM Level 7",$B$4="R&amp;T Level 7",$B$4="APM Level 8"),B113&lt;&gt;""),INDEX(Points_Lookup!$E:$E,MATCH($Z113,Points_Lookup!$AE:$AE,0)),IF($B$4="R&amp;T Level 5 - Clinical Lecturers (Vet School)",SUMIF(Points_Lookup!$M:$M,$B113,Points_Lookup!$P:$P),IF($B$4="R&amp;T Level 6 - Clinical Associate Professors and Clinical Readers (Vet School)",SUMIF(Points_Lookup!$T:$T,$B113,Points_Lookup!$W:$W),IFERROR(INDEX(Points_Lookup!$B:$B,MATCH($Z113,Points_Lookup!$AE:$AE,0)),""))))))))</f>
        <v/>
      </c>
      <c r="D113" s="36"/>
      <c r="E113" s="25" t="str">
        <f ca="1">IF($B113="","",IF(AND($B$4="Salary Points 3 to 57",B113&lt;Thresholds_Rates!$C$16),"-",IF(SUMIF(Grades!$A:$A,$B$4,Grades!$BO:$BO)=0,"-",IF(AND($B$4="Salary Points 3 to 57",B113&gt;=Thresholds_Rates!$C$16),$C113*Thresholds_Rates!$F$15,IF(AND(OR($B$4="New Consultant Contract"),$B113&lt;&gt;""),$C113*Thresholds_Rates!$F$15,IF(AND(OR($B$4="Clinical Lecturer / Medical Research Fellow",$B$4="Clinical Consultant - Old Contract (GP)"),$B113&lt;&gt;""),$C113*Thresholds_Rates!$F$15,IF(OR($B$4="APM Level 7",$B$4="R&amp;T Level 7"),$C113*Thresholds_Rates!$F$15,IF(SUMIF(Grades!$A:$A,$B$4,Grades!$BO:$BO)=1,$C113*Thresholds_Rates!$F$15,""))))))))</f>
        <v/>
      </c>
      <c r="F113" s="25" t="str">
        <f ca="1">IF(B113="","",IF($B$4="Salary Points 1 to 57","-",IF(SUMIF(Grades!$A:$A,$B$4,Grades!$BP:$BP)=0,"-",IF(AND(OR($B$4="New Consultant Contract"),$B113&lt;&gt;""),$C113*Thresholds_Rates!$F$16,IF(AND(OR($B$4="Clinical Lecturer / Medical Research Fellow",$B$4="Clinical Consultant - Old Contract (GP)"),$B113&lt;&gt;""),$C113*Thresholds_Rates!$F$16,IF(AND(OR($B$4="APM Level 7",$B$4="R&amp;T Level 7"),E113&lt;&gt;""),$C113*Thresholds_Rates!$F$16,IF(SUMIF(Grades!$A:$A,$B$4,Grades!$BP:$BP)=1,$C113*Thresholds_Rates!$F$16,"")))))))</f>
        <v/>
      </c>
      <c r="G113" s="25" t="str">
        <f ca="1">IF(B113="","",IF(SUMIF(Grades!$A:$A,$B$4,Grades!$BQ:$BQ)=0,"-",IF(AND($B$4="Salary Points 1 to 57",B113&gt;Thresholds_Rates!$C$17),"-",IF(AND($B$4="Salary Points 1 to 57",B113&lt;=Thresholds_Rates!$C$17),$C113*Thresholds_Rates!$F$17,IF(AND(OR($B$4="New Consultant Contract"),$B113&lt;&gt;""),$C113*Thresholds_Rates!$F$17,IF(AND(OR($B$4="Clinical Lecturer / Medical Research Fellow",$B$4="Clinical Consultant - Old Contract (GP)"),$B113&lt;&gt;""),$C113*Thresholds_Rates!$F$17,IF(AND(OR($B$4="APM Level 7",$B$4="R&amp;T Level 7"),F113&lt;&gt;""),$C113*Thresholds_Rates!$F$17,IF(SUMIF(Grades!$A:$A,$B$4,Grades!$BQ:$BQ)=1,$C113*Thresholds_Rates!$F$17,""))))))))</f>
        <v/>
      </c>
      <c r="H113" s="25"/>
      <c r="I113" s="25" t="str">
        <f ca="1">IF(B113="","",(C113*Thresholds_Rates!$C$12))</f>
        <v/>
      </c>
      <c r="J113" s="25"/>
      <c r="K113" s="4"/>
      <c r="L113" s="25" t="str">
        <f t="shared" ca="1" si="8"/>
        <v/>
      </c>
      <c r="M113" s="25" t="str">
        <f t="shared" ca="1" si="9"/>
        <v/>
      </c>
      <c r="N113" s="25" t="str">
        <f t="shared" ca="1" si="10"/>
        <v/>
      </c>
      <c r="O113" s="25" t="str">
        <f t="shared" ca="1" si="11"/>
        <v/>
      </c>
      <c r="P113" s="25" t="str">
        <f t="shared" ca="1" si="12"/>
        <v/>
      </c>
      <c r="R113" s="28"/>
      <c r="S113" s="29"/>
      <c r="T113" s="28"/>
      <c r="U113" s="29"/>
    </row>
    <row r="114" spans="2:21" x14ac:dyDescent="0.25">
      <c r="B114" s="4" t="str">
        <f ca="1">IFERROR(INDEX(Points_Lookup!$A:$A,MATCH($Z116,Points_Lookup!$AE:$AE,0)),"")</f>
        <v/>
      </c>
      <c r="C114" s="25" t="str">
        <f ca="1">IF(B114="","",IF($B$4="Apprenticeship",SUMIF(Points_Lookup!$AA:$AA,B114,Points_Lookup!$AC:$AC),IF(AND(OR($B$4="New Consultant Contract"),$B114&lt;&gt;""),INDEX(Points_Lookup!$K:$K,MATCH($B114,Points_Lookup!$J:$J,0)),IF(AND(OR($B$4="Clinical Lecturer / Medical Research Fellow",$B$4="Clinical Consultant - Old Contract (GP)"),$B114&lt;&gt;""),INDEX(Points_Lookup!$H:$H,MATCH($B114,Points_Lookup!$G:$G,0)),IF(AND(OR($B$4="APM Level 7",$B$4="R&amp;T Level 7",$B$4="APM Level 8"),B114&lt;&gt;""),INDEX(Points_Lookup!$E:$E,MATCH($Z114,Points_Lookup!$AE:$AE,0)),IF($B$4="R&amp;T Level 5 - Clinical Lecturers (Vet School)",SUMIF(Points_Lookup!$M:$M,$B114,Points_Lookup!$P:$P),IF($B$4="R&amp;T Level 6 - Clinical Associate Professors and Clinical Readers (Vet School)",SUMIF(Points_Lookup!$T:$T,$B114,Points_Lookup!$W:$W),IFERROR(INDEX(Points_Lookup!$B:$B,MATCH($Z114,Points_Lookup!$AE:$AE,0)),""))))))))</f>
        <v/>
      </c>
      <c r="D114" s="36"/>
      <c r="E114" s="25" t="str">
        <f ca="1">IF($B114="","",IF(AND($B$4="Salary Points 3 to 57",B114&lt;Thresholds_Rates!$C$16),"-",IF(SUMIF(Grades!$A:$A,$B$4,Grades!$BO:$BO)=0,"-",IF(AND($B$4="Salary Points 3 to 57",B114&gt;=Thresholds_Rates!$C$16),$C114*Thresholds_Rates!$F$15,IF(AND(OR($B$4="New Consultant Contract"),$B114&lt;&gt;""),$C114*Thresholds_Rates!$F$15,IF(AND(OR($B$4="Clinical Lecturer / Medical Research Fellow",$B$4="Clinical Consultant - Old Contract (GP)"),$B114&lt;&gt;""),$C114*Thresholds_Rates!$F$15,IF(OR($B$4="APM Level 7",$B$4="R&amp;T Level 7"),$C114*Thresholds_Rates!$F$15,IF(SUMIF(Grades!$A:$A,$B$4,Grades!$BO:$BO)=1,$C114*Thresholds_Rates!$F$15,""))))))))</f>
        <v/>
      </c>
      <c r="F114" s="25" t="str">
        <f ca="1">IF(B114="","",IF($B$4="Salary Points 1 to 57","-",IF(SUMIF(Grades!$A:$A,$B$4,Grades!$BP:$BP)=0,"-",IF(AND(OR($B$4="New Consultant Contract"),$B114&lt;&gt;""),$C114*Thresholds_Rates!$F$16,IF(AND(OR($B$4="Clinical Lecturer / Medical Research Fellow",$B$4="Clinical Consultant - Old Contract (GP)"),$B114&lt;&gt;""),$C114*Thresholds_Rates!$F$16,IF(AND(OR($B$4="APM Level 7",$B$4="R&amp;T Level 7"),E114&lt;&gt;""),$C114*Thresholds_Rates!$F$16,IF(SUMIF(Grades!$A:$A,$B$4,Grades!$BP:$BP)=1,$C114*Thresholds_Rates!$F$16,"")))))))</f>
        <v/>
      </c>
      <c r="G114" s="25" t="str">
        <f ca="1">IF(B114="","",IF(SUMIF(Grades!$A:$A,$B$4,Grades!$BQ:$BQ)=0,"-",IF(AND($B$4="Salary Points 1 to 57",B114&gt;Thresholds_Rates!$C$17),"-",IF(AND($B$4="Salary Points 1 to 57",B114&lt;=Thresholds_Rates!$C$17),$C114*Thresholds_Rates!$F$17,IF(AND(OR($B$4="New Consultant Contract"),$B114&lt;&gt;""),$C114*Thresholds_Rates!$F$17,IF(AND(OR($B$4="Clinical Lecturer / Medical Research Fellow",$B$4="Clinical Consultant - Old Contract (GP)"),$B114&lt;&gt;""),$C114*Thresholds_Rates!$F$17,IF(AND(OR($B$4="APM Level 7",$B$4="R&amp;T Level 7"),F114&lt;&gt;""),$C114*Thresholds_Rates!$F$17,IF(SUMIF(Grades!$A:$A,$B$4,Grades!$BQ:$BQ)=1,$C114*Thresholds_Rates!$F$17,""))))))))</f>
        <v/>
      </c>
      <c r="H114" s="25"/>
      <c r="I114" s="25" t="str">
        <f ca="1">IF(B114="","",(C114*Thresholds_Rates!$C$12))</f>
        <v/>
      </c>
      <c r="J114" s="25"/>
      <c r="K114" s="4"/>
      <c r="L114" s="25" t="str">
        <f t="shared" ca="1" si="8"/>
        <v/>
      </c>
      <c r="M114" s="25" t="str">
        <f t="shared" ca="1" si="9"/>
        <v/>
      </c>
      <c r="N114" s="25" t="str">
        <f t="shared" ca="1" si="10"/>
        <v/>
      </c>
      <c r="O114" s="25" t="str">
        <f t="shared" ca="1" si="11"/>
        <v/>
      </c>
      <c r="P114" s="25" t="str">
        <f t="shared" ca="1" si="12"/>
        <v/>
      </c>
      <c r="R114" s="28"/>
      <c r="S114" s="29"/>
      <c r="T114" s="28"/>
      <c r="U114" s="29"/>
    </row>
    <row r="115" spans="2:21" x14ac:dyDescent="0.25">
      <c r="B115" s="4" t="str">
        <f ca="1">IFERROR(INDEX(Points_Lookup!$A:$A,MATCH($Z117,Points_Lookup!$AE:$AE,0)),"")</f>
        <v/>
      </c>
      <c r="C115" s="25" t="str">
        <f ca="1">IF(B115="","",IF($B$4="Apprenticeship",SUMIF(Points_Lookup!$AA:$AA,B115,Points_Lookup!$AC:$AC),IF(AND(OR($B$4="New Consultant Contract"),$B115&lt;&gt;""),INDEX(Points_Lookup!$K:$K,MATCH($B115,Points_Lookup!$J:$J,0)),IF(AND(OR($B$4="Clinical Lecturer / Medical Research Fellow",$B$4="Clinical Consultant - Old Contract (GP)"),$B115&lt;&gt;""),INDEX(Points_Lookup!$H:$H,MATCH($B115,Points_Lookup!$G:$G,0)),IF(AND(OR($B$4="APM Level 7",$B$4="R&amp;T Level 7",$B$4="APM Level 8"),B115&lt;&gt;""),INDEX(Points_Lookup!$E:$E,MATCH($Z115,Points_Lookup!$AE:$AE,0)),IF($B$4="R&amp;T Level 5 - Clinical Lecturers (Vet School)",SUMIF(Points_Lookup!$M:$M,$B115,Points_Lookup!$P:$P),IF($B$4="R&amp;T Level 6 - Clinical Associate Professors and Clinical Readers (Vet School)",SUMIF(Points_Lookup!$T:$T,$B115,Points_Lookup!$W:$W),IFERROR(INDEX(Points_Lookup!$B:$B,MATCH($Z115,Points_Lookup!$AE:$AE,0)),""))))))))</f>
        <v/>
      </c>
      <c r="D115" s="36"/>
      <c r="E115" s="25" t="str">
        <f ca="1">IF($B115="","",IF(AND($B$4="Salary Points 3 to 57",B115&lt;Thresholds_Rates!$C$16),"-",IF(SUMIF(Grades!$A:$A,$B$4,Grades!$BO:$BO)=0,"-",IF(AND($B$4="Salary Points 3 to 57",B115&gt;=Thresholds_Rates!$C$16),$C115*Thresholds_Rates!$F$15,IF(AND(OR($B$4="New Consultant Contract"),$B115&lt;&gt;""),$C115*Thresholds_Rates!$F$15,IF(AND(OR($B$4="Clinical Lecturer / Medical Research Fellow",$B$4="Clinical Consultant - Old Contract (GP)"),$B115&lt;&gt;""),$C115*Thresholds_Rates!$F$15,IF(OR($B$4="APM Level 7",$B$4="R&amp;T Level 7"),$C115*Thresholds_Rates!$F$15,IF(SUMIF(Grades!$A:$A,$B$4,Grades!$BO:$BO)=1,$C115*Thresholds_Rates!$F$15,""))))))))</f>
        <v/>
      </c>
      <c r="F115" s="25" t="str">
        <f ca="1">IF(B115="","",IF($B$4="Salary Points 1 to 57","-",IF(SUMIF(Grades!$A:$A,$B$4,Grades!$BP:$BP)=0,"-",IF(AND(OR($B$4="New Consultant Contract"),$B115&lt;&gt;""),$C115*Thresholds_Rates!$F$16,IF(AND(OR($B$4="Clinical Lecturer / Medical Research Fellow",$B$4="Clinical Consultant - Old Contract (GP)"),$B115&lt;&gt;""),$C115*Thresholds_Rates!$F$16,IF(AND(OR($B$4="APM Level 7",$B$4="R&amp;T Level 7"),E115&lt;&gt;""),$C115*Thresholds_Rates!$F$16,IF(SUMIF(Grades!$A:$A,$B$4,Grades!$BP:$BP)=1,$C115*Thresholds_Rates!$F$16,"")))))))</f>
        <v/>
      </c>
      <c r="G115" s="25" t="str">
        <f ca="1">IF(B115="","",IF(SUMIF(Grades!$A:$A,$B$4,Grades!$BQ:$BQ)=0,"-",IF(AND($B$4="Salary Points 1 to 57",B115&gt;Thresholds_Rates!$C$17),"-",IF(AND($B$4="Salary Points 1 to 57",B115&lt;=Thresholds_Rates!$C$17),$C115*Thresholds_Rates!$F$17,IF(AND(OR($B$4="New Consultant Contract"),$B115&lt;&gt;""),$C115*Thresholds_Rates!$F$17,IF(AND(OR($B$4="Clinical Lecturer / Medical Research Fellow",$B$4="Clinical Consultant - Old Contract (GP)"),$B115&lt;&gt;""),$C115*Thresholds_Rates!$F$17,IF(AND(OR($B$4="APM Level 7",$B$4="R&amp;T Level 7"),F115&lt;&gt;""),$C115*Thresholds_Rates!$F$17,IF(SUMIF(Grades!$A:$A,$B$4,Grades!$BQ:$BQ)=1,$C115*Thresholds_Rates!$F$17,""))))))))</f>
        <v/>
      </c>
      <c r="H115" s="25"/>
      <c r="I115" s="25" t="str">
        <f ca="1">IF(B115="","",(C115*Thresholds_Rates!$C$12))</f>
        <v/>
      </c>
      <c r="J115" s="25"/>
      <c r="K115" s="4"/>
      <c r="L115" s="25" t="str">
        <f t="shared" ca="1" si="8"/>
        <v/>
      </c>
      <c r="M115" s="25" t="str">
        <f t="shared" ca="1" si="9"/>
        <v/>
      </c>
      <c r="N115" s="25" t="str">
        <f t="shared" ca="1" si="10"/>
        <v/>
      </c>
      <c r="O115" s="25" t="str">
        <f t="shared" ca="1" si="11"/>
        <v/>
      </c>
      <c r="P115" s="25" t="str">
        <f t="shared" ca="1" si="12"/>
        <v/>
      </c>
      <c r="R115" s="28"/>
      <c r="S115" s="29"/>
      <c r="T115" s="28"/>
      <c r="U115" s="29"/>
    </row>
    <row r="116" spans="2:21" x14ac:dyDescent="0.25">
      <c r="B116" s="4" t="str">
        <f ca="1">IFERROR(INDEX(Points_Lookup!$A:$A,MATCH($Z118,Points_Lookup!$AE:$AE,0)),"")</f>
        <v/>
      </c>
      <c r="C116" s="25" t="str">
        <f ca="1">IF(B116="","",IF($B$4="Apprenticeship",SUMIF(Points_Lookup!$AA:$AA,B116,Points_Lookup!$AC:$AC),IF(AND(OR($B$4="New Consultant Contract"),$B116&lt;&gt;""),INDEX(Points_Lookup!$K:$K,MATCH($B116,Points_Lookup!$J:$J,0)),IF(AND(OR($B$4="Clinical Lecturer / Medical Research Fellow",$B$4="Clinical Consultant - Old Contract (GP)"),$B116&lt;&gt;""),INDEX(Points_Lookup!$H:$H,MATCH($B116,Points_Lookup!$G:$G,0)),IF(AND(OR($B$4="APM Level 7",$B$4="R&amp;T Level 7",$B$4="APM Level 8"),B116&lt;&gt;""),INDEX(Points_Lookup!$E:$E,MATCH($Z116,Points_Lookup!$AE:$AE,0)),IF($B$4="R&amp;T Level 5 - Clinical Lecturers (Vet School)",SUMIF(Points_Lookup!$M:$M,$B116,Points_Lookup!$P:$P),IF($B$4="R&amp;T Level 6 - Clinical Associate Professors and Clinical Readers (Vet School)",SUMIF(Points_Lookup!$T:$T,$B116,Points_Lookup!$W:$W),IFERROR(INDEX(Points_Lookup!$B:$B,MATCH($Z116,Points_Lookup!$AE:$AE,0)),""))))))))</f>
        <v/>
      </c>
      <c r="D116" s="36"/>
      <c r="E116" s="25" t="str">
        <f ca="1">IF($B116="","",IF(AND($B$4="Salary Points 3 to 57",B116&lt;Thresholds_Rates!$C$16),"-",IF(SUMIF(Grades!$A:$A,$B$4,Grades!$BO:$BO)=0,"-",IF(AND($B$4="Salary Points 3 to 57",B116&gt;=Thresholds_Rates!$C$16),$C116*Thresholds_Rates!$F$15,IF(AND(OR($B$4="New Consultant Contract"),$B116&lt;&gt;""),$C116*Thresholds_Rates!$F$15,IF(AND(OR($B$4="Clinical Lecturer / Medical Research Fellow",$B$4="Clinical Consultant - Old Contract (GP)"),$B116&lt;&gt;""),$C116*Thresholds_Rates!$F$15,IF(OR($B$4="APM Level 7",$B$4="R&amp;T Level 7"),$C116*Thresholds_Rates!$F$15,IF(SUMIF(Grades!$A:$A,$B$4,Grades!$BO:$BO)=1,$C116*Thresholds_Rates!$F$15,""))))))))</f>
        <v/>
      </c>
      <c r="F116" s="25" t="str">
        <f ca="1">IF(B116="","",IF($B$4="Salary Points 1 to 57","-",IF(SUMIF(Grades!$A:$A,$B$4,Grades!$BP:$BP)=0,"-",IF(AND(OR($B$4="New Consultant Contract"),$B116&lt;&gt;""),$C116*Thresholds_Rates!$F$16,IF(AND(OR($B$4="Clinical Lecturer / Medical Research Fellow",$B$4="Clinical Consultant - Old Contract (GP)"),$B116&lt;&gt;""),$C116*Thresholds_Rates!$F$16,IF(AND(OR($B$4="APM Level 7",$B$4="R&amp;T Level 7"),E116&lt;&gt;""),$C116*Thresholds_Rates!$F$16,IF(SUMIF(Grades!$A:$A,$B$4,Grades!$BP:$BP)=1,$C116*Thresholds_Rates!$F$16,"")))))))</f>
        <v/>
      </c>
      <c r="G116" s="25" t="str">
        <f ca="1">IF(B116="","",IF(SUMIF(Grades!$A:$A,$B$4,Grades!$BQ:$BQ)=0,"-",IF(AND($B$4="Salary Points 1 to 57",B116&gt;Thresholds_Rates!$C$17),"-",IF(AND($B$4="Salary Points 1 to 57",B116&lt;=Thresholds_Rates!$C$17),$C116*Thresholds_Rates!$F$17,IF(AND(OR($B$4="New Consultant Contract"),$B116&lt;&gt;""),$C116*Thresholds_Rates!$F$17,IF(AND(OR($B$4="Clinical Lecturer / Medical Research Fellow",$B$4="Clinical Consultant - Old Contract (GP)"),$B116&lt;&gt;""),$C116*Thresholds_Rates!$F$17,IF(AND(OR($B$4="APM Level 7",$B$4="R&amp;T Level 7"),F116&lt;&gt;""),$C116*Thresholds_Rates!$F$17,IF(SUMIF(Grades!$A:$A,$B$4,Grades!$BQ:$BQ)=1,$C116*Thresholds_Rates!$F$17,""))))))))</f>
        <v/>
      </c>
      <c r="H116" s="25"/>
      <c r="I116" s="25" t="str">
        <f ca="1">IF(B116="","",(C116*Thresholds_Rates!$C$12))</f>
        <v/>
      </c>
      <c r="J116" s="25"/>
      <c r="K116" s="4"/>
      <c r="L116" s="25" t="str">
        <f t="shared" ca="1" si="8"/>
        <v/>
      </c>
      <c r="M116" s="25" t="str">
        <f t="shared" ca="1" si="9"/>
        <v/>
      </c>
      <c r="N116" s="25" t="str">
        <f t="shared" ca="1" si="10"/>
        <v/>
      </c>
      <c r="O116" s="25" t="str">
        <f t="shared" ca="1" si="11"/>
        <v/>
      </c>
      <c r="P116" s="25" t="str">
        <f t="shared" ca="1" si="12"/>
        <v/>
      </c>
      <c r="R116" s="28"/>
      <c r="S116" s="29"/>
      <c r="T116" s="28"/>
      <c r="U116" s="29"/>
    </row>
    <row r="117" spans="2:21" x14ac:dyDescent="0.25">
      <c r="B117" s="4" t="str">
        <f ca="1">IFERROR(INDEX(Points_Lookup!$A:$A,MATCH($Z119,Points_Lookup!$AE:$AE,0)),"")</f>
        <v/>
      </c>
      <c r="C117" s="25" t="str">
        <f ca="1">IF(B117="","",IF($B$4="Apprenticeship",SUMIF(Points_Lookup!$AA:$AA,B117,Points_Lookup!$AC:$AC),IF(AND(OR($B$4="New Consultant Contract"),$B117&lt;&gt;""),INDEX(Points_Lookup!$K:$K,MATCH($B117,Points_Lookup!$J:$J,0)),IF(AND(OR($B$4="Clinical Lecturer / Medical Research Fellow",$B$4="Clinical Consultant - Old Contract (GP)"),$B117&lt;&gt;""),INDEX(Points_Lookup!$H:$H,MATCH($B117,Points_Lookup!$G:$G,0)),IF(AND(OR($B$4="APM Level 7",$B$4="R&amp;T Level 7",$B$4="APM Level 8"),B117&lt;&gt;""),INDEX(Points_Lookup!$E:$E,MATCH($Z117,Points_Lookup!$AE:$AE,0)),IF($B$4="R&amp;T Level 5 - Clinical Lecturers (Vet School)",SUMIF(Points_Lookup!$M:$M,$B117,Points_Lookup!$P:$P),IF($B$4="R&amp;T Level 6 - Clinical Associate Professors and Clinical Readers (Vet School)",SUMIF(Points_Lookup!$T:$T,$B117,Points_Lookup!$W:$W),IFERROR(INDEX(Points_Lookup!$B:$B,MATCH($Z117,Points_Lookup!$AE:$AE,0)),""))))))))</f>
        <v/>
      </c>
      <c r="D117" s="36"/>
      <c r="E117" s="25" t="str">
        <f ca="1">IF($B117="","",IF(AND($B$4="Salary Points 3 to 57",B117&lt;Thresholds_Rates!$C$16),"-",IF(SUMIF(Grades!$A:$A,$B$4,Grades!$BO:$BO)=0,"-",IF(AND($B$4="Salary Points 3 to 57",B117&gt;=Thresholds_Rates!$C$16),$C117*Thresholds_Rates!$F$15,IF(AND(OR($B$4="New Consultant Contract"),$B117&lt;&gt;""),$C117*Thresholds_Rates!$F$15,IF(AND(OR($B$4="Clinical Lecturer / Medical Research Fellow",$B$4="Clinical Consultant - Old Contract (GP)"),$B117&lt;&gt;""),$C117*Thresholds_Rates!$F$15,IF(OR($B$4="APM Level 7",$B$4="R&amp;T Level 7"),$C117*Thresholds_Rates!$F$15,IF(SUMIF(Grades!$A:$A,$B$4,Grades!$BO:$BO)=1,$C117*Thresholds_Rates!$F$15,""))))))))</f>
        <v/>
      </c>
      <c r="F117" s="25" t="str">
        <f ca="1">IF(B117="","",IF($B$4="Salary Points 1 to 57","-",IF(SUMIF(Grades!$A:$A,$B$4,Grades!$BP:$BP)=0,"-",IF(AND(OR($B$4="New Consultant Contract"),$B117&lt;&gt;""),$C117*Thresholds_Rates!$F$16,IF(AND(OR($B$4="Clinical Lecturer / Medical Research Fellow",$B$4="Clinical Consultant - Old Contract (GP)"),$B117&lt;&gt;""),$C117*Thresholds_Rates!$F$16,IF(AND(OR($B$4="APM Level 7",$B$4="R&amp;T Level 7"),E117&lt;&gt;""),$C117*Thresholds_Rates!$F$16,IF(SUMIF(Grades!$A:$A,$B$4,Grades!$BP:$BP)=1,$C117*Thresholds_Rates!$F$16,"")))))))</f>
        <v/>
      </c>
      <c r="G117" s="25" t="str">
        <f ca="1">IF(B117="","",IF(SUMIF(Grades!$A:$A,$B$4,Grades!$BQ:$BQ)=0,"-",IF(AND($B$4="Salary Points 1 to 57",B117&gt;Thresholds_Rates!$C$17),"-",IF(AND($B$4="Salary Points 1 to 57",B117&lt;=Thresholds_Rates!$C$17),$C117*Thresholds_Rates!$F$17,IF(AND(OR($B$4="New Consultant Contract"),$B117&lt;&gt;""),$C117*Thresholds_Rates!$F$17,IF(AND(OR($B$4="Clinical Lecturer / Medical Research Fellow",$B$4="Clinical Consultant - Old Contract (GP)"),$B117&lt;&gt;""),$C117*Thresholds_Rates!$F$17,IF(AND(OR($B$4="APM Level 7",$B$4="R&amp;T Level 7"),F117&lt;&gt;""),$C117*Thresholds_Rates!$F$17,IF(SUMIF(Grades!$A:$A,$B$4,Grades!$BQ:$BQ)=1,$C117*Thresholds_Rates!$F$17,""))))))))</f>
        <v/>
      </c>
      <c r="H117" s="25"/>
      <c r="I117" s="25" t="str">
        <f ca="1">IF(B117="","",(C117*Thresholds_Rates!$C$12))</f>
        <v/>
      </c>
      <c r="J117" s="25"/>
      <c r="K117" s="4"/>
      <c r="L117" s="25" t="str">
        <f t="shared" ca="1" si="8"/>
        <v/>
      </c>
      <c r="M117" s="25" t="str">
        <f t="shared" ca="1" si="9"/>
        <v/>
      </c>
      <c r="N117" s="25" t="str">
        <f t="shared" ca="1" si="10"/>
        <v/>
      </c>
      <c r="O117" s="25" t="str">
        <f t="shared" ca="1" si="11"/>
        <v/>
      </c>
      <c r="P117" s="25" t="str">
        <f t="shared" ca="1" si="12"/>
        <v/>
      </c>
      <c r="R117" s="28"/>
      <c r="S117" s="29"/>
      <c r="T117" s="28"/>
      <c r="U117" s="29"/>
    </row>
    <row r="118" spans="2:21" x14ac:dyDescent="0.25">
      <c r="B118" s="4" t="str">
        <f ca="1">IFERROR(INDEX(Points_Lookup!$A:$A,MATCH($Z120,Points_Lookup!$AE:$AE,0)),"")</f>
        <v/>
      </c>
      <c r="C118" s="25" t="str">
        <f ca="1">IF(B118="","",IF($B$4="Apprenticeship",SUMIF(Points_Lookup!$AA:$AA,B118,Points_Lookup!$AC:$AC),IF(AND(OR($B$4="New Consultant Contract"),$B118&lt;&gt;""),INDEX(Points_Lookup!$K:$K,MATCH($B118,Points_Lookup!$J:$J,0)),IF(AND(OR($B$4="Clinical Lecturer / Medical Research Fellow",$B$4="Clinical Consultant - Old Contract (GP)"),$B118&lt;&gt;""),INDEX(Points_Lookup!$H:$H,MATCH($B118,Points_Lookup!$G:$G,0)),IF(AND(OR($B$4="APM Level 7",$B$4="R&amp;T Level 7",$B$4="APM Level 8"),B118&lt;&gt;""),INDEX(Points_Lookup!$E:$E,MATCH($Z118,Points_Lookup!$AE:$AE,0)),IF($B$4="R&amp;T Level 5 - Clinical Lecturers (Vet School)",SUMIF(Points_Lookup!$M:$M,$B118,Points_Lookup!$P:$P),IF($B$4="R&amp;T Level 6 - Clinical Associate Professors and Clinical Readers (Vet School)",SUMIF(Points_Lookup!$T:$T,$B118,Points_Lookup!$W:$W),IFERROR(INDEX(Points_Lookup!$B:$B,MATCH($Z118,Points_Lookup!$AE:$AE,0)),""))))))))</f>
        <v/>
      </c>
      <c r="D118" s="36"/>
      <c r="E118" s="25" t="str">
        <f ca="1">IF($B118="","",IF(AND($B$4="Salary Points 3 to 57",B118&lt;Thresholds_Rates!$C$16),"-",IF(SUMIF(Grades!$A:$A,$B$4,Grades!$BO:$BO)=0,"-",IF(AND($B$4="Salary Points 3 to 57",B118&gt;=Thresholds_Rates!$C$16),$C118*Thresholds_Rates!$F$15,IF(AND(OR($B$4="New Consultant Contract"),$B118&lt;&gt;""),$C118*Thresholds_Rates!$F$15,IF(AND(OR($B$4="Clinical Lecturer / Medical Research Fellow",$B$4="Clinical Consultant - Old Contract (GP)"),$B118&lt;&gt;""),$C118*Thresholds_Rates!$F$15,IF(OR($B$4="APM Level 7",$B$4="R&amp;T Level 7"),$C118*Thresholds_Rates!$F$15,IF(SUMIF(Grades!$A:$A,$B$4,Grades!$BO:$BO)=1,$C118*Thresholds_Rates!$F$15,""))))))))</f>
        <v/>
      </c>
      <c r="F118" s="25" t="str">
        <f ca="1">IF(B118="","",IF($B$4="Salary Points 1 to 57","-",IF(SUMIF(Grades!$A:$A,$B$4,Grades!$BP:$BP)=0,"-",IF(AND(OR($B$4="New Consultant Contract"),$B118&lt;&gt;""),$C118*Thresholds_Rates!$F$16,IF(AND(OR($B$4="Clinical Lecturer / Medical Research Fellow",$B$4="Clinical Consultant - Old Contract (GP)"),$B118&lt;&gt;""),$C118*Thresholds_Rates!$F$16,IF(AND(OR($B$4="APM Level 7",$B$4="R&amp;T Level 7"),E118&lt;&gt;""),$C118*Thresholds_Rates!$F$16,IF(SUMIF(Grades!$A:$A,$B$4,Grades!$BP:$BP)=1,$C118*Thresholds_Rates!$F$16,"")))))))</f>
        <v/>
      </c>
      <c r="G118" s="25" t="str">
        <f ca="1">IF(B118="","",IF(SUMIF(Grades!$A:$A,$B$4,Grades!$BQ:$BQ)=0,"-",IF(AND($B$4="Salary Points 1 to 57",B118&gt;Thresholds_Rates!$C$17),"-",IF(AND($B$4="Salary Points 1 to 57",B118&lt;=Thresholds_Rates!$C$17),$C118*Thresholds_Rates!$F$17,IF(AND(OR($B$4="New Consultant Contract"),$B118&lt;&gt;""),$C118*Thresholds_Rates!$F$17,IF(AND(OR($B$4="Clinical Lecturer / Medical Research Fellow",$B$4="Clinical Consultant - Old Contract (GP)"),$B118&lt;&gt;""),$C118*Thresholds_Rates!$F$17,IF(AND(OR($B$4="APM Level 7",$B$4="R&amp;T Level 7"),F118&lt;&gt;""),$C118*Thresholds_Rates!$F$17,IF(SUMIF(Grades!$A:$A,$B$4,Grades!$BQ:$BQ)=1,$C118*Thresholds_Rates!$F$17,""))))))))</f>
        <v/>
      </c>
      <c r="H118" s="25"/>
      <c r="I118" s="25" t="str">
        <f ca="1">IF(B118="","",(C118*Thresholds_Rates!$C$12))</f>
        <v/>
      </c>
      <c r="J118" s="25"/>
      <c r="K118" s="4"/>
      <c r="L118" s="25" t="str">
        <f t="shared" ca="1" si="8"/>
        <v/>
      </c>
      <c r="M118" s="25" t="str">
        <f t="shared" ca="1" si="9"/>
        <v/>
      </c>
      <c r="N118" s="25" t="str">
        <f t="shared" ca="1" si="10"/>
        <v/>
      </c>
      <c r="O118" s="25" t="str">
        <f t="shared" ca="1" si="11"/>
        <v/>
      </c>
      <c r="P118" s="25" t="str">
        <f t="shared" ca="1" si="12"/>
        <v/>
      </c>
      <c r="R118" s="28"/>
      <c r="S118" s="29"/>
      <c r="T118" s="28"/>
      <c r="U118" s="29"/>
    </row>
    <row r="119" spans="2:21" x14ac:dyDescent="0.25">
      <c r="B119" s="4" t="str">
        <f ca="1">IFERROR(INDEX(Points_Lookup!$A:$A,MATCH($Z121,Points_Lookup!$AE:$AE,0)),"")</f>
        <v/>
      </c>
      <c r="C119" s="25" t="str">
        <f ca="1">IF(B119="","",IF($B$4="Apprenticeship",SUMIF(Points_Lookup!$AA:$AA,B119,Points_Lookup!$AC:$AC),IF(AND(OR($B$4="New Consultant Contract"),$B119&lt;&gt;""),INDEX(Points_Lookup!$K:$K,MATCH($B119,Points_Lookup!$J:$J,0)),IF(AND(OR($B$4="Clinical Lecturer / Medical Research Fellow",$B$4="Clinical Consultant - Old Contract (GP)"),$B119&lt;&gt;""),INDEX(Points_Lookup!$H:$H,MATCH($B119,Points_Lookup!$G:$G,0)),IF(AND(OR($B$4="APM Level 7",$B$4="R&amp;T Level 7",$B$4="APM Level 8"),B119&lt;&gt;""),INDEX(Points_Lookup!$E:$E,MATCH($Z119,Points_Lookup!$AE:$AE,0)),IF($B$4="R&amp;T Level 5 - Clinical Lecturers (Vet School)",SUMIF(Points_Lookup!$M:$M,$B119,Points_Lookup!$P:$P),IF($B$4="R&amp;T Level 6 - Clinical Associate Professors and Clinical Readers (Vet School)",SUMIF(Points_Lookup!$T:$T,$B119,Points_Lookup!$W:$W),IFERROR(INDEX(Points_Lookup!$B:$B,MATCH($Z119,Points_Lookup!$AE:$AE,0)),""))))))))</f>
        <v/>
      </c>
      <c r="D119" s="36"/>
      <c r="E119" s="25" t="str">
        <f ca="1">IF($B119="","",IF(AND($B$4="Salary Points 3 to 57",B119&lt;Thresholds_Rates!$C$16),"-",IF(SUMIF(Grades!$A:$A,$B$4,Grades!$BO:$BO)=0,"-",IF(AND($B$4="Salary Points 3 to 57",B119&gt;=Thresholds_Rates!$C$16),$C119*Thresholds_Rates!$F$15,IF(AND(OR($B$4="New Consultant Contract"),$B119&lt;&gt;""),$C119*Thresholds_Rates!$F$15,IF(AND(OR($B$4="Clinical Lecturer / Medical Research Fellow",$B$4="Clinical Consultant - Old Contract (GP)"),$B119&lt;&gt;""),$C119*Thresholds_Rates!$F$15,IF(OR($B$4="APM Level 7",$B$4="R&amp;T Level 7"),$C119*Thresholds_Rates!$F$15,IF(SUMIF(Grades!$A:$A,$B$4,Grades!$BO:$BO)=1,$C119*Thresholds_Rates!$F$15,""))))))))</f>
        <v/>
      </c>
      <c r="F119" s="25" t="str">
        <f ca="1">IF(B119="","",IF($B$4="Salary Points 1 to 57","-",IF(SUMIF(Grades!$A:$A,$B$4,Grades!$BP:$BP)=0,"-",IF(AND(OR($B$4="New Consultant Contract"),$B119&lt;&gt;""),$C119*Thresholds_Rates!$F$16,IF(AND(OR($B$4="Clinical Lecturer / Medical Research Fellow",$B$4="Clinical Consultant - Old Contract (GP)"),$B119&lt;&gt;""),$C119*Thresholds_Rates!$F$16,IF(AND(OR($B$4="APM Level 7",$B$4="R&amp;T Level 7"),E119&lt;&gt;""),$C119*Thresholds_Rates!$F$16,IF(SUMIF(Grades!$A:$A,$B$4,Grades!$BP:$BP)=1,$C119*Thresholds_Rates!$F$16,"")))))))</f>
        <v/>
      </c>
      <c r="G119" s="25" t="str">
        <f ca="1">IF(B119="","",IF(SUMIF(Grades!$A:$A,$B$4,Grades!$BQ:$BQ)=0,"-",IF(AND($B$4="Salary Points 1 to 57",B119&gt;Thresholds_Rates!$C$17),"-",IF(AND($B$4="Salary Points 1 to 57",B119&lt;=Thresholds_Rates!$C$17),$C119*Thresholds_Rates!$F$17,IF(AND(OR($B$4="New Consultant Contract"),$B119&lt;&gt;""),$C119*Thresholds_Rates!$F$17,IF(AND(OR($B$4="Clinical Lecturer / Medical Research Fellow",$B$4="Clinical Consultant - Old Contract (GP)"),$B119&lt;&gt;""),$C119*Thresholds_Rates!$F$17,IF(AND(OR($B$4="APM Level 7",$B$4="R&amp;T Level 7"),F119&lt;&gt;""),$C119*Thresholds_Rates!$F$17,IF(SUMIF(Grades!$A:$A,$B$4,Grades!$BQ:$BQ)=1,$C119*Thresholds_Rates!$F$17,""))))))))</f>
        <v/>
      </c>
      <c r="H119" s="25"/>
      <c r="I119" s="25" t="str">
        <f ca="1">IF(B119="","",(C119*Thresholds_Rates!$C$12))</f>
        <v/>
      </c>
      <c r="J119" s="25"/>
      <c r="K119" s="4"/>
      <c r="L119" s="25" t="str">
        <f t="shared" ca="1" si="8"/>
        <v/>
      </c>
      <c r="M119" s="25" t="str">
        <f t="shared" ca="1" si="9"/>
        <v/>
      </c>
      <c r="N119" s="25" t="str">
        <f t="shared" ca="1" si="10"/>
        <v/>
      </c>
      <c r="O119" s="25" t="str">
        <f t="shared" ca="1" si="11"/>
        <v/>
      </c>
      <c r="P119" s="25" t="str">
        <f t="shared" ca="1" si="12"/>
        <v/>
      </c>
      <c r="R119" s="28"/>
      <c r="S119" s="29"/>
      <c r="T119" s="28"/>
      <c r="U119" s="29"/>
    </row>
    <row r="120" spans="2:21" x14ac:dyDescent="0.25">
      <c r="B120" s="4" t="str">
        <f ca="1">IFERROR(INDEX(Points_Lookup!$A:$A,MATCH($Z122,Points_Lookup!$AE:$AE,0)),"")</f>
        <v/>
      </c>
      <c r="C120" s="25" t="str">
        <f ca="1">IF(B120="","",IF($B$4="Apprenticeship",SUMIF(Points_Lookup!$AA:$AA,B120,Points_Lookup!$AC:$AC),IF(AND(OR($B$4="New Consultant Contract"),$B120&lt;&gt;""),INDEX(Points_Lookup!$K:$K,MATCH($B120,Points_Lookup!$J:$J,0)),IF(AND(OR($B$4="Clinical Lecturer / Medical Research Fellow",$B$4="Clinical Consultant - Old Contract (GP)"),$B120&lt;&gt;""),INDEX(Points_Lookup!$H:$H,MATCH($B120,Points_Lookup!$G:$G,0)),IF(AND(OR($B$4="APM Level 7",$B$4="R&amp;T Level 7",$B$4="APM Level 8"),B120&lt;&gt;""),INDEX(Points_Lookup!$E:$E,MATCH($Z120,Points_Lookup!$AE:$AE,0)),IF($B$4="R&amp;T Level 5 - Clinical Lecturers (Vet School)",SUMIF(Points_Lookup!$M:$M,$B120,Points_Lookup!$P:$P),IF($B$4="R&amp;T Level 6 - Clinical Associate Professors and Clinical Readers (Vet School)",SUMIF(Points_Lookup!$T:$T,$B120,Points_Lookup!$W:$W),IFERROR(INDEX(Points_Lookup!$B:$B,MATCH($Z120,Points_Lookup!$AE:$AE,0)),""))))))))</f>
        <v/>
      </c>
      <c r="D120" s="36"/>
      <c r="E120" s="25" t="str">
        <f ca="1">IF($B120="","",IF(AND($B$4="Salary Points 3 to 57",B120&lt;Thresholds_Rates!$C$16),"-",IF(SUMIF(Grades!$A:$A,$B$4,Grades!$BO:$BO)=0,"-",IF(AND($B$4="Salary Points 3 to 57",B120&gt;=Thresholds_Rates!$C$16),$C120*Thresholds_Rates!$F$15,IF(AND(OR($B$4="New Consultant Contract"),$B120&lt;&gt;""),$C120*Thresholds_Rates!$F$15,IF(AND(OR($B$4="Clinical Lecturer / Medical Research Fellow",$B$4="Clinical Consultant - Old Contract (GP)"),$B120&lt;&gt;""),$C120*Thresholds_Rates!$F$15,IF(OR($B$4="APM Level 7",$B$4="R&amp;T Level 7"),$C120*Thresholds_Rates!$F$15,IF(SUMIF(Grades!$A:$A,$B$4,Grades!$BO:$BO)=1,$C120*Thresholds_Rates!$F$15,""))))))))</f>
        <v/>
      </c>
      <c r="F120" s="25" t="str">
        <f ca="1">IF(B120="","",IF($B$4="Salary Points 1 to 57","-",IF(SUMIF(Grades!$A:$A,$B$4,Grades!$BP:$BP)=0,"-",IF(AND(OR($B$4="New Consultant Contract"),$B120&lt;&gt;""),$C120*Thresholds_Rates!$F$16,IF(AND(OR($B$4="Clinical Lecturer / Medical Research Fellow",$B$4="Clinical Consultant - Old Contract (GP)"),$B120&lt;&gt;""),$C120*Thresholds_Rates!$F$16,IF(AND(OR($B$4="APM Level 7",$B$4="R&amp;T Level 7"),E120&lt;&gt;""),$C120*Thresholds_Rates!$F$16,IF(SUMIF(Grades!$A:$A,$B$4,Grades!$BP:$BP)=1,$C120*Thresholds_Rates!$F$16,"")))))))</f>
        <v/>
      </c>
      <c r="G120" s="25" t="str">
        <f ca="1">IF(B120="","",IF(SUMIF(Grades!$A:$A,$B$4,Grades!$BQ:$BQ)=0,"-",IF(AND($B$4="Salary Points 1 to 57",B120&gt;Thresholds_Rates!$C$17),"-",IF(AND($B$4="Salary Points 1 to 57",B120&lt;=Thresholds_Rates!$C$17),$C120*Thresholds_Rates!$F$17,IF(AND(OR($B$4="New Consultant Contract"),$B120&lt;&gt;""),$C120*Thresholds_Rates!$F$17,IF(AND(OR($B$4="Clinical Lecturer / Medical Research Fellow",$B$4="Clinical Consultant - Old Contract (GP)"),$B120&lt;&gt;""),$C120*Thresholds_Rates!$F$17,IF(AND(OR($B$4="APM Level 7",$B$4="R&amp;T Level 7"),F120&lt;&gt;""),$C120*Thresholds_Rates!$F$17,IF(SUMIF(Grades!$A:$A,$B$4,Grades!$BQ:$BQ)=1,$C120*Thresholds_Rates!$F$17,""))))))))</f>
        <v/>
      </c>
      <c r="H120" s="25"/>
      <c r="I120" s="25" t="str">
        <f ca="1">IF(B120="","",(C120*Thresholds_Rates!$C$12))</f>
        <v/>
      </c>
      <c r="J120" s="25"/>
      <c r="K120" s="4"/>
      <c r="L120" s="25" t="str">
        <f t="shared" ca="1" si="8"/>
        <v/>
      </c>
      <c r="M120" s="25" t="str">
        <f t="shared" ca="1" si="9"/>
        <v/>
      </c>
      <c r="N120" s="25" t="str">
        <f t="shared" ca="1" si="10"/>
        <v/>
      </c>
      <c r="O120" s="25" t="str">
        <f t="shared" ca="1" si="11"/>
        <v/>
      </c>
      <c r="P120" s="25" t="str">
        <f t="shared" ca="1" si="12"/>
        <v/>
      </c>
      <c r="R120" s="28"/>
      <c r="S120" s="29"/>
      <c r="T120" s="28"/>
      <c r="U120" s="29"/>
    </row>
    <row r="121" spans="2:21" x14ac:dyDescent="0.25">
      <c r="B121" s="4" t="str">
        <f ca="1">IFERROR(INDEX(Points_Lookup!$A:$A,MATCH($Z123,Points_Lookup!$AE:$AE,0)),"")</f>
        <v/>
      </c>
      <c r="C121" s="25" t="str">
        <f ca="1">IF(B121="","",IF($B$4="Apprenticeship",SUMIF(Points_Lookup!$AA:$AA,B121,Points_Lookup!$AC:$AC),IF(AND(OR($B$4="New Consultant Contract"),$B121&lt;&gt;""),INDEX(Points_Lookup!$K:$K,MATCH($B121,Points_Lookup!$J:$J,0)),IF(AND(OR($B$4="Clinical Lecturer / Medical Research Fellow",$B$4="Clinical Consultant - Old Contract (GP)"),$B121&lt;&gt;""),INDEX(Points_Lookup!$H:$H,MATCH($B121,Points_Lookup!$G:$G,0)),IF(AND(OR($B$4="APM Level 7",$B$4="R&amp;T Level 7",$B$4="APM Level 8"),B121&lt;&gt;""),INDEX(Points_Lookup!$E:$E,MATCH($Z121,Points_Lookup!$AE:$AE,0)),IF($B$4="R&amp;T Level 5 - Clinical Lecturers (Vet School)",SUMIF(Points_Lookup!$M:$M,$B121,Points_Lookup!$P:$P),IF($B$4="R&amp;T Level 6 - Clinical Associate Professors and Clinical Readers (Vet School)",SUMIF(Points_Lookup!$T:$T,$B121,Points_Lookup!$W:$W),IFERROR(INDEX(Points_Lookup!$B:$B,MATCH($Z121,Points_Lookup!$AE:$AE,0)),""))))))))</f>
        <v/>
      </c>
      <c r="D121" s="36"/>
      <c r="E121" s="25" t="str">
        <f ca="1">IF($B121="","",IF(AND($B$4="Salary Points 3 to 57",B121&lt;Thresholds_Rates!$C$16),"-",IF(SUMIF(Grades!$A:$A,$B$4,Grades!$BO:$BO)=0,"-",IF(AND($B$4="Salary Points 3 to 57",B121&gt;=Thresholds_Rates!$C$16),$C121*Thresholds_Rates!$F$15,IF(AND(OR($B$4="New Consultant Contract"),$B121&lt;&gt;""),$C121*Thresholds_Rates!$F$15,IF(AND(OR($B$4="Clinical Lecturer / Medical Research Fellow",$B$4="Clinical Consultant - Old Contract (GP)"),$B121&lt;&gt;""),$C121*Thresholds_Rates!$F$15,IF(OR($B$4="APM Level 7",$B$4="R&amp;T Level 7"),$C121*Thresholds_Rates!$F$15,IF(SUMIF(Grades!$A:$A,$B$4,Grades!$BO:$BO)=1,$C121*Thresholds_Rates!$F$15,""))))))))</f>
        <v/>
      </c>
      <c r="F121" s="25" t="str">
        <f ca="1">IF(B121="","",IF($B$4="Salary Points 1 to 57","-",IF(SUMIF(Grades!$A:$A,$B$4,Grades!$BP:$BP)=0,"-",IF(AND(OR($B$4="New Consultant Contract"),$B121&lt;&gt;""),$C121*Thresholds_Rates!$F$16,IF(AND(OR($B$4="Clinical Lecturer / Medical Research Fellow",$B$4="Clinical Consultant - Old Contract (GP)"),$B121&lt;&gt;""),$C121*Thresholds_Rates!$F$16,IF(AND(OR($B$4="APM Level 7",$B$4="R&amp;T Level 7"),E121&lt;&gt;""),$C121*Thresholds_Rates!$F$16,IF(SUMIF(Grades!$A:$A,$B$4,Grades!$BP:$BP)=1,$C121*Thresholds_Rates!$F$16,"")))))))</f>
        <v/>
      </c>
      <c r="G121" s="25" t="str">
        <f ca="1">IF(B121="","",IF(SUMIF(Grades!$A:$A,$B$4,Grades!$BQ:$BQ)=0,"-",IF(AND($B$4="Salary Points 1 to 57",B121&gt;Thresholds_Rates!$C$17),"-",IF(AND($B$4="Salary Points 1 to 57",B121&lt;=Thresholds_Rates!$C$17),$C121*Thresholds_Rates!$F$17,IF(AND(OR($B$4="New Consultant Contract"),$B121&lt;&gt;""),$C121*Thresholds_Rates!$F$17,IF(AND(OR($B$4="Clinical Lecturer / Medical Research Fellow",$B$4="Clinical Consultant - Old Contract (GP)"),$B121&lt;&gt;""),$C121*Thresholds_Rates!$F$17,IF(AND(OR($B$4="APM Level 7",$B$4="R&amp;T Level 7"),F121&lt;&gt;""),$C121*Thresholds_Rates!$F$17,IF(SUMIF(Grades!$A:$A,$B$4,Grades!$BQ:$BQ)=1,$C121*Thresholds_Rates!$F$17,""))))))))</f>
        <v/>
      </c>
      <c r="H121" s="25"/>
      <c r="I121" s="25" t="str">
        <f ca="1">IF(B121="","",(C121*Thresholds_Rates!$C$12))</f>
        <v/>
      </c>
      <c r="J121" s="25"/>
      <c r="K121" s="4"/>
      <c r="L121" s="25" t="str">
        <f t="shared" ca="1" si="8"/>
        <v/>
      </c>
      <c r="M121" s="25" t="str">
        <f t="shared" ca="1" si="9"/>
        <v/>
      </c>
      <c r="N121" s="25" t="str">
        <f t="shared" ca="1" si="10"/>
        <v/>
      </c>
      <c r="O121" s="25" t="str">
        <f t="shared" ca="1" si="11"/>
        <v/>
      </c>
      <c r="P121" s="25" t="str">
        <f t="shared" ca="1" si="12"/>
        <v/>
      </c>
      <c r="R121" s="28"/>
      <c r="S121" s="29"/>
      <c r="T121" s="28"/>
      <c r="U121" s="29"/>
    </row>
    <row r="122" spans="2:21" x14ac:dyDescent="0.25">
      <c r="B122" s="4" t="str">
        <f ca="1">IFERROR(INDEX(Points_Lookup!$A:$A,MATCH($Z124,Points_Lookup!$AE:$AE,0)),"")</f>
        <v/>
      </c>
      <c r="C122" s="25" t="str">
        <f ca="1">IF(B122="","",IF($B$4="Apprenticeship",SUMIF(Points_Lookup!$AA:$AA,B122,Points_Lookup!$AC:$AC),IF(AND(OR($B$4="New Consultant Contract"),$B122&lt;&gt;""),INDEX(Points_Lookup!$K:$K,MATCH($B122,Points_Lookup!$J:$J,0)),IF(AND(OR($B$4="Clinical Lecturer / Medical Research Fellow",$B$4="Clinical Consultant - Old Contract (GP)"),$B122&lt;&gt;""),INDEX(Points_Lookup!$H:$H,MATCH($B122,Points_Lookup!$G:$G,0)),IF(AND(OR($B$4="APM Level 7",$B$4="R&amp;T Level 7",$B$4="APM Level 8"),B122&lt;&gt;""),INDEX(Points_Lookup!$E:$E,MATCH($Z122,Points_Lookup!$AE:$AE,0)),IF($B$4="R&amp;T Level 5 - Clinical Lecturers (Vet School)",SUMIF(Points_Lookup!$M:$M,$B122,Points_Lookup!$P:$P),IF($B$4="R&amp;T Level 6 - Clinical Associate Professors and Clinical Readers (Vet School)",SUMIF(Points_Lookup!$T:$T,$B122,Points_Lookup!$W:$W),IFERROR(INDEX(Points_Lookup!$B:$B,MATCH($Z122,Points_Lookup!$AE:$AE,0)),""))))))))</f>
        <v/>
      </c>
      <c r="D122" s="36"/>
      <c r="E122" s="25" t="str">
        <f ca="1">IF($B122="","",IF(AND($B$4="Salary Points 3 to 57",B122&lt;Thresholds_Rates!$C$16),"-",IF(SUMIF(Grades!$A:$A,$B$4,Grades!$BO:$BO)=0,"-",IF(AND($B$4="Salary Points 3 to 57",B122&gt;=Thresholds_Rates!$C$16),$C122*Thresholds_Rates!$F$15,IF(AND(OR($B$4="New Consultant Contract"),$B122&lt;&gt;""),$C122*Thresholds_Rates!$F$15,IF(AND(OR($B$4="Clinical Lecturer / Medical Research Fellow",$B$4="Clinical Consultant - Old Contract (GP)"),$B122&lt;&gt;""),$C122*Thresholds_Rates!$F$15,IF(OR($B$4="APM Level 7",$B$4="R&amp;T Level 7"),$C122*Thresholds_Rates!$F$15,IF(SUMIF(Grades!$A:$A,$B$4,Grades!$BO:$BO)=1,$C122*Thresholds_Rates!$F$15,""))))))))</f>
        <v/>
      </c>
      <c r="F122" s="25" t="str">
        <f ca="1">IF(B122="","",IF($B$4="Salary Points 1 to 57","-",IF(SUMIF(Grades!$A:$A,$B$4,Grades!$BP:$BP)=0,"-",IF(AND(OR($B$4="New Consultant Contract"),$B122&lt;&gt;""),$C122*Thresholds_Rates!$F$16,IF(AND(OR($B$4="Clinical Lecturer / Medical Research Fellow",$B$4="Clinical Consultant - Old Contract (GP)"),$B122&lt;&gt;""),$C122*Thresholds_Rates!$F$16,IF(AND(OR($B$4="APM Level 7",$B$4="R&amp;T Level 7"),E122&lt;&gt;""),$C122*Thresholds_Rates!$F$16,IF(SUMIF(Grades!$A:$A,$B$4,Grades!$BP:$BP)=1,$C122*Thresholds_Rates!$F$16,"")))))))</f>
        <v/>
      </c>
      <c r="G122" s="25" t="str">
        <f ca="1">IF(B122="","",IF(SUMIF(Grades!$A:$A,$B$4,Grades!$BQ:$BQ)=0,"-",IF(AND($B$4="Salary Points 1 to 57",B122&gt;Thresholds_Rates!$C$17),"-",IF(AND($B$4="Salary Points 1 to 57",B122&lt;=Thresholds_Rates!$C$17),$C122*Thresholds_Rates!$F$17,IF(AND(OR($B$4="New Consultant Contract"),$B122&lt;&gt;""),$C122*Thresholds_Rates!$F$17,IF(AND(OR($B$4="Clinical Lecturer / Medical Research Fellow",$B$4="Clinical Consultant - Old Contract (GP)"),$B122&lt;&gt;""),$C122*Thresholds_Rates!$F$17,IF(AND(OR($B$4="APM Level 7",$B$4="R&amp;T Level 7"),F122&lt;&gt;""),$C122*Thresholds_Rates!$F$17,IF(SUMIF(Grades!$A:$A,$B$4,Grades!$BQ:$BQ)=1,$C122*Thresholds_Rates!$F$17,""))))))))</f>
        <v/>
      </c>
      <c r="H122" s="25"/>
      <c r="I122" s="25" t="str">
        <f ca="1">IF(B122="","",(C122*Thresholds_Rates!$C$12))</f>
        <v/>
      </c>
      <c r="J122" s="25"/>
      <c r="K122" s="4"/>
      <c r="L122" s="25" t="str">
        <f t="shared" ca="1" si="8"/>
        <v/>
      </c>
      <c r="M122" s="25" t="str">
        <f t="shared" ca="1" si="9"/>
        <v/>
      </c>
      <c r="N122" s="25" t="str">
        <f t="shared" ca="1" si="10"/>
        <v/>
      </c>
      <c r="O122" s="25" t="str">
        <f t="shared" ca="1" si="11"/>
        <v/>
      </c>
      <c r="P122" s="25" t="str">
        <f t="shared" ca="1" si="12"/>
        <v/>
      </c>
      <c r="R122" s="28"/>
      <c r="S122" s="29"/>
      <c r="T122" s="28"/>
      <c r="U122" s="29"/>
    </row>
    <row r="123" spans="2:21" x14ac:dyDescent="0.25">
      <c r="B123" s="4" t="str">
        <f ca="1">IFERROR(INDEX(Points_Lookup!$A:$A,MATCH($Z125,Points_Lookup!$AE:$AE,0)),"")</f>
        <v/>
      </c>
      <c r="C123" s="25" t="str">
        <f ca="1">IF(B123="","",IF($B$4="Apprenticeship",SUMIF(Points_Lookup!$AA:$AA,B123,Points_Lookup!$AC:$AC),IF(AND(OR($B$4="New Consultant Contract"),$B123&lt;&gt;""),INDEX(Points_Lookup!$K:$K,MATCH($B123,Points_Lookup!$J:$J,0)),IF(AND(OR($B$4="Clinical Lecturer / Medical Research Fellow",$B$4="Clinical Consultant - Old Contract (GP)"),$B123&lt;&gt;""),INDEX(Points_Lookup!$H:$H,MATCH($B123,Points_Lookup!$G:$G,0)),IF(AND(OR($B$4="APM Level 7",$B$4="R&amp;T Level 7",$B$4="APM Level 8"),B123&lt;&gt;""),INDEX(Points_Lookup!$E:$E,MATCH($Z123,Points_Lookup!$AE:$AE,0)),IF($B$4="R&amp;T Level 5 - Clinical Lecturers (Vet School)",SUMIF(Points_Lookup!$M:$M,$B123,Points_Lookup!$P:$P),IF($B$4="R&amp;T Level 6 - Clinical Associate Professors and Clinical Readers (Vet School)",SUMIF(Points_Lookup!$T:$T,$B123,Points_Lookup!$W:$W),IFERROR(INDEX(Points_Lookup!$B:$B,MATCH($Z123,Points_Lookup!$AE:$AE,0)),""))))))))</f>
        <v/>
      </c>
      <c r="D123" s="36"/>
      <c r="E123" s="25" t="str">
        <f ca="1">IF($B123="","",IF(AND($B$4="Salary Points 3 to 57",B123&lt;Thresholds_Rates!$C$16),"-",IF(SUMIF(Grades!$A:$A,$B$4,Grades!$BO:$BO)=0,"-",IF(AND($B$4="Salary Points 3 to 57",B123&gt;=Thresholds_Rates!$C$16),$C123*Thresholds_Rates!$F$15,IF(AND(OR($B$4="New Consultant Contract"),$B123&lt;&gt;""),$C123*Thresholds_Rates!$F$15,IF(AND(OR($B$4="Clinical Lecturer / Medical Research Fellow",$B$4="Clinical Consultant - Old Contract (GP)"),$B123&lt;&gt;""),$C123*Thresholds_Rates!$F$15,IF(OR($B$4="APM Level 7",$B$4="R&amp;T Level 7"),$C123*Thresholds_Rates!$F$15,IF(SUMIF(Grades!$A:$A,$B$4,Grades!$BO:$BO)=1,$C123*Thresholds_Rates!$F$15,""))))))))</f>
        <v/>
      </c>
      <c r="F123" s="25" t="str">
        <f ca="1">IF(B123="","",IF($B$4="Salary Points 1 to 57","-",IF(SUMIF(Grades!$A:$A,$B$4,Grades!$BP:$BP)=0,"-",IF(AND(OR($B$4="New Consultant Contract"),$B123&lt;&gt;""),$C123*Thresholds_Rates!$F$16,IF(AND(OR($B$4="Clinical Lecturer / Medical Research Fellow",$B$4="Clinical Consultant - Old Contract (GP)"),$B123&lt;&gt;""),$C123*Thresholds_Rates!$F$16,IF(AND(OR($B$4="APM Level 7",$B$4="R&amp;T Level 7"),E123&lt;&gt;""),$C123*Thresholds_Rates!$F$16,IF(SUMIF(Grades!$A:$A,$B$4,Grades!$BP:$BP)=1,$C123*Thresholds_Rates!$F$16,"")))))))</f>
        <v/>
      </c>
      <c r="G123" s="25" t="str">
        <f ca="1">IF(B123="","",IF(SUMIF(Grades!$A:$A,$B$4,Grades!$BQ:$BQ)=0,"-",IF(AND($B$4="Salary Points 1 to 57",B123&gt;Thresholds_Rates!$C$17),"-",IF(AND($B$4="Salary Points 1 to 57",B123&lt;=Thresholds_Rates!$C$17),$C123*Thresholds_Rates!$F$17,IF(AND(OR($B$4="New Consultant Contract"),$B123&lt;&gt;""),$C123*Thresholds_Rates!$F$17,IF(AND(OR($B$4="Clinical Lecturer / Medical Research Fellow",$B$4="Clinical Consultant - Old Contract (GP)"),$B123&lt;&gt;""),$C123*Thresholds_Rates!$F$17,IF(AND(OR($B$4="APM Level 7",$B$4="R&amp;T Level 7"),F123&lt;&gt;""),$C123*Thresholds_Rates!$F$17,IF(SUMIF(Grades!$A:$A,$B$4,Grades!$BQ:$BQ)=1,$C123*Thresholds_Rates!$F$17,""))))))))</f>
        <v/>
      </c>
      <c r="H123" s="25"/>
      <c r="I123" s="25" t="str">
        <f ca="1">IF(B123="","",(C123*Thresholds_Rates!$C$12))</f>
        <v/>
      </c>
      <c r="J123" s="25"/>
      <c r="K123" s="4"/>
      <c r="L123" s="25" t="str">
        <f t="shared" ca="1" si="8"/>
        <v/>
      </c>
      <c r="M123" s="25" t="str">
        <f t="shared" ca="1" si="9"/>
        <v/>
      </c>
      <c r="N123" s="25" t="str">
        <f t="shared" ca="1" si="10"/>
        <v/>
      </c>
      <c r="O123" s="25" t="str">
        <f t="shared" ca="1" si="11"/>
        <v/>
      </c>
      <c r="P123" s="25" t="str">
        <f t="shared" ca="1" si="12"/>
        <v/>
      </c>
      <c r="R123" s="28"/>
      <c r="S123" s="29"/>
      <c r="T123" s="28"/>
      <c r="U123" s="29"/>
    </row>
    <row r="124" spans="2:21" x14ac:dyDescent="0.25">
      <c r="B124" s="4" t="str">
        <f ca="1">IFERROR(INDEX(Points_Lookup!$A:$A,MATCH($Z126,Points_Lookup!$AE:$AE,0)),"")</f>
        <v/>
      </c>
      <c r="C124" s="25" t="str">
        <f ca="1">IF(B124="","",IF($B$4="Apprenticeship",SUMIF(Points_Lookup!$AA:$AA,B124,Points_Lookup!$AC:$AC),IF(AND(OR($B$4="New Consultant Contract"),$B124&lt;&gt;""),INDEX(Points_Lookup!$K:$K,MATCH($B124,Points_Lookup!$J:$J,0)),IF(AND(OR($B$4="Clinical Lecturer / Medical Research Fellow",$B$4="Clinical Consultant - Old Contract (GP)"),$B124&lt;&gt;""),INDEX(Points_Lookup!$H:$H,MATCH($B124,Points_Lookup!$G:$G,0)),IF(AND(OR($B$4="APM Level 7",$B$4="R&amp;T Level 7",$B$4="APM Level 8"),B124&lt;&gt;""),INDEX(Points_Lookup!$E:$E,MATCH($Z124,Points_Lookup!$AE:$AE,0)),IF($B$4="R&amp;T Level 5 - Clinical Lecturers (Vet School)",SUMIF(Points_Lookup!$M:$M,$B124,Points_Lookup!$P:$P),IF($B$4="R&amp;T Level 6 - Clinical Associate Professors and Clinical Readers (Vet School)",SUMIF(Points_Lookup!$T:$T,$B124,Points_Lookup!$W:$W),IFERROR(INDEX(Points_Lookup!$B:$B,MATCH($Z124,Points_Lookup!$AE:$AE,0)),""))))))))</f>
        <v/>
      </c>
      <c r="D124" s="36"/>
      <c r="E124" s="25" t="str">
        <f ca="1">IF($B124="","",IF(AND($B$4="Salary Points 3 to 57",B124&lt;Thresholds_Rates!$C$16),"-",IF(SUMIF(Grades!$A:$A,$B$4,Grades!$BO:$BO)=0,"-",IF(AND($B$4="Salary Points 3 to 57",B124&gt;=Thresholds_Rates!$C$16),$C124*Thresholds_Rates!$F$15,IF(AND(OR($B$4="New Consultant Contract"),$B124&lt;&gt;""),$C124*Thresholds_Rates!$F$15,IF(AND(OR($B$4="Clinical Lecturer / Medical Research Fellow",$B$4="Clinical Consultant - Old Contract (GP)"),$B124&lt;&gt;""),$C124*Thresholds_Rates!$F$15,IF(OR($B$4="APM Level 7",$B$4="R&amp;T Level 7"),$C124*Thresholds_Rates!$F$15,IF(SUMIF(Grades!$A:$A,$B$4,Grades!$BO:$BO)=1,$C124*Thresholds_Rates!$F$15,""))))))))</f>
        <v/>
      </c>
      <c r="F124" s="25" t="str">
        <f ca="1">IF(B124="","",IF($B$4="Salary Points 1 to 57","-",IF(SUMIF(Grades!$A:$A,$B$4,Grades!$BP:$BP)=0,"-",IF(AND(OR($B$4="New Consultant Contract"),$B124&lt;&gt;""),$C124*Thresholds_Rates!$F$16,IF(AND(OR($B$4="Clinical Lecturer / Medical Research Fellow",$B$4="Clinical Consultant - Old Contract (GP)"),$B124&lt;&gt;""),$C124*Thresholds_Rates!$F$16,IF(AND(OR($B$4="APM Level 7",$B$4="R&amp;T Level 7"),E124&lt;&gt;""),$C124*Thresholds_Rates!$F$16,IF(SUMIF(Grades!$A:$A,$B$4,Grades!$BP:$BP)=1,$C124*Thresholds_Rates!$F$16,"")))))))</f>
        <v/>
      </c>
      <c r="G124" s="25" t="str">
        <f ca="1">IF(B124="","",IF(SUMIF(Grades!$A:$A,$B$4,Grades!$BQ:$BQ)=0,"-",IF(AND($B$4="Salary Points 1 to 57",B124&gt;Thresholds_Rates!$C$17),"-",IF(AND($B$4="Salary Points 1 to 57",B124&lt;=Thresholds_Rates!$C$17),$C124*Thresholds_Rates!$F$17,IF(AND(OR($B$4="New Consultant Contract"),$B124&lt;&gt;""),$C124*Thresholds_Rates!$F$17,IF(AND(OR($B$4="Clinical Lecturer / Medical Research Fellow",$B$4="Clinical Consultant - Old Contract (GP)"),$B124&lt;&gt;""),$C124*Thresholds_Rates!$F$17,IF(AND(OR($B$4="APM Level 7",$B$4="R&amp;T Level 7"),F124&lt;&gt;""),$C124*Thresholds_Rates!$F$17,IF(SUMIF(Grades!$A:$A,$B$4,Grades!$BQ:$BQ)=1,$C124*Thresholds_Rates!$F$17,""))))))))</f>
        <v/>
      </c>
      <c r="H124" s="25"/>
      <c r="I124" s="25" t="str">
        <f ca="1">IF(B124="","",(C124*Thresholds_Rates!$C$12))</f>
        <v/>
      </c>
      <c r="J124" s="25"/>
      <c r="K124" s="4"/>
      <c r="L124" s="25" t="str">
        <f t="shared" ca="1" si="8"/>
        <v/>
      </c>
      <c r="M124" s="25" t="str">
        <f t="shared" ca="1" si="9"/>
        <v/>
      </c>
      <c r="N124" s="25" t="str">
        <f t="shared" ca="1" si="10"/>
        <v/>
      </c>
      <c r="O124" s="25" t="str">
        <f t="shared" ca="1" si="11"/>
        <v/>
      </c>
      <c r="P124" s="25" t="str">
        <f t="shared" ca="1" si="12"/>
        <v/>
      </c>
      <c r="R124" s="28"/>
      <c r="S124" s="29"/>
      <c r="T124" s="28"/>
      <c r="U124" s="29"/>
    </row>
    <row r="125" spans="2:21" x14ac:dyDescent="0.25">
      <c r="B125" s="4" t="str">
        <f ca="1">IFERROR(INDEX(Points_Lookup!$A:$A,MATCH($Z127,Points_Lookup!$AE:$AE,0)),"")</f>
        <v/>
      </c>
      <c r="C125" s="25" t="str">
        <f ca="1">IF(B125="","",IF($B$4="Apprenticeship",SUMIF(Points_Lookup!$AA:$AA,B125,Points_Lookup!$AC:$AC),IF(AND(OR($B$4="New Consultant Contract"),$B125&lt;&gt;""),INDEX(Points_Lookup!$K:$K,MATCH($B125,Points_Lookup!$J:$J,0)),IF(AND(OR($B$4="Clinical Lecturer / Medical Research Fellow",$B$4="Clinical Consultant - Old Contract (GP)"),$B125&lt;&gt;""),INDEX(Points_Lookup!$H:$H,MATCH($B125,Points_Lookup!$G:$G,0)),IF(AND(OR($B$4="APM Level 7",$B$4="R&amp;T Level 7",$B$4="APM Level 8"),B125&lt;&gt;""),INDEX(Points_Lookup!$E:$E,MATCH($Z125,Points_Lookup!$AE:$AE,0)),IF($B$4="R&amp;T Level 5 - Clinical Lecturers (Vet School)",SUMIF(Points_Lookup!$M:$M,$B125,Points_Lookup!$P:$P),IF($B$4="R&amp;T Level 6 - Clinical Associate Professors and Clinical Readers (Vet School)",SUMIF(Points_Lookup!$T:$T,$B125,Points_Lookup!$W:$W),IFERROR(INDEX(Points_Lookup!$B:$B,MATCH($Z125,Points_Lookup!$AE:$AE,0)),""))))))))</f>
        <v/>
      </c>
      <c r="D125" s="36"/>
      <c r="E125" s="25" t="str">
        <f ca="1">IF($B125="","",IF(AND($B$4="Salary Points 3 to 57",B125&lt;Thresholds_Rates!$C$16),"-",IF(SUMIF(Grades!$A:$A,$B$4,Grades!$BO:$BO)=0,"-",IF(AND($B$4="Salary Points 3 to 57",B125&gt;=Thresholds_Rates!$C$16),$C125*Thresholds_Rates!$F$15,IF(AND(OR($B$4="New Consultant Contract"),$B125&lt;&gt;""),$C125*Thresholds_Rates!$F$15,IF(AND(OR($B$4="Clinical Lecturer / Medical Research Fellow",$B$4="Clinical Consultant - Old Contract (GP)"),$B125&lt;&gt;""),$C125*Thresholds_Rates!$F$15,IF(OR($B$4="APM Level 7",$B$4="R&amp;T Level 7"),$C125*Thresholds_Rates!$F$15,IF(SUMIF(Grades!$A:$A,$B$4,Grades!$BO:$BO)=1,$C125*Thresholds_Rates!$F$15,""))))))))</f>
        <v/>
      </c>
      <c r="F125" s="25" t="str">
        <f ca="1">IF(B125="","",IF($B$4="Salary Points 1 to 57","-",IF(SUMIF(Grades!$A:$A,$B$4,Grades!$BP:$BP)=0,"-",IF(AND(OR($B$4="New Consultant Contract"),$B125&lt;&gt;""),$C125*Thresholds_Rates!$F$16,IF(AND(OR($B$4="Clinical Lecturer / Medical Research Fellow",$B$4="Clinical Consultant - Old Contract (GP)"),$B125&lt;&gt;""),$C125*Thresholds_Rates!$F$16,IF(AND(OR($B$4="APM Level 7",$B$4="R&amp;T Level 7"),E125&lt;&gt;""),$C125*Thresholds_Rates!$F$16,IF(SUMIF(Grades!$A:$A,$B$4,Grades!$BP:$BP)=1,$C125*Thresholds_Rates!$F$16,"")))))))</f>
        <v/>
      </c>
      <c r="G125" s="25" t="str">
        <f ca="1">IF(B125="","",IF(SUMIF(Grades!$A:$A,$B$4,Grades!$BQ:$BQ)=0,"-",IF(AND($B$4="Salary Points 1 to 57",B125&gt;Thresholds_Rates!$C$17),"-",IF(AND($B$4="Salary Points 1 to 57",B125&lt;=Thresholds_Rates!$C$17),$C125*Thresholds_Rates!$F$17,IF(AND(OR($B$4="New Consultant Contract"),$B125&lt;&gt;""),$C125*Thresholds_Rates!$F$17,IF(AND(OR($B$4="Clinical Lecturer / Medical Research Fellow",$B$4="Clinical Consultant - Old Contract (GP)"),$B125&lt;&gt;""),$C125*Thresholds_Rates!$F$17,IF(AND(OR($B$4="APM Level 7",$B$4="R&amp;T Level 7"),F125&lt;&gt;""),$C125*Thresholds_Rates!$F$17,IF(SUMIF(Grades!$A:$A,$B$4,Grades!$BQ:$BQ)=1,$C125*Thresholds_Rates!$F$17,""))))))))</f>
        <v/>
      </c>
      <c r="H125" s="25"/>
      <c r="I125" s="25" t="str">
        <f ca="1">IF(B125="","",(C125*Thresholds_Rates!$C$12))</f>
        <v/>
      </c>
      <c r="J125" s="25"/>
      <c r="K125" s="4"/>
      <c r="L125" s="25" t="str">
        <f t="shared" ca="1" si="8"/>
        <v/>
      </c>
      <c r="M125" s="25" t="str">
        <f t="shared" ca="1" si="9"/>
        <v/>
      </c>
      <c r="N125" s="25" t="str">
        <f t="shared" ca="1" si="10"/>
        <v/>
      </c>
      <c r="O125" s="25" t="str">
        <f t="shared" ca="1" si="11"/>
        <v/>
      </c>
      <c r="P125" s="25" t="str">
        <f t="shared" ca="1" si="12"/>
        <v/>
      </c>
      <c r="R125" s="28"/>
      <c r="S125" s="29"/>
      <c r="T125" s="28"/>
      <c r="U125" s="29"/>
    </row>
    <row r="126" spans="2:21" x14ac:dyDescent="0.25">
      <c r="B126" s="4" t="str">
        <f ca="1">IFERROR(INDEX(Points_Lookup!$A:$A,MATCH($Z128,Points_Lookup!$AE:$AE,0)),"")</f>
        <v/>
      </c>
      <c r="C126" s="25" t="str">
        <f ca="1">IF(B126="","",IF($B$4="Apprenticeship",SUMIF(Points_Lookup!$AA:$AA,B126,Points_Lookup!$AC:$AC),IF(AND(OR($B$4="New Consultant Contract"),$B126&lt;&gt;""),INDEX(Points_Lookup!$K:$K,MATCH($B126,Points_Lookup!$J:$J,0)),IF(AND(OR($B$4="Clinical Lecturer / Medical Research Fellow",$B$4="Clinical Consultant - Old Contract (GP)"),$B126&lt;&gt;""),INDEX(Points_Lookup!$H:$H,MATCH($B126,Points_Lookup!$G:$G,0)),IF(AND(OR($B$4="APM Level 7",$B$4="R&amp;T Level 7",$B$4="APM Level 8"),B126&lt;&gt;""),INDEX(Points_Lookup!$E:$E,MATCH($Z126,Points_Lookup!$AE:$AE,0)),IF($B$4="R&amp;T Level 5 - Clinical Lecturers (Vet School)",SUMIF(Points_Lookup!$M:$M,$B126,Points_Lookup!$P:$P),IF($B$4="R&amp;T Level 6 - Clinical Associate Professors and Clinical Readers (Vet School)",SUMIF(Points_Lookup!$T:$T,$B126,Points_Lookup!$W:$W),IFERROR(INDEX(Points_Lookup!$B:$B,MATCH($Z126,Points_Lookup!$AE:$AE,0)),""))))))))</f>
        <v/>
      </c>
      <c r="D126" s="36"/>
      <c r="E126" s="25" t="str">
        <f ca="1">IF($B126="","",IF(AND($B$4="Salary Points 3 to 57",B126&lt;Thresholds_Rates!$C$16),"-",IF(SUMIF(Grades!$A:$A,$B$4,Grades!$BO:$BO)=0,"-",IF(AND($B$4="Salary Points 3 to 57",B126&gt;=Thresholds_Rates!$C$16),$C126*Thresholds_Rates!$F$15,IF(AND(OR($B$4="New Consultant Contract"),$B126&lt;&gt;""),$C126*Thresholds_Rates!$F$15,IF(AND(OR($B$4="Clinical Lecturer / Medical Research Fellow",$B$4="Clinical Consultant - Old Contract (GP)"),$B126&lt;&gt;""),$C126*Thresholds_Rates!$F$15,IF(OR($B$4="APM Level 7",$B$4="R&amp;T Level 7"),$C126*Thresholds_Rates!$F$15,IF(SUMIF(Grades!$A:$A,$B$4,Grades!$BO:$BO)=1,$C126*Thresholds_Rates!$F$15,""))))))))</f>
        <v/>
      </c>
      <c r="F126" s="25" t="str">
        <f ca="1">IF(B126="","",IF($B$4="Salary Points 1 to 57","-",IF(SUMIF(Grades!$A:$A,$B$4,Grades!$BP:$BP)=0,"-",IF(AND(OR($B$4="New Consultant Contract"),$B126&lt;&gt;""),$C126*Thresholds_Rates!$F$16,IF(AND(OR($B$4="Clinical Lecturer / Medical Research Fellow",$B$4="Clinical Consultant - Old Contract (GP)"),$B126&lt;&gt;""),$C126*Thresholds_Rates!$F$16,IF(AND(OR($B$4="APM Level 7",$B$4="R&amp;T Level 7"),E126&lt;&gt;""),$C126*Thresholds_Rates!$F$16,IF(SUMIF(Grades!$A:$A,$B$4,Grades!$BP:$BP)=1,$C126*Thresholds_Rates!$F$16,"")))))))</f>
        <v/>
      </c>
      <c r="G126" s="25" t="str">
        <f ca="1">IF(B126="","",IF(SUMIF(Grades!$A:$A,$B$4,Grades!$BQ:$BQ)=0,"-",IF(AND($B$4="Salary Points 1 to 57",B126&gt;Thresholds_Rates!$C$17),"-",IF(AND($B$4="Salary Points 1 to 57",B126&lt;=Thresholds_Rates!$C$17),$C126*Thresholds_Rates!$F$17,IF(AND(OR($B$4="New Consultant Contract"),$B126&lt;&gt;""),$C126*Thresholds_Rates!$F$17,IF(AND(OR($B$4="Clinical Lecturer / Medical Research Fellow",$B$4="Clinical Consultant - Old Contract (GP)"),$B126&lt;&gt;""),$C126*Thresholds_Rates!$F$17,IF(AND(OR($B$4="APM Level 7",$B$4="R&amp;T Level 7"),F126&lt;&gt;""),$C126*Thresholds_Rates!$F$17,IF(SUMIF(Grades!$A:$A,$B$4,Grades!$BQ:$BQ)=1,$C126*Thresholds_Rates!$F$17,""))))))))</f>
        <v/>
      </c>
      <c r="H126" s="25"/>
      <c r="I126" s="25" t="str">
        <f ca="1">IF(B126="","",(C126*Thresholds_Rates!$C$12))</f>
        <v/>
      </c>
      <c r="J126" s="25"/>
      <c r="K126" s="4"/>
      <c r="L126" s="25" t="str">
        <f t="shared" ca="1" si="8"/>
        <v/>
      </c>
      <c r="M126" s="25" t="str">
        <f t="shared" ca="1" si="9"/>
        <v/>
      </c>
      <c r="N126" s="25" t="str">
        <f t="shared" ca="1" si="10"/>
        <v/>
      </c>
      <c r="O126" s="25" t="str">
        <f t="shared" ca="1" si="11"/>
        <v/>
      </c>
      <c r="P126" s="25" t="str">
        <f t="shared" ca="1" si="12"/>
        <v/>
      </c>
      <c r="R126" s="28"/>
      <c r="S126" s="29"/>
      <c r="T126" s="28"/>
      <c r="U126" s="29"/>
    </row>
    <row r="127" spans="2:21" x14ac:dyDescent="0.25">
      <c r="B127" s="4" t="str">
        <f ca="1">IFERROR(INDEX(Points_Lookup!$A:$A,MATCH($Z129,Points_Lookup!$AE:$AE,0)),"")</f>
        <v/>
      </c>
      <c r="C127" s="25" t="str">
        <f ca="1">IF(B127="","",IF($B$4="Apprenticeship",SUMIF(Points_Lookup!$AA:$AA,B127,Points_Lookup!$AC:$AC),IF(AND(OR($B$4="New Consultant Contract"),$B127&lt;&gt;""),INDEX(Points_Lookup!$K:$K,MATCH($B127,Points_Lookup!$J:$J,0)),IF(AND(OR($B$4="Clinical Lecturer / Medical Research Fellow",$B$4="Clinical Consultant - Old Contract (GP)"),$B127&lt;&gt;""),INDEX(Points_Lookup!$H:$H,MATCH($B127,Points_Lookup!$G:$G,0)),IF(AND(OR($B$4="APM Level 7",$B$4="R&amp;T Level 7",$B$4="APM Level 8"),B127&lt;&gt;""),INDEX(Points_Lookup!$E:$E,MATCH($Z127,Points_Lookup!$AE:$AE,0)),IF($B$4="R&amp;T Level 5 - Clinical Lecturers (Vet School)",SUMIF(Points_Lookup!$M:$M,$B127,Points_Lookup!$P:$P),IF($B$4="R&amp;T Level 6 - Clinical Associate Professors and Clinical Readers (Vet School)",SUMIF(Points_Lookup!$T:$T,$B127,Points_Lookup!$W:$W),IFERROR(INDEX(Points_Lookup!$B:$B,MATCH($Z127,Points_Lookup!$AE:$AE,0)),""))))))))</f>
        <v/>
      </c>
      <c r="D127" s="36"/>
      <c r="E127" s="25" t="str">
        <f ca="1">IF($B127="","",IF(AND($B$4="Salary Points 3 to 57",B127&lt;Thresholds_Rates!$C$16),"-",IF(SUMIF(Grades!$A:$A,$B$4,Grades!$BO:$BO)=0,"-",IF(AND($B$4="Salary Points 3 to 57",B127&gt;=Thresholds_Rates!$C$16),$C127*Thresholds_Rates!$F$15,IF(AND(OR($B$4="New Consultant Contract"),$B127&lt;&gt;""),$C127*Thresholds_Rates!$F$15,IF(AND(OR($B$4="Clinical Lecturer / Medical Research Fellow",$B$4="Clinical Consultant - Old Contract (GP)"),$B127&lt;&gt;""),$C127*Thresholds_Rates!$F$15,IF(OR($B$4="APM Level 7",$B$4="R&amp;T Level 7"),$C127*Thresholds_Rates!$F$15,IF(SUMIF(Grades!$A:$A,$B$4,Grades!$BO:$BO)=1,$C127*Thresholds_Rates!$F$15,""))))))))</f>
        <v/>
      </c>
      <c r="F127" s="25" t="str">
        <f ca="1">IF(B127="","",IF($B$4="Salary Points 1 to 57","-",IF(SUMIF(Grades!$A:$A,$B$4,Grades!$BP:$BP)=0,"-",IF(AND(OR($B$4="New Consultant Contract"),$B127&lt;&gt;""),$C127*Thresholds_Rates!$F$16,IF(AND(OR($B$4="Clinical Lecturer / Medical Research Fellow",$B$4="Clinical Consultant - Old Contract (GP)"),$B127&lt;&gt;""),$C127*Thresholds_Rates!$F$16,IF(AND(OR($B$4="APM Level 7",$B$4="R&amp;T Level 7"),E127&lt;&gt;""),$C127*Thresholds_Rates!$F$16,IF(SUMIF(Grades!$A:$A,$B$4,Grades!$BP:$BP)=1,$C127*Thresholds_Rates!$F$16,"")))))))</f>
        <v/>
      </c>
      <c r="G127" s="25" t="str">
        <f ca="1">IF(B127="","",IF(SUMIF(Grades!$A:$A,$B$4,Grades!$BQ:$BQ)=0,"-",IF(AND($B$4="Salary Points 1 to 57",B127&gt;Thresholds_Rates!$C$17),"-",IF(AND($B$4="Salary Points 1 to 57",B127&lt;=Thresholds_Rates!$C$17),$C127*Thresholds_Rates!$F$17,IF(AND(OR($B$4="New Consultant Contract"),$B127&lt;&gt;""),$C127*Thresholds_Rates!$F$17,IF(AND(OR($B$4="Clinical Lecturer / Medical Research Fellow",$B$4="Clinical Consultant - Old Contract (GP)"),$B127&lt;&gt;""),$C127*Thresholds_Rates!$F$17,IF(AND(OR($B$4="APM Level 7",$B$4="R&amp;T Level 7"),F127&lt;&gt;""),$C127*Thresholds_Rates!$F$17,IF(SUMIF(Grades!$A:$A,$B$4,Grades!$BQ:$BQ)=1,$C127*Thresholds_Rates!$F$17,""))))))))</f>
        <v/>
      </c>
      <c r="H127" s="25"/>
      <c r="I127" s="25" t="str">
        <f ca="1">IF(B127="","",(C127*Thresholds_Rates!$C$12))</f>
        <v/>
      </c>
      <c r="J127" s="25"/>
      <c r="K127" s="4"/>
      <c r="L127" s="25" t="str">
        <f t="shared" ca="1" si="8"/>
        <v/>
      </c>
      <c r="M127" s="25" t="str">
        <f t="shared" ca="1" si="9"/>
        <v/>
      </c>
      <c r="N127" s="25" t="str">
        <f t="shared" ca="1" si="10"/>
        <v/>
      </c>
      <c r="O127" s="25" t="str">
        <f t="shared" ca="1" si="11"/>
        <v/>
      </c>
      <c r="P127" s="25" t="str">
        <f t="shared" ca="1" si="12"/>
        <v/>
      </c>
      <c r="R127" s="28"/>
      <c r="S127" s="29"/>
      <c r="T127" s="28"/>
      <c r="U127" s="29"/>
    </row>
    <row r="128" spans="2:21" x14ac:dyDescent="0.25">
      <c r="B128" s="4" t="str">
        <f ca="1">IFERROR(INDEX(Points_Lookup!$A:$A,MATCH($Z130,Points_Lookup!$AE:$AE,0)),"")</f>
        <v/>
      </c>
      <c r="C128" s="25" t="str">
        <f ca="1">IF(B128="","",IF($B$4="Apprenticeship",SUMIF(Points_Lookup!$AA:$AA,B128,Points_Lookup!$AC:$AC),IF(AND(OR($B$4="New Consultant Contract"),$B128&lt;&gt;""),INDEX(Points_Lookup!$K:$K,MATCH($B128,Points_Lookup!$J:$J,0)),IF(AND(OR($B$4="Clinical Lecturer / Medical Research Fellow",$B$4="Clinical Consultant - Old Contract (GP)"),$B128&lt;&gt;""),INDEX(Points_Lookup!$H:$H,MATCH($B128,Points_Lookup!$G:$G,0)),IF(AND(OR($B$4="APM Level 7",$B$4="R&amp;T Level 7",$B$4="APM Level 8"),B128&lt;&gt;""),INDEX(Points_Lookup!$E:$E,MATCH($Z128,Points_Lookup!$AE:$AE,0)),IF($B$4="R&amp;T Level 5 - Clinical Lecturers (Vet School)",SUMIF(Points_Lookup!$M:$M,$B128,Points_Lookup!$P:$P),IF($B$4="R&amp;T Level 6 - Clinical Associate Professors and Clinical Readers (Vet School)",SUMIF(Points_Lookup!$T:$T,$B128,Points_Lookup!$W:$W),IFERROR(INDEX(Points_Lookup!$B:$B,MATCH($Z128,Points_Lookup!$AE:$AE,0)),""))))))))</f>
        <v/>
      </c>
      <c r="D128" s="36"/>
      <c r="E128" s="25" t="str">
        <f ca="1">IF($B128="","",IF(AND($B$4="Salary Points 3 to 57",B128&lt;Thresholds_Rates!$C$16),"-",IF(SUMIF(Grades!$A:$A,$B$4,Grades!$BO:$BO)=0,"-",IF(AND($B$4="Salary Points 3 to 57",B128&gt;=Thresholds_Rates!$C$16),$C128*Thresholds_Rates!$F$15,IF(AND(OR($B$4="New Consultant Contract"),$B128&lt;&gt;""),$C128*Thresholds_Rates!$F$15,IF(AND(OR($B$4="Clinical Lecturer / Medical Research Fellow",$B$4="Clinical Consultant - Old Contract (GP)"),$B128&lt;&gt;""),$C128*Thresholds_Rates!$F$15,IF(OR($B$4="APM Level 7",$B$4="R&amp;T Level 7"),$C128*Thresholds_Rates!$F$15,IF(SUMIF(Grades!$A:$A,$B$4,Grades!$BO:$BO)=1,$C128*Thresholds_Rates!$F$15,""))))))))</f>
        <v/>
      </c>
      <c r="F128" s="25" t="str">
        <f ca="1">IF(B128="","",IF($B$4="Salary Points 1 to 57","-",IF(SUMIF(Grades!$A:$A,$B$4,Grades!$BP:$BP)=0,"-",IF(AND(OR($B$4="New Consultant Contract"),$B128&lt;&gt;""),$C128*Thresholds_Rates!$F$16,IF(AND(OR($B$4="Clinical Lecturer / Medical Research Fellow",$B$4="Clinical Consultant - Old Contract (GP)"),$B128&lt;&gt;""),$C128*Thresholds_Rates!$F$16,IF(AND(OR($B$4="APM Level 7",$B$4="R&amp;T Level 7"),E128&lt;&gt;""),$C128*Thresholds_Rates!$F$16,IF(SUMIF(Grades!$A:$A,$B$4,Grades!$BP:$BP)=1,$C128*Thresholds_Rates!$F$16,"")))))))</f>
        <v/>
      </c>
      <c r="G128" s="25" t="str">
        <f ca="1">IF(B128="","",IF(SUMIF(Grades!$A:$A,$B$4,Grades!$BQ:$BQ)=0,"-",IF(AND($B$4="Salary Points 1 to 57",B128&gt;Thresholds_Rates!$C$17),"-",IF(AND($B$4="Salary Points 1 to 57",B128&lt;=Thresholds_Rates!$C$17),$C128*Thresholds_Rates!$F$17,IF(AND(OR($B$4="New Consultant Contract"),$B128&lt;&gt;""),$C128*Thresholds_Rates!$F$17,IF(AND(OR($B$4="Clinical Lecturer / Medical Research Fellow",$B$4="Clinical Consultant - Old Contract (GP)"),$B128&lt;&gt;""),$C128*Thresholds_Rates!$F$17,IF(AND(OR($B$4="APM Level 7",$B$4="R&amp;T Level 7"),F128&lt;&gt;""),$C128*Thresholds_Rates!$F$17,IF(SUMIF(Grades!$A:$A,$B$4,Grades!$BQ:$BQ)=1,$C128*Thresholds_Rates!$F$17,""))))))))</f>
        <v/>
      </c>
      <c r="H128" s="25"/>
      <c r="I128" s="25" t="str">
        <f ca="1">IF(B128="","",(C128*Thresholds_Rates!$C$12))</f>
        <v/>
      </c>
      <c r="J128" s="25"/>
      <c r="K128" s="4"/>
      <c r="L128" s="25" t="str">
        <f t="shared" ca="1" si="8"/>
        <v/>
      </c>
      <c r="M128" s="25" t="str">
        <f t="shared" ca="1" si="9"/>
        <v/>
      </c>
      <c r="N128" s="25" t="str">
        <f t="shared" ca="1" si="10"/>
        <v/>
      </c>
      <c r="O128" s="25" t="str">
        <f t="shared" ca="1" si="11"/>
        <v/>
      </c>
      <c r="P128" s="25" t="str">
        <f t="shared" ca="1" si="12"/>
        <v/>
      </c>
      <c r="R128" s="28"/>
      <c r="S128" s="29"/>
      <c r="T128" s="28"/>
      <c r="U128" s="29"/>
    </row>
    <row r="129" spans="2:21" x14ac:dyDescent="0.25">
      <c r="B129" s="4" t="str">
        <f ca="1">IFERROR(INDEX(Points_Lookup!$A:$A,MATCH($Z131,Points_Lookup!$AE:$AE,0)),"")</f>
        <v/>
      </c>
      <c r="C129" s="25" t="str">
        <f ca="1">IF(B129="","",IF($B$4="Apprenticeship",SUMIF(Points_Lookup!$AA:$AA,B129,Points_Lookup!$AC:$AC),IF(AND(OR($B$4="New Consultant Contract"),$B129&lt;&gt;""),INDEX(Points_Lookup!$K:$K,MATCH($B129,Points_Lookup!$J:$J,0)),IF(AND(OR($B$4="Clinical Lecturer / Medical Research Fellow",$B$4="Clinical Consultant - Old Contract (GP)"),$B129&lt;&gt;""),INDEX(Points_Lookup!$H:$H,MATCH($B129,Points_Lookup!$G:$G,0)),IF(AND(OR($B$4="APM Level 7",$B$4="R&amp;T Level 7",$B$4="APM Level 8"),B129&lt;&gt;""),INDEX(Points_Lookup!$E:$E,MATCH($Z129,Points_Lookup!$AE:$AE,0)),IF($B$4="R&amp;T Level 5 - Clinical Lecturers (Vet School)",SUMIF(Points_Lookup!$M:$M,$B129,Points_Lookup!$P:$P),IF($B$4="R&amp;T Level 6 - Clinical Associate Professors and Clinical Readers (Vet School)",SUMIF(Points_Lookup!$T:$T,$B129,Points_Lookup!$W:$W),IFERROR(INDEX(Points_Lookup!$B:$B,MATCH($Z129,Points_Lookup!$AE:$AE,0)),""))))))))</f>
        <v/>
      </c>
      <c r="D129" s="36"/>
      <c r="E129" s="25" t="str">
        <f ca="1">IF($B129="","",IF(AND($B$4="Salary Points 3 to 57",B129&lt;Thresholds_Rates!$C$16),"-",IF(SUMIF(Grades!$A:$A,$B$4,Grades!$BO:$BO)=0,"-",IF(AND($B$4="Salary Points 3 to 57",B129&gt;=Thresholds_Rates!$C$16),$C129*Thresholds_Rates!$F$15,IF(AND(OR($B$4="New Consultant Contract"),$B129&lt;&gt;""),$C129*Thresholds_Rates!$F$15,IF(AND(OR($B$4="Clinical Lecturer / Medical Research Fellow",$B$4="Clinical Consultant - Old Contract (GP)"),$B129&lt;&gt;""),$C129*Thresholds_Rates!$F$15,IF(OR($B$4="APM Level 7",$B$4="R&amp;T Level 7"),$C129*Thresholds_Rates!$F$15,IF(SUMIF(Grades!$A:$A,$B$4,Grades!$BO:$BO)=1,$C129*Thresholds_Rates!$F$15,""))))))))</f>
        <v/>
      </c>
      <c r="F129" s="25" t="str">
        <f ca="1">IF(B129="","",IF($B$4="Salary Points 1 to 57","-",IF(SUMIF(Grades!$A:$A,$B$4,Grades!$BP:$BP)=0,"-",IF(AND(OR($B$4="New Consultant Contract"),$B129&lt;&gt;""),$C129*Thresholds_Rates!$F$16,IF(AND(OR($B$4="Clinical Lecturer / Medical Research Fellow",$B$4="Clinical Consultant - Old Contract (GP)"),$B129&lt;&gt;""),$C129*Thresholds_Rates!$F$16,IF(AND(OR($B$4="APM Level 7",$B$4="R&amp;T Level 7"),E129&lt;&gt;""),$C129*Thresholds_Rates!$F$16,IF(SUMIF(Grades!$A:$A,$B$4,Grades!$BP:$BP)=1,$C129*Thresholds_Rates!$F$16,"")))))))</f>
        <v/>
      </c>
      <c r="G129" s="25" t="str">
        <f ca="1">IF(B129="","",IF(SUMIF(Grades!$A:$A,$B$4,Grades!$BQ:$BQ)=0,"-",IF(AND($B$4="Salary Points 1 to 57",B129&gt;Thresholds_Rates!$C$17),"-",IF(AND($B$4="Salary Points 1 to 57",B129&lt;=Thresholds_Rates!$C$17),$C129*Thresholds_Rates!$F$17,IF(AND(OR($B$4="New Consultant Contract"),$B129&lt;&gt;""),$C129*Thresholds_Rates!$F$17,IF(AND(OR($B$4="Clinical Lecturer / Medical Research Fellow",$B$4="Clinical Consultant - Old Contract (GP)"),$B129&lt;&gt;""),$C129*Thresholds_Rates!$F$17,IF(AND(OR($B$4="APM Level 7",$B$4="R&amp;T Level 7"),F129&lt;&gt;""),$C129*Thresholds_Rates!$F$17,IF(SUMIF(Grades!$A:$A,$B$4,Grades!$BQ:$BQ)=1,$C129*Thresholds_Rates!$F$17,""))))))))</f>
        <v/>
      </c>
      <c r="H129" s="25"/>
      <c r="I129" s="25" t="str">
        <f ca="1">IF(B129="","",(C129*Thresholds_Rates!$C$12))</f>
        <v/>
      </c>
      <c r="J129" s="25"/>
      <c r="K129" s="4"/>
      <c r="L129" s="25" t="str">
        <f t="shared" ca="1" si="8"/>
        <v/>
      </c>
      <c r="M129" s="25" t="str">
        <f t="shared" ca="1" si="9"/>
        <v/>
      </c>
      <c r="N129" s="25" t="str">
        <f t="shared" ca="1" si="10"/>
        <v/>
      </c>
      <c r="O129" s="25" t="str">
        <f t="shared" ca="1" si="11"/>
        <v/>
      </c>
      <c r="P129" s="25" t="str">
        <f t="shared" ca="1" si="12"/>
        <v/>
      </c>
      <c r="R129" s="28"/>
      <c r="S129" s="29"/>
      <c r="T129" s="28"/>
      <c r="U129" s="29"/>
    </row>
    <row r="130" spans="2:21" x14ac:dyDescent="0.25">
      <c r="B130" s="4" t="str">
        <f ca="1">IFERROR(INDEX(Points_Lookup!$A:$A,MATCH($Z132,Points_Lookup!$AE:$AE,0)),"")</f>
        <v/>
      </c>
      <c r="C130" s="25" t="str">
        <f ca="1">IF(B130="","",IF($B$4="Apprenticeship",SUMIF(Points_Lookup!$AA:$AA,B130,Points_Lookup!$AC:$AC),IF(AND(OR($B$4="New Consultant Contract"),$B130&lt;&gt;""),INDEX(Points_Lookup!$K:$K,MATCH($B130,Points_Lookup!$J:$J,0)),IF(AND(OR($B$4="Clinical Lecturer / Medical Research Fellow",$B$4="Clinical Consultant - Old Contract (GP)"),$B130&lt;&gt;""),INDEX(Points_Lookup!$H:$H,MATCH($B130,Points_Lookup!$G:$G,0)),IF(AND(OR($B$4="APM Level 7",$B$4="R&amp;T Level 7",$B$4="APM Level 8"),B130&lt;&gt;""),INDEX(Points_Lookup!$E:$E,MATCH($Z130,Points_Lookup!$AE:$AE,0)),IF($B$4="R&amp;T Level 5 - Clinical Lecturers (Vet School)",SUMIF(Points_Lookup!$M:$M,$B130,Points_Lookup!$P:$P),IF($B$4="R&amp;T Level 6 - Clinical Associate Professors and Clinical Readers (Vet School)",SUMIF(Points_Lookup!$T:$T,$B130,Points_Lookup!$W:$W),IFERROR(INDEX(Points_Lookup!$B:$B,MATCH($Z130,Points_Lookup!$AE:$AE,0)),""))))))))</f>
        <v/>
      </c>
      <c r="D130" s="36"/>
      <c r="E130" s="25" t="str">
        <f ca="1">IF($B130="","",IF(AND($B$4="Salary Points 3 to 57",B130&lt;Thresholds_Rates!$C$16),"-",IF(SUMIF(Grades!$A:$A,$B$4,Grades!$BO:$BO)=0,"-",IF(AND($B$4="Salary Points 3 to 57",B130&gt;=Thresholds_Rates!$C$16),$C130*Thresholds_Rates!$F$15,IF(AND(OR($B$4="New Consultant Contract"),$B130&lt;&gt;""),$C130*Thresholds_Rates!$F$15,IF(AND(OR($B$4="Clinical Lecturer / Medical Research Fellow",$B$4="Clinical Consultant - Old Contract (GP)"),$B130&lt;&gt;""),$C130*Thresholds_Rates!$F$15,IF(OR($B$4="APM Level 7",$B$4="R&amp;T Level 7"),$C130*Thresholds_Rates!$F$15,IF(SUMIF(Grades!$A:$A,$B$4,Grades!$BO:$BO)=1,$C130*Thresholds_Rates!$F$15,""))))))))</f>
        <v/>
      </c>
      <c r="F130" s="25" t="str">
        <f ca="1">IF(B130="","",IF($B$4="Salary Points 1 to 57","-",IF(SUMIF(Grades!$A:$A,$B$4,Grades!$BP:$BP)=0,"-",IF(AND(OR($B$4="New Consultant Contract"),$B130&lt;&gt;""),$C130*Thresholds_Rates!$F$16,IF(AND(OR($B$4="Clinical Lecturer / Medical Research Fellow",$B$4="Clinical Consultant - Old Contract (GP)"),$B130&lt;&gt;""),$C130*Thresholds_Rates!$F$16,IF(AND(OR($B$4="APM Level 7",$B$4="R&amp;T Level 7"),E130&lt;&gt;""),$C130*Thresholds_Rates!$F$16,IF(SUMIF(Grades!$A:$A,$B$4,Grades!$BP:$BP)=1,$C130*Thresholds_Rates!$F$16,"")))))))</f>
        <v/>
      </c>
      <c r="G130" s="25" t="str">
        <f ca="1">IF(B130="","",IF(SUMIF(Grades!$A:$A,$B$4,Grades!$BQ:$BQ)=0,"-",IF(AND($B$4="Salary Points 1 to 57",B130&gt;Thresholds_Rates!$C$17),"-",IF(AND($B$4="Salary Points 1 to 57",B130&lt;=Thresholds_Rates!$C$17),$C130*Thresholds_Rates!$F$17,IF(AND(OR($B$4="New Consultant Contract"),$B130&lt;&gt;""),$C130*Thresholds_Rates!$F$17,IF(AND(OR($B$4="Clinical Lecturer / Medical Research Fellow",$B$4="Clinical Consultant - Old Contract (GP)"),$B130&lt;&gt;""),$C130*Thresholds_Rates!$F$17,IF(AND(OR($B$4="APM Level 7",$B$4="R&amp;T Level 7"),F130&lt;&gt;""),$C130*Thresholds_Rates!$F$17,IF(SUMIF(Grades!$A:$A,$B$4,Grades!$BQ:$BQ)=1,$C130*Thresholds_Rates!$F$17,""))))))))</f>
        <v/>
      </c>
      <c r="H130" s="25"/>
      <c r="I130" s="25" t="str">
        <f ca="1">IF(B130="","",(C130*Thresholds_Rates!$C$12))</f>
        <v/>
      </c>
      <c r="J130" s="25"/>
      <c r="K130" s="4"/>
      <c r="L130" s="25" t="str">
        <f t="shared" ca="1" si="8"/>
        <v/>
      </c>
      <c r="M130" s="25" t="str">
        <f t="shared" ca="1" si="9"/>
        <v/>
      </c>
      <c r="N130" s="25" t="str">
        <f t="shared" ca="1" si="10"/>
        <v/>
      </c>
      <c r="O130" s="25" t="str">
        <f t="shared" ca="1" si="11"/>
        <v/>
      </c>
      <c r="P130" s="25" t="str">
        <f t="shared" ca="1" si="12"/>
        <v/>
      </c>
      <c r="R130" s="28"/>
      <c r="S130" s="29"/>
      <c r="T130" s="28"/>
      <c r="U130" s="29"/>
    </row>
    <row r="131" spans="2:21" x14ac:dyDescent="0.25">
      <c r="B131" s="4" t="str">
        <f ca="1">IFERROR(INDEX(Points_Lookup!$A:$A,MATCH($Z133,Points_Lookup!$AE:$AE,0)),"")</f>
        <v/>
      </c>
      <c r="C131" s="25" t="str">
        <f ca="1">IF(B131="","",IF($B$4="Apprenticeship",SUMIF(Points_Lookup!$AA:$AA,B131,Points_Lookup!$AC:$AC),IF(AND(OR($B$4="New Consultant Contract"),$B131&lt;&gt;""),INDEX(Points_Lookup!$K:$K,MATCH($B131,Points_Lookup!$J:$J,0)),IF(AND(OR($B$4="Clinical Lecturer / Medical Research Fellow",$B$4="Clinical Consultant - Old Contract (GP)"),$B131&lt;&gt;""),INDEX(Points_Lookup!$H:$H,MATCH($B131,Points_Lookup!$G:$G,0)),IF(AND(OR($B$4="APM Level 7",$B$4="R&amp;T Level 7",$B$4="APM Level 8"),B131&lt;&gt;""),INDEX(Points_Lookup!$E:$E,MATCH($Z131,Points_Lookup!$AE:$AE,0)),IF($B$4="R&amp;T Level 5 - Clinical Lecturers (Vet School)",SUMIF(Points_Lookup!$M:$M,$B131,Points_Lookup!$P:$P),IF($B$4="R&amp;T Level 6 - Clinical Associate Professors and Clinical Readers (Vet School)",SUMIF(Points_Lookup!$T:$T,$B131,Points_Lookup!$W:$W),IFERROR(INDEX(Points_Lookup!$B:$B,MATCH($Z131,Points_Lookup!$AE:$AE,0)),""))))))))</f>
        <v/>
      </c>
      <c r="D131" s="36"/>
      <c r="E131" s="25" t="str">
        <f ca="1">IF($B131="","",IF(AND($B$4="Salary Points 3 to 57",B131&lt;Thresholds_Rates!$C$16),"-",IF(SUMIF(Grades!$A:$A,$B$4,Grades!$BO:$BO)=0,"-",IF(AND($B$4="Salary Points 3 to 57",B131&gt;=Thresholds_Rates!$C$16),$C131*Thresholds_Rates!$F$15,IF(AND(OR($B$4="New Consultant Contract"),$B131&lt;&gt;""),$C131*Thresholds_Rates!$F$15,IF(AND(OR($B$4="Clinical Lecturer / Medical Research Fellow",$B$4="Clinical Consultant - Old Contract (GP)"),$B131&lt;&gt;""),$C131*Thresholds_Rates!$F$15,IF(OR($B$4="APM Level 7",$B$4="R&amp;T Level 7"),$C131*Thresholds_Rates!$F$15,IF(SUMIF(Grades!$A:$A,$B$4,Grades!$BO:$BO)=1,$C131*Thresholds_Rates!$F$15,""))))))))</f>
        <v/>
      </c>
      <c r="F131" s="25" t="str">
        <f ca="1">IF(B131="","",IF($B$4="Salary Points 1 to 57","-",IF(SUMIF(Grades!$A:$A,$B$4,Grades!$BP:$BP)=0,"-",IF(AND(OR($B$4="New Consultant Contract"),$B131&lt;&gt;""),$C131*Thresholds_Rates!$F$16,IF(AND(OR($B$4="Clinical Lecturer / Medical Research Fellow",$B$4="Clinical Consultant - Old Contract (GP)"),$B131&lt;&gt;""),$C131*Thresholds_Rates!$F$16,IF(AND(OR($B$4="APM Level 7",$B$4="R&amp;T Level 7"),E131&lt;&gt;""),$C131*Thresholds_Rates!$F$16,IF(SUMIF(Grades!$A:$A,$B$4,Grades!$BP:$BP)=1,$C131*Thresholds_Rates!$F$16,"")))))))</f>
        <v/>
      </c>
      <c r="G131" s="25" t="str">
        <f ca="1">IF(B131="","",IF(SUMIF(Grades!$A:$A,$B$4,Grades!$BQ:$BQ)=0,"-",IF(AND($B$4="Salary Points 1 to 57",B131&gt;Thresholds_Rates!$C$17),"-",IF(AND($B$4="Salary Points 1 to 57",B131&lt;=Thresholds_Rates!$C$17),$C131*Thresholds_Rates!$F$17,IF(AND(OR($B$4="New Consultant Contract"),$B131&lt;&gt;""),$C131*Thresholds_Rates!$F$17,IF(AND(OR($B$4="Clinical Lecturer / Medical Research Fellow",$B$4="Clinical Consultant - Old Contract (GP)"),$B131&lt;&gt;""),$C131*Thresholds_Rates!$F$17,IF(AND(OR($B$4="APM Level 7",$B$4="R&amp;T Level 7"),F131&lt;&gt;""),$C131*Thresholds_Rates!$F$17,IF(SUMIF(Grades!$A:$A,$B$4,Grades!$BQ:$BQ)=1,$C131*Thresholds_Rates!$F$17,""))))))))</f>
        <v/>
      </c>
      <c r="H131" s="25"/>
      <c r="I131" s="25" t="str">
        <f ca="1">IF(B131="","",(C131*Thresholds_Rates!$C$12))</f>
        <v/>
      </c>
      <c r="J131" s="25"/>
      <c r="K131" s="4"/>
      <c r="L131" s="25" t="str">
        <f t="shared" ca="1" si="8"/>
        <v/>
      </c>
      <c r="M131" s="25" t="str">
        <f t="shared" ca="1" si="9"/>
        <v/>
      </c>
      <c r="N131" s="25" t="str">
        <f t="shared" ca="1" si="10"/>
        <v/>
      </c>
      <c r="O131" s="25" t="str">
        <f t="shared" ca="1" si="11"/>
        <v/>
      </c>
      <c r="P131" s="25" t="str">
        <f t="shared" ca="1" si="12"/>
        <v/>
      </c>
      <c r="R131" s="28"/>
      <c r="S131" s="29"/>
      <c r="T131" s="28"/>
      <c r="U131" s="29"/>
    </row>
    <row r="132" spans="2:21" x14ac:dyDescent="0.25">
      <c r="B132" s="4" t="str">
        <f ca="1">IFERROR(INDEX(Points_Lookup!$A:$A,MATCH($Z134,Points_Lookup!$AE:$AE,0)),"")</f>
        <v/>
      </c>
      <c r="C132" s="25" t="str">
        <f ca="1">IF(B132="","",IF($B$4="Apprenticeship",SUMIF(Points_Lookup!$AA:$AA,B132,Points_Lookup!$AC:$AC),IF(AND(OR($B$4="New Consultant Contract"),$B132&lt;&gt;""),INDEX(Points_Lookup!$K:$K,MATCH($B132,Points_Lookup!$J:$J,0)),IF(AND(OR($B$4="Clinical Lecturer / Medical Research Fellow",$B$4="Clinical Consultant - Old Contract (GP)"),$B132&lt;&gt;""),INDEX(Points_Lookup!$H:$H,MATCH($B132,Points_Lookup!$G:$G,0)),IF(AND(OR($B$4="APM Level 7",$B$4="R&amp;T Level 7",$B$4="APM Level 8"),B132&lt;&gt;""),INDEX(Points_Lookup!$E:$E,MATCH($Z132,Points_Lookup!$AE:$AE,0)),IF($B$4="R&amp;T Level 5 - Clinical Lecturers (Vet School)",SUMIF(Points_Lookup!$M:$M,$B132,Points_Lookup!$P:$P),IF($B$4="R&amp;T Level 6 - Clinical Associate Professors and Clinical Readers (Vet School)",SUMIF(Points_Lookup!$T:$T,$B132,Points_Lookup!$W:$W),IFERROR(INDEX(Points_Lookup!$B:$B,MATCH($Z132,Points_Lookup!$AE:$AE,0)),""))))))))</f>
        <v/>
      </c>
      <c r="D132" s="36"/>
      <c r="E132" s="25" t="str">
        <f ca="1">IF($B132="","",IF(AND($B$4="Salary Points 3 to 57",B132&lt;Thresholds_Rates!$C$16),"-",IF(SUMIF(Grades!$A:$A,$B$4,Grades!$BO:$BO)=0,"-",IF(AND($B$4="Salary Points 3 to 57",B132&gt;=Thresholds_Rates!$C$16),$C132*Thresholds_Rates!$F$15,IF(AND(OR($B$4="New Consultant Contract"),$B132&lt;&gt;""),$C132*Thresholds_Rates!$F$15,IF(AND(OR($B$4="Clinical Lecturer / Medical Research Fellow",$B$4="Clinical Consultant - Old Contract (GP)"),$B132&lt;&gt;""),$C132*Thresholds_Rates!$F$15,IF(OR($B$4="APM Level 7",$B$4="R&amp;T Level 7"),$C132*Thresholds_Rates!$F$15,IF(SUMIF(Grades!$A:$A,$B$4,Grades!$BO:$BO)=1,$C132*Thresholds_Rates!$F$15,""))))))))</f>
        <v/>
      </c>
      <c r="F132" s="25" t="str">
        <f ca="1">IF(B132="","",IF($B$4="Salary Points 1 to 57","-",IF(SUMIF(Grades!$A:$A,$B$4,Grades!$BP:$BP)=0,"-",IF(AND(OR($B$4="New Consultant Contract"),$B132&lt;&gt;""),$C132*Thresholds_Rates!$F$16,IF(AND(OR($B$4="Clinical Lecturer / Medical Research Fellow",$B$4="Clinical Consultant - Old Contract (GP)"),$B132&lt;&gt;""),$C132*Thresholds_Rates!$F$16,IF(AND(OR($B$4="APM Level 7",$B$4="R&amp;T Level 7"),E132&lt;&gt;""),$C132*Thresholds_Rates!$F$16,IF(SUMIF(Grades!$A:$A,$B$4,Grades!$BP:$BP)=1,$C132*Thresholds_Rates!$F$16,"")))))))</f>
        <v/>
      </c>
      <c r="G132" s="25" t="str">
        <f ca="1">IF(B132="","",IF(SUMIF(Grades!$A:$A,$B$4,Grades!$BQ:$BQ)=0,"-",IF(AND($B$4="Salary Points 1 to 57",B132&gt;Thresholds_Rates!$C$17),"-",IF(AND($B$4="Salary Points 1 to 57",B132&lt;=Thresholds_Rates!$C$17),$C132*Thresholds_Rates!$F$17,IF(AND(OR($B$4="New Consultant Contract"),$B132&lt;&gt;""),$C132*Thresholds_Rates!$F$17,IF(AND(OR($B$4="Clinical Lecturer / Medical Research Fellow",$B$4="Clinical Consultant - Old Contract (GP)"),$B132&lt;&gt;""),$C132*Thresholds_Rates!$F$17,IF(AND(OR($B$4="APM Level 7",$B$4="R&amp;T Level 7"),F132&lt;&gt;""),$C132*Thresholds_Rates!$F$17,IF(SUMIF(Grades!$A:$A,$B$4,Grades!$BQ:$BQ)=1,$C132*Thresholds_Rates!$F$17,""))))))))</f>
        <v/>
      </c>
      <c r="H132" s="25"/>
      <c r="I132" s="25" t="str">
        <f ca="1">IF(B132="","",(C132*Thresholds_Rates!$C$12))</f>
        <v/>
      </c>
      <c r="J132" s="25"/>
      <c r="K132" s="4"/>
      <c r="L132" s="25" t="str">
        <f t="shared" ca="1" si="8"/>
        <v/>
      </c>
      <c r="M132" s="25" t="str">
        <f t="shared" ca="1" si="9"/>
        <v/>
      </c>
      <c r="N132" s="25" t="str">
        <f t="shared" ca="1" si="10"/>
        <v/>
      </c>
      <c r="O132" s="25" t="str">
        <f t="shared" ca="1" si="11"/>
        <v/>
      </c>
      <c r="P132" s="25" t="str">
        <f t="shared" ca="1" si="12"/>
        <v/>
      </c>
      <c r="R132" s="28"/>
      <c r="S132" s="29"/>
      <c r="T132" s="28"/>
      <c r="U132" s="29"/>
    </row>
    <row r="133" spans="2:21" x14ac:dyDescent="0.25">
      <c r="B133" s="4" t="str">
        <f ca="1">IFERROR(INDEX(Points_Lookup!$A:$A,MATCH($Z135,Points_Lookup!$AE:$AE,0)),"")</f>
        <v/>
      </c>
      <c r="C133" s="25" t="str">
        <f ca="1">IF(B133="","",IF($B$4="Apprenticeship",SUMIF(Points_Lookup!$AA:$AA,B133,Points_Lookup!$AC:$AC),IF(AND(OR($B$4="New Consultant Contract"),$B133&lt;&gt;""),INDEX(Points_Lookup!$K:$K,MATCH($B133,Points_Lookup!$J:$J,0)),IF(AND(OR($B$4="Clinical Lecturer / Medical Research Fellow",$B$4="Clinical Consultant - Old Contract (GP)"),$B133&lt;&gt;""),INDEX(Points_Lookup!$H:$H,MATCH($B133,Points_Lookup!$G:$G,0)),IF(AND(OR($B$4="APM Level 7",$B$4="R&amp;T Level 7",$B$4="APM Level 8"),B133&lt;&gt;""),INDEX(Points_Lookup!$E:$E,MATCH($Z133,Points_Lookup!$AE:$AE,0)),IF($B$4="R&amp;T Level 5 - Clinical Lecturers (Vet School)",SUMIF(Points_Lookup!$M:$M,$B133,Points_Lookup!$P:$P),IF($B$4="R&amp;T Level 6 - Clinical Associate Professors and Clinical Readers (Vet School)",SUMIF(Points_Lookup!$T:$T,$B133,Points_Lookup!$W:$W),IFERROR(INDEX(Points_Lookup!$B:$B,MATCH($Z133,Points_Lookup!$AE:$AE,0)),""))))))))</f>
        <v/>
      </c>
      <c r="D133" s="36"/>
      <c r="E133" s="25" t="str">
        <f ca="1">IF($B133="","",IF(AND($B$4="Salary Points 3 to 57",B133&lt;Thresholds_Rates!$C$16),"-",IF(SUMIF(Grades!$A:$A,$B$4,Grades!$BO:$BO)=0,"-",IF(AND($B$4="Salary Points 3 to 57",B133&gt;=Thresholds_Rates!$C$16),$C133*Thresholds_Rates!$F$15,IF(AND(OR($B$4="New Consultant Contract"),$B133&lt;&gt;""),$C133*Thresholds_Rates!$F$15,IF(AND(OR($B$4="Clinical Lecturer / Medical Research Fellow",$B$4="Clinical Consultant - Old Contract (GP)"),$B133&lt;&gt;""),$C133*Thresholds_Rates!$F$15,IF(OR($B$4="APM Level 7",$B$4="R&amp;T Level 7"),$C133*Thresholds_Rates!$F$15,IF(SUMIF(Grades!$A:$A,$B$4,Grades!$BO:$BO)=1,$C133*Thresholds_Rates!$F$15,""))))))))</f>
        <v/>
      </c>
      <c r="F133" s="25" t="str">
        <f ca="1">IF(B133="","",IF($B$4="Salary Points 1 to 57","-",IF(SUMIF(Grades!$A:$A,$B$4,Grades!$BP:$BP)=0,"-",IF(AND(OR($B$4="New Consultant Contract"),$B133&lt;&gt;""),$C133*Thresholds_Rates!$F$16,IF(AND(OR($B$4="Clinical Lecturer / Medical Research Fellow",$B$4="Clinical Consultant - Old Contract (GP)"),$B133&lt;&gt;""),$C133*Thresholds_Rates!$F$16,IF(AND(OR($B$4="APM Level 7",$B$4="R&amp;T Level 7"),E133&lt;&gt;""),$C133*Thresholds_Rates!$F$16,IF(SUMIF(Grades!$A:$A,$B$4,Grades!$BP:$BP)=1,$C133*Thresholds_Rates!$F$16,"")))))))</f>
        <v/>
      </c>
      <c r="G133" s="25" t="str">
        <f ca="1">IF(B133="","",IF(SUMIF(Grades!$A:$A,$B$4,Grades!$BQ:$BQ)=0,"-",IF(AND($B$4="Salary Points 1 to 57",B133&gt;Thresholds_Rates!$C$17),"-",IF(AND($B$4="Salary Points 1 to 57",B133&lt;=Thresholds_Rates!$C$17),$C133*Thresholds_Rates!$F$17,IF(AND(OR($B$4="New Consultant Contract"),$B133&lt;&gt;""),$C133*Thresholds_Rates!$F$17,IF(AND(OR($B$4="Clinical Lecturer / Medical Research Fellow",$B$4="Clinical Consultant - Old Contract (GP)"),$B133&lt;&gt;""),$C133*Thresholds_Rates!$F$17,IF(AND(OR($B$4="APM Level 7",$B$4="R&amp;T Level 7"),F133&lt;&gt;""),$C133*Thresholds_Rates!$F$17,IF(SUMIF(Grades!$A:$A,$B$4,Grades!$BQ:$BQ)=1,$C133*Thresholds_Rates!$F$17,""))))))))</f>
        <v/>
      </c>
      <c r="H133" s="25"/>
      <c r="I133" s="25" t="str">
        <f ca="1">IF(B133="","",(C133*Thresholds_Rates!$C$12))</f>
        <v/>
      </c>
      <c r="J133" s="25"/>
      <c r="K133" s="4"/>
      <c r="L133" s="25" t="str">
        <f t="shared" ca="1" si="8"/>
        <v/>
      </c>
      <c r="M133" s="25" t="str">
        <f t="shared" ca="1" si="9"/>
        <v/>
      </c>
      <c r="N133" s="25" t="str">
        <f t="shared" ca="1" si="10"/>
        <v/>
      </c>
      <c r="O133" s="25" t="str">
        <f t="shared" ca="1" si="11"/>
        <v/>
      </c>
      <c r="P133" s="25" t="str">
        <f t="shared" ca="1" si="12"/>
        <v/>
      </c>
      <c r="R133" s="28"/>
      <c r="S133" s="29"/>
      <c r="T133" s="28"/>
      <c r="U133" s="29"/>
    </row>
    <row r="134" spans="2:21" x14ac:dyDescent="0.25">
      <c r="B134" s="4" t="str">
        <f ca="1">IFERROR(INDEX(Points_Lookup!$A:$A,MATCH($Z136,Points_Lookup!$AE:$AE,0)),"")</f>
        <v/>
      </c>
      <c r="C134" s="25" t="str">
        <f ca="1">IF(B134="","",IF($B$4="Apprenticeship",SUMIF(Points_Lookup!$AA:$AA,B134,Points_Lookup!$AC:$AC),IF(AND(OR($B$4="New Consultant Contract"),$B134&lt;&gt;""),INDEX(Points_Lookup!$K:$K,MATCH($B134,Points_Lookup!$J:$J,0)),IF(AND(OR($B$4="Clinical Lecturer / Medical Research Fellow",$B$4="Clinical Consultant - Old Contract (GP)"),$B134&lt;&gt;""),INDEX(Points_Lookup!$H:$H,MATCH($B134,Points_Lookup!$G:$G,0)),IF(AND(OR($B$4="APM Level 7",$B$4="R&amp;T Level 7",$B$4="APM Level 8"),B134&lt;&gt;""),INDEX(Points_Lookup!$E:$E,MATCH($Z134,Points_Lookup!$AE:$AE,0)),IF($B$4="R&amp;T Level 5 - Clinical Lecturers (Vet School)",SUMIF(Points_Lookup!$M:$M,$B134,Points_Lookup!$P:$P),IF($B$4="R&amp;T Level 6 - Clinical Associate Professors and Clinical Readers (Vet School)",SUMIF(Points_Lookup!$T:$T,$B134,Points_Lookup!$W:$W),IFERROR(INDEX(Points_Lookup!$B:$B,MATCH($Z134,Points_Lookup!$AE:$AE,0)),""))))))))</f>
        <v/>
      </c>
      <c r="D134" s="36"/>
      <c r="E134" s="25" t="str">
        <f ca="1">IF($B134="","",IF(AND($B$4="Salary Points 3 to 57",B134&lt;Thresholds_Rates!$C$16),"-",IF(SUMIF(Grades!$A:$A,$B$4,Grades!$BO:$BO)=0,"-",IF(AND($B$4="Salary Points 3 to 57",B134&gt;=Thresholds_Rates!$C$16),$C134*Thresholds_Rates!$F$15,IF(AND(OR($B$4="New Consultant Contract"),$B134&lt;&gt;""),$C134*Thresholds_Rates!$F$15,IF(AND(OR($B$4="Clinical Lecturer / Medical Research Fellow",$B$4="Clinical Consultant - Old Contract (GP)"),$B134&lt;&gt;""),$C134*Thresholds_Rates!$F$15,IF(OR($B$4="APM Level 7",$B$4="R&amp;T Level 7"),$C134*Thresholds_Rates!$F$15,IF(SUMIF(Grades!$A:$A,$B$4,Grades!$BO:$BO)=1,$C134*Thresholds_Rates!$F$15,""))))))))</f>
        <v/>
      </c>
      <c r="F134" s="25" t="str">
        <f ca="1">IF(B134="","",IF($B$4="Salary Points 1 to 57","-",IF(SUMIF(Grades!$A:$A,$B$4,Grades!$BP:$BP)=0,"-",IF(AND(OR($B$4="New Consultant Contract"),$B134&lt;&gt;""),$C134*Thresholds_Rates!$F$16,IF(AND(OR($B$4="Clinical Lecturer / Medical Research Fellow",$B$4="Clinical Consultant - Old Contract (GP)"),$B134&lt;&gt;""),$C134*Thresholds_Rates!$F$16,IF(AND(OR($B$4="APM Level 7",$B$4="R&amp;T Level 7"),E134&lt;&gt;""),$C134*Thresholds_Rates!$F$16,IF(SUMIF(Grades!$A:$A,$B$4,Grades!$BP:$BP)=1,$C134*Thresholds_Rates!$F$16,"")))))))</f>
        <v/>
      </c>
      <c r="G134" s="25" t="str">
        <f ca="1">IF(B134="","",IF(SUMIF(Grades!$A:$A,$B$4,Grades!$BQ:$BQ)=0,"-",IF(AND($B$4="Salary Points 1 to 57",B134&gt;Thresholds_Rates!$C$17),"-",IF(AND($B$4="Salary Points 1 to 57",B134&lt;=Thresholds_Rates!$C$17),$C134*Thresholds_Rates!$F$17,IF(AND(OR($B$4="New Consultant Contract"),$B134&lt;&gt;""),$C134*Thresholds_Rates!$F$17,IF(AND(OR($B$4="Clinical Lecturer / Medical Research Fellow",$B$4="Clinical Consultant - Old Contract (GP)"),$B134&lt;&gt;""),$C134*Thresholds_Rates!$F$17,IF(AND(OR($B$4="APM Level 7",$B$4="R&amp;T Level 7"),F134&lt;&gt;""),$C134*Thresholds_Rates!$F$17,IF(SUMIF(Grades!$A:$A,$B$4,Grades!$BQ:$BQ)=1,$C134*Thresholds_Rates!$F$17,""))))))))</f>
        <v/>
      </c>
      <c r="H134" s="25"/>
      <c r="I134" s="25" t="str">
        <f ca="1">IF(B134="","",(C134*Thresholds_Rates!$C$12))</f>
        <v/>
      </c>
      <c r="J134" s="25"/>
      <c r="K134" s="4"/>
      <c r="L134" s="25" t="str">
        <f t="shared" ca="1" si="8"/>
        <v/>
      </c>
      <c r="M134" s="25" t="str">
        <f t="shared" ca="1" si="9"/>
        <v/>
      </c>
      <c r="N134" s="25" t="str">
        <f t="shared" ca="1" si="10"/>
        <v/>
      </c>
      <c r="O134" s="25" t="str">
        <f t="shared" ca="1" si="11"/>
        <v/>
      </c>
      <c r="P134" s="25" t="str">
        <f t="shared" ca="1" si="12"/>
        <v/>
      </c>
      <c r="R134" s="28"/>
      <c r="S134" s="29"/>
      <c r="T134" s="28"/>
      <c r="U134" s="29"/>
    </row>
    <row r="135" spans="2:21" x14ac:dyDescent="0.25">
      <c r="B135" s="4" t="str">
        <f ca="1">IFERROR(INDEX(Points_Lookup!$A:$A,MATCH($Z137,Points_Lookup!$AE:$AE,0)),"")</f>
        <v/>
      </c>
      <c r="C135" s="25" t="str">
        <f ca="1">IF(B135="","",IF($B$4="Apprenticeship",SUMIF(Points_Lookup!$AA:$AA,B135,Points_Lookup!$AC:$AC),IF(AND(OR($B$4="New Consultant Contract"),$B135&lt;&gt;""),INDEX(Points_Lookup!$K:$K,MATCH($B135,Points_Lookup!$J:$J,0)),IF(AND(OR($B$4="Clinical Lecturer / Medical Research Fellow",$B$4="Clinical Consultant - Old Contract (GP)"),$B135&lt;&gt;""),INDEX(Points_Lookup!$H:$H,MATCH($B135,Points_Lookup!$G:$G,0)),IF(AND(OR($B$4="APM Level 7",$B$4="R&amp;T Level 7",$B$4="APM Level 8"),B135&lt;&gt;""),INDEX(Points_Lookup!$E:$E,MATCH($Z135,Points_Lookup!$AE:$AE,0)),IF($B$4="R&amp;T Level 5 - Clinical Lecturers (Vet School)",SUMIF(Points_Lookup!$M:$M,$B135,Points_Lookup!$P:$P),IF($B$4="R&amp;T Level 6 - Clinical Associate Professors and Clinical Readers (Vet School)",SUMIF(Points_Lookup!$T:$T,$B135,Points_Lookup!$W:$W),IFERROR(INDEX(Points_Lookup!$B:$B,MATCH($Z135,Points_Lookup!$AE:$AE,0)),""))))))))</f>
        <v/>
      </c>
      <c r="D135" s="36"/>
      <c r="E135" s="25" t="str">
        <f ca="1">IF($B135="","",IF(AND($B$4="Salary Points 3 to 57",B135&lt;Thresholds_Rates!$C$16),"-",IF(SUMIF(Grades!$A:$A,$B$4,Grades!$BO:$BO)=0,"-",IF(AND($B$4="Salary Points 3 to 57",B135&gt;=Thresholds_Rates!$C$16),$C135*Thresholds_Rates!$F$15,IF(AND(OR($B$4="New Consultant Contract"),$B135&lt;&gt;""),$C135*Thresholds_Rates!$F$15,IF(AND(OR($B$4="Clinical Lecturer / Medical Research Fellow",$B$4="Clinical Consultant - Old Contract (GP)"),$B135&lt;&gt;""),$C135*Thresholds_Rates!$F$15,IF(OR($B$4="APM Level 7",$B$4="R&amp;T Level 7"),$C135*Thresholds_Rates!$F$15,IF(SUMIF(Grades!$A:$A,$B$4,Grades!$BO:$BO)=1,$C135*Thresholds_Rates!$F$15,""))))))))</f>
        <v/>
      </c>
      <c r="F135" s="25" t="str">
        <f ca="1">IF(B135="","",IF($B$4="Salary Points 1 to 57","-",IF(SUMIF(Grades!$A:$A,$B$4,Grades!$BP:$BP)=0,"-",IF(AND(OR($B$4="New Consultant Contract"),$B135&lt;&gt;""),$C135*Thresholds_Rates!$F$16,IF(AND(OR($B$4="Clinical Lecturer / Medical Research Fellow",$B$4="Clinical Consultant - Old Contract (GP)"),$B135&lt;&gt;""),$C135*Thresholds_Rates!$F$16,IF(AND(OR($B$4="APM Level 7",$B$4="R&amp;T Level 7"),E135&lt;&gt;""),$C135*Thresholds_Rates!$F$16,IF(SUMIF(Grades!$A:$A,$B$4,Grades!$BP:$BP)=1,$C135*Thresholds_Rates!$F$16,"")))))))</f>
        <v/>
      </c>
      <c r="G135" s="25" t="str">
        <f ca="1">IF(B135="","",IF(SUMIF(Grades!$A:$A,$B$4,Grades!$BQ:$BQ)=0,"-",IF(AND($B$4="Salary Points 1 to 57",B135&gt;Thresholds_Rates!$C$17),"-",IF(AND($B$4="Salary Points 1 to 57",B135&lt;=Thresholds_Rates!$C$17),$C135*Thresholds_Rates!$F$17,IF(AND(OR($B$4="New Consultant Contract"),$B135&lt;&gt;""),$C135*Thresholds_Rates!$F$17,IF(AND(OR($B$4="Clinical Lecturer / Medical Research Fellow",$B$4="Clinical Consultant - Old Contract (GP)"),$B135&lt;&gt;""),$C135*Thresholds_Rates!$F$17,IF(AND(OR($B$4="APM Level 7",$B$4="R&amp;T Level 7"),F135&lt;&gt;""),$C135*Thresholds_Rates!$F$17,IF(SUMIF(Grades!$A:$A,$B$4,Grades!$BQ:$BQ)=1,$C135*Thresholds_Rates!$F$17,""))))))))</f>
        <v/>
      </c>
      <c r="H135" s="25"/>
      <c r="I135" s="25" t="str">
        <f ca="1">IF(B135="","",(C135*Thresholds_Rates!$C$12))</f>
        <v/>
      </c>
      <c r="J135" s="25"/>
      <c r="K135" s="4"/>
      <c r="L135" s="25" t="str">
        <f t="shared" ca="1" si="8"/>
        <v/>
      </c>
      <c r="M135" s="25" t="str">
        <f t="shared" ca="1" si="9"/>
        <v/>
      </c>
      <c r="N135" s="25" t="str">
        <f t="shared" ca="1" si="10"/>
        <v/>
      </c>
      <c r="O135" s="25" t="str">
        <f t="shared" ca="1" si="11"/>
        <v/>
      </c>
      <c r="P135" s="25" t="str">
        <f t="shared" ca="1" si="12"/>
        <v/>
      </c>
      <c r="R135" s="28"/>
      <c r="S135" s="29"/>
      <c r="T135" s="28"/>
      <c r="U135" s="29"/>
    </row>
    <row r="136" spans="2:21" x14ac:dyDescent="0.25">
      <c r="B136" s="4" t="str">
        <f ca="1">IFERROR(INDEX(Points_Lookup!$A:$A,MATCH($Z138,Points_Lookup!$AE:$AE,0)),"")</f>
        <v/>
      </c>
      <c r="C136" s="25" t="str">
        <f ca="1">IF(B136="","",IF($B$4="Apprenticeship",SUMIF(Points_Lookup!$AA:$AA,B136,Points_Lookup!$AC:$AC),IF(AND(OR($B$4="New Consultant Contract"),$B136&lt;&gt;""),INDEX(Points_Lookup!$K:$K,MATCH($B136,Points_Lookup!$J:$J,0)),IF(AND(OR($B$4="Clinical Lecturer / Medical Research Fellow",$B$4="Clinical Consultant - Old Contract (GP)"),$B136&lt;&gt;""),INDEX(Points_Lookup!$H:$H,MATCH($B136,Points_Lookup!$G:$G,0)),IF(AND(OR($B$4="APM Level 7",$B$4="R&amp;T Level 7",$B$4="APM Level 8"),B136&lt;&gt;""),INDEX(Points_Lookup!$E:$E,MATCH($Z136,Points_Lookup!$AE:$AE,0)),IF($B$4="R&amp;T Level 5 - Clinical Lecturers (Vet School)",SUMIF(Points_Lookup!$M:$M,$B136,Points_Lookup!$P:$P),IF($B$4="R&amp;T Level 6 - Clinical Associate Professors and Clinical Readers (Vet School)",SUMIF(Points_Lookup!$T:$T,$B136,Points_Lookup!$W:$W),IFERROR(INDEX(Points_Lookup!$B:$B,MATCH($Z136,Points_Lookup!$AE:$AE,0)),""))))))))</f>
        <v/>
      </c>
      <c r="D136" s="36"/>
      <c r="E136" s="25" t="str">
        <f ca="1">IF($B136="","",IF(AND($B$4="Salary Points 3 to 57",B136&lt;Thresholds_Rates!$C$16),"-",IF(SUMIF(Grades!$A:$A,$B$4,Grades!$BO:$BO)=0,"-",IF(AND($B$4="Salary Points 3 to 57",B136&gt;=Thresholds_Rates!$C$16),$C136*Thresholds_Rates!$F$15,IF(AND(OR($B$4="New Consultant Contract"),$B136&lt;&gt;""),$C136*Thresholds_Rates!$F$15,IF(AND(OR($B$4="Clinical Lecturer / Medical Research Fellow",$B$4="Clinical Consultant - Old Contract (GP)"),$B136&lt;&gt;""),$C136*Thresholds_Rates!$F$15,IF(OR($B$4="APM Level 7",$B$4="R&amp;T Level 7"),$C136*Thresholds_Rates!$F$15,IF(SUMIF(Grades!$A:$A,$B$4,Grades!$BO:$BO)=1,$C136*Thresholds_Rates!$F$15,""))))))))</f>
        <v/>
      </c>
      <c r="F136" s="25" t="str">
        <f ca="1">IF(B136="","",IF($B$4="Salary Points 1 to 57","-",IF(SUMIF(Grades!$A:$A,$B$4,Grades!$BP:$BP)=0,"-",IF(AND(OR($B$4="New Consultant Contract"),$B136&lt;&gt;""),$C136*Thresholds_Rates!$F$16,IF(AND(OR($B$4="Clinical Lecturer / Medical Research Fellow",$B$4="Clinical Consultant - Old Contract (GP)"),$B136&lt;&gt;""),$C136*Thresholds_Rates!$F$16,IF(AND(OR($B$4="APM Level 7",$B$4="R&amp;T Level 7"),E136&lt;&gt;""),$C136*Thresholds_Rates!$F$16,IF(SUMIF(Grades!$A:$A,$B$4,Grades!$BP:$BP)=1,$C136*Thresholds_Rates!$F$16,"")))))))</f>
        <v/>
      </c>
      <c r="G136" s="25" t="str">
        <f ca="1">IF(B136="","",IF(SUMIF(Grades!$A:$A,$B$4,Grades!$BQ:$BQ)=0,"-",IF(AND($B$4="Salary Points 1 to 57",B136&gt;Thresholds_Rates!$C$17),"-",IF(AND($B$4="Salary Points 1 to 57",B136&lt;=Thresholds_Rates!$C$17),$C136*Thresholds_Rates!$F$17,IF(AND(OR($B$4="New Consultant Contract"),$B136&lt;&gt;""),$C136*Thresholds_Rates!$F$17,IF(AND(OR($B$4="Clinical Lecturer / Medical Research Fellow",$B$4="Clinical Consultant - Old Contract (GP)"),$B136&lt;&gt;""),$C136*Thresholds_Rates!$F$17,IF(AND(OR($B$4="APM Level 7",$B$4="R&amp;T Level 7"),F136&lt;&gt;""),$C136*Thresholds_Rates!$F$17,IF(SUMIF(Grades!$A:$A,$B$4,Grades!$BQ:$BQ)=1,$C136*Thresholds_Rates!$F$17,""))))))))</f>
        <v/>
      </c>
      <c r="H136" s="25"/>
      <c r="I136" s="25" t="str">
        <f ca="1">IF(B136="","",(C136*Thresholds_Rates!$C$12))</f>
        <v/>
      </c>
      <c r="J136" s="25"/>
      <c r="K136" s="4"/>
      <c r="L136" s="25" t="str">
        <f t="shared" ca="1" si="8"/>
        <v/>
      </c>
      <c r="M136" s="25" t="str">
        <f t="shared" ca="1" si="9"/>
        <v/>
      </c>
      <c r="N136" s="25" t="str">
        <f t="shared" ca="1" si="10"/>
        <v/>
      </c>
      <c r="O136" s="25" t="str">
        <f t="shared" ca="1" si="11"/>
        <v/>
      </c>
      <c r="P136" s="25" t="str">
        <f t="shared" ca="1" si="12"/>
        <v/>
      </c>
      <c r="R136" s="28"/>
      <c r="S136" s="29"/>
      <c r="T136" s="28"/>
      <c r="U136" s="29"/>
    </row>
    <row r="137" spans="2:21" x14ac:dyDescent="0.25">
      <c r="B137" s="4" t="str">
        <f ca="1">IFERROR(INDEX(Points_Lookup!$A:$A,MATCH($Z139,Points_Lookup!$AE:$AE,0)),"")</f>
        <v/>
      </c>
      <c r="C137" s="25" t="str">
        <f ca="1">IF(B137="","",IF($B$4="Apprenticeship",SUMIF(Points_Lookup!$AA:$AA,B137,Points_Lookup!$AC:$AC),IF(AND(OR($B$4="New Consultant Contract"),$B137&lt;&gt;""),INDEX(Points_Lookup!$K:$K,MATCH($B137,Points_Lookup!$J:$J,0)),IF(AND(OR($B$4="Clinical Lecturer / Medical Research Fellow",$B$4="Clinical Consultant - Old Contract (GP)"),$B137&lt;&gt;""),INDEX(Points_Lookup!$H:$H,MATCH($B137,Points_Lookup!$G:$G,0)),IF(AND(OR($B$4="APM Level 7",$B$4="R&amp;T Level 7",$B$4="APM Level 8"),B137&lt;&gt;""),INDEX(Points_Lookup!$E:$E,MATCH($Z137,Points_Lookup!$AE:$AE,0)),IF($B$4="R&amp;T Level 5 - Clinical Lecturers (Vet School)",SUMIF(Points_Lookup!$M:$M,$B137,Points_Lookup!$P:$P),IF($B$4="R&amp;T Level 6 - Clinical Associate Professors and Clinical Readers (Vet School)",SUMIF(Points_Lookup!$T:$T,$B137,Points_Lookup!$W:$W),IFERROR(INDEX(Points_Lookup!$B:$B,MATCH($Z137,Points_Lookup!$AE:$AE,0)),""))))))))</f>
        <v/>
      </c>
      <c r="D137" s="36"/>
      <c r="E137" s="25" t="str">
        <f ca="1">IF($B137="","",IF(AND($B$4="Salary Points 3 to 57",B137&lt;Thresholds_Rates!$C$16),"-",IF(SUMIF(Grades!$A:$A,$B$4,Grades!$BO:$BO)=0,"-",IF(AND($B$4="Salary Points 3 to 57",B137&gt;=Thresholds_Rates!$C$16),$C137*Thresholds_Rates!$F$15,IF(AND(OR($B$4="New Consultant Contract"),$B137&lt;&gt;""),$C137*Thresholds_Rates!$F$15,IF(AND(OR($B$4="Clinical Lecturer / Medical Research Fellow",$B$4="Clinical Consultant - Old Contract (GP)"),$B137&lt;&gt;""),$C137*Thresholds_Rates!$F$15,IF(OR($B$4="APM Level 7",$B$4="R&amp;T Level 7"),$C137*Thresholds_Rates!$F$15,IF(SUMIF(Grades!$A:$A,$B$4,Grades!$BO:$BO)=1,$C137*Thresholds_Rates!$F$15,""))))))))</f>
        <v/>
      </c>
      <c r="F137" s="25" t="str">
        <f ca="1">IF(B137="","",IF($B$4="Salary Points 1 to 57","-",IF(SUMIF(Grades!$A:$A,$B$4,Grades!$BP:$BP)=0,"-",IF(AND(OR($B$4="New Consultant Contract"),$B137&lt;&gt;""),$C137*Thresholds_Rates!$F$16,IF(AND(OR($B$4="Clinical Lecturer / Medical Research Fellow",$B$4="Clinical Consultant - Old Contract (GP)"),$B137&lt;&gt;""),$C137*Thresholds_Rates!$F$16,IF(AND(OR($B$4="APM Level 7",$B$4="R&amp;T Level 7"),E137&lt;&gt;""),$C137*Thresholds_Rates!$F$16,IF(SUMIF(Grades!$A:$A,$B$4,Grades!$BP:$BP)=1,$C137*Thresholds_Rates!$F$16,"")))))))</f>
        <v/>
      </c>
      <c r="G137" s="25" t="str">
        <f ca="1">IF(B137="","",IF(SUMIF(Grades!$A:$A,$B$4,Grades!$BQ:$BQ)=0,"-",IF(AND($B$4="Salary Points 1 to 57",B137&gt;Thresholds_Rates!$C$17),"-",IF(AND($B$4="Salary Points 1 to 57",B137&lt;=Thresholds_Rates!$C$17),$C137*Thresholds_Rates!$F$17,IF(AND(OR($B$4="New Consultant Contract"),$B137&lt;&gt;""),$C137*Thresholds_Rates!$F$17,IF(AND(OR($B$4="Clinical Lecturer / Medical Research Fellow",$B$4="Clinical Consultant - Old Contract (GP)"),$B137&lt;&gt;""),$C137*Thresholds_Rates!$F$17,IF(AND(OR($B$4="APM Level 7",$B$4="R&amp;T Level 7"),F137&lt;&gt;""),$C137*Thresholds_Rates!$F$17,IF(SUMIF(Grades!$A:$A,$B$4,Grades!$BQ:$BQ)=1,$C137*Thresholds_Rates!$F$17,""))))))))</f>
        <v/>
      </c>
      <c r="H137" s="25"/>
      <c r="I137" s="25" t="str">
        <f ca="1">IF(B137="","",(C137*Thresholds_Rates!$C$12))</f>
        <v/>
      </c>
      <c r="J137" s="25"/>
      <c r="K137" s="4"/>
      <c r="L137" s="25" t="str">
        <f t="shared" ca="1" si="8"/>
        <v/>
      </c>
      <c r="M137" s="25" t="str">
        <f t="shared" ca="1" si="9"/>
        <v/>
      </c>
      <c r="N137" s="25" t="str">
        <f t="shared" ca="1" si="10"/>
        <v/>
      </c>
      <c r="O137" s="25" t="str">
        <f t="shared" ca="1" si="11"/>
        <v/>
      </c>
      <c r="P137" s="25" t="str">
        <f t="shared" ca="1" si="12"/>
        <v/>
      </c>
      <c r="R137" s="28"/>
      <c r="S137" s="29"/>
      <c r="T137" s="28"/>
      <c r="U137" s="29"/>
    </row>
    <row r="138" spans="2:21" x14ac:dyDescent="0.25">
      <c r="B138" s="4" t="str">
        <f ca="1">IFERROR(INDEX(Points_Lookup!$A:$A,MATCH($Z140,Points_Lookup!$AE:$AE,0)),"")</f>
        <v/>
      </c>
      <c r="C138" s="25" t="str">
        <f ca="1">IF(B138="","",IF($B$4="Apprenticeship",SUMIF(Points_Lookup!$AA:$AA,B138,Points_Lookup!$AC:$AC),IF(AND(OR($B$4="New Consultant Contract"),$B138&lt;&gt;""),INDEX(Points_Lookup!$K:$K,MATCH($B138,Points_Lookup!$J:$J,0)),IF(AND(OR($B$4="Clinical Lecturer / Medical Research Fellow",$B$4="Clinical Consultant - Old Contract (GP)"),$B138&lt;&gt;""),INDEX(Points_Lookup!$H:$H,MATCH($B138,Points_Lookup!$G:$G,0)),IF(AND(OR($B$4="APM Level 7",$B$4="R&amp;T Level 7",$B$4="APM Level 8"),B138&lt;&gt;""),INDEX(Points_Lookup!$E:$E,MATCH($Z138,Points_Lookup!$AE:$AE,0)),IF($B$4="R&amp;T Level 5 - Clinical Lecturers (Vet School)",SUMIF(Points_Lookup!$M:$M,$B138,Points_Lookup!$P:$P),IF($B$4="R&amp;T Level 6 - Clinical Associate Professors and Clinical Readers (Vet School)",SUMIF(Points_Lookup!$T:$T,$B138,Points_Lookup!$W:$W),IFERROR(INDEX(Points_Lookup!$B:$B,MATCH($Z138,Points_Lookup!$AE:$AE,0)),""))))))))</f>
        <v/>
      </c>
      <c r="D138" s="36"/>
      <c r="E138" s="25" t="str">
        <f ca="1">IF($B138="","",IF(AND($B$4="Salary Points 3 to 57",B138&lt;Thresholds_Rates!$C$16),"-",IF(SUMIF(Grades!$A:$A,$B$4,Grades!$BO:$BO)=0,"-",IF(AND($B$4="Salary Points 3 to 57",B138&gt;=Thresholds_Rates!$C$16),$C138*Thresholds_Rates!$F$15,IF(AND(OR($B$4="New Consultant Contract"),$B138&lt;&gt;""),$C138*Thresholds_Rates!$F$15,IF(AND(OR($B$4="Clinical Lecturer / Medical Research Fellow",$B$4="Clinical Consultant - Old Contract (GP)"),$B138&lt;&gt;""),$C138*Thresholds_Rates!$F$15,IF(OR($B$4="APM Level 7",$B$4="R&amp;T Level 7"),$C138*Thresholds_Rates!$F$15,IF(SUMIF(Grades!$A:$A,$B$4,Grades!$BO:$BO)=1,$C138*Thresholds_Rates!$F$15,""))))))))</f>
        <v/>
      </c>
      <c r="F138" s="25" t="str">
        <f ca="1">IF(B138="","",IF($B$4="Salary Points 1 to 57","-",IF(SUMIF(Grades!$A:$A,$B$4,Grades!$BP:$BP)=0,"-",IF(AND(OR($B$4="New Consultant Contract"),$B138&lt;&gt;""),$C138*Thresholds_Rates!$F$16,IF(AND(OR($B$4="Clinical Lecturer / Medical Research Fellow",$B$4="Clinical Consultant - Old Contract (GP)"),$B138&lt;&gt;""),$C138*Thresholds_Rates!$F$16,IF(AND(OR($B$4="APM Level 7",$B$4="R&amp;T Level 7"),E138&lt;&gt;""),$C138*Thresholds_Rates!$F$16,IF(SUMIF(Grades!$A:$A,$B$4,Grades!$BP:$BP)=1,$C138*Thresholds_Rates!$F$16,"")))))))</f>
        <v/>
      </c>
      <c r="G138" s="25" t="str">
        <f ca="1">IF(B138="","",IF(SUMIF(Grades!$A:$A,$B$4,Grades!$BQ:$BQ)=0,"-",IF(AND($B$4="Salary Points 1 to 57",B138&gt;Thresholds_Rates!$C$17),"-",IF(AND($B$4="Salary Points 1 to 57",B138&lt;=Thresholds_Rates!$C$17),$C138*Thresholds_Rates!$F$17,IF(AND(OR($B$4="New Consultant Contract"),$B138&lt;&gt;""),$C138*Thresholds_Rates!$F$17,IF(AND(OR($B$4="Clinical Lecturer / Medical Research Fellow",$B$4="Clinical Consultant - Old Contract (GP)"),$B138&lt;&gt;""),$C138*Thresholds_Rates!$F$17,IF(AND(OR($B$4="APM Level 7",$B$4="R&amp;T Level 7"),F138&lt;&gt;""),$C138*Thresholds_Rates!$F$17,IF(SUMIF(Grades!$A:$A,$B$4,Grades!$BQ:$BQ)=1,$C138*Thresholds_Rates!$F$17,""))))))))</f>
        <v/>
      </c>
      <c r="H138" s="25"/>
      <c r="I138" s="25" t="str">
        <f ca="1">IF(B138="","",(C138*Thresholds_Rates!$C$12))</f>
        <v/>
      </c>
      <c r="J138" s="25"/>
      <c r="K138" s="4"/>
      <c r="L138" s="25" t="str">
        <f t="shared" ref="L138:L173" ca="1" si="13">IF(B138="","",IF(E138="-","-",$C138+$H138+E138+I138))</f>
        <v/>
      </c>
      <c r="M138" s="25" t="str">
        <f t="shared" ref="M138:M173" ca="1" si="14">IF(B138="","",IF(F138="-","-",$C138+$H138+F138+I138))</f>
        <v/>
      </c>
      <c r="N138" s="25" t="str">
        <f t="shared" ref="N138:N173" ca="1" si="15">IF(B138="","",IF(G138="-","-",$C138+$H138+G138+I138))</f>
        <v/>
      </c>
      <c r="O138" s="25" t="str">
        <f t="shared" ref="O138:O173" ca="1" si="16">IF(B138="","",IF(J138="-","-",$C138+$H138+J138+I138))</f>
        <v/>
      </c>
      <c r="P138" s="25" t="str">
        <f t="shared" ref="P138:P173" ca="1" si="17">IF(B138="","",C138+H138+I138)</f>
        <v/>
      </c>
      <c r="R138" s="28"/>
      <c r="S138" s="29"/>
      <c r="T138" s="28"/>
      <c r="U138" s="29"/>
    </row>
    <row r="139" spans="2:21" x14ac:dyDescent="0.25">
      <c r="B139" s="4" t="str">
        <f ca="1">IFERROR(INDEX(Points_Lookup!$A:$A,MATCH($Z141,Points_Lookup!$AE:$AE,0)),"")</f>
        <v/>
      </c>
      <c r="C139" s="25" t="str">
        <f ca="1">IF(B139="","",IF($B$4="Apprenticeship",SUMIF(Points_Lookup!$AA:$AA,B139,Points_Lookup!$AC:$AC),IF(AND(OR($B$4="New Consultant Contract"),$B139&lt;&gt;""),INDEX(Points_Lookup!$K:$K,MATCH($B139,Points_Lookup!$J:$J,0)),IF(AND(OR($B$4="Clinical Lecturer / Medical Research Fellow",$B$4="Clinical Consultant - Old Contract (GP)"),$B139&lt;&gt;""),INDEX(Points_Lookup!$H:$H,MATCH($B139,Points_Lookup!$G:$G,0)),IF(AND(OR($B$4="APM Level 7",$B$4="R&amp;T Level 7",$B$4="APM Level 8"),B139&lt;&gt;""),INDEX(Points_Lookup!$E:$E,MATCH($Z139,Points_Lookup!$AE:$AE,0)),IF($B$4="R&amp;T Level 5 - Clinical Lecturers (Vet School)",SUMIF(Points_Lookup!$M:$M,$B139,Points_Lookup!$P:$P),IF($B$4="R&amp;T Level 6 - Clinical Associate Professors and Clinical Readers (Vet School)",SUMIF(Points_Lookup!$T:$T,$B139,Points_Lookup!$W:$W),IFERROR(INDEX(Points_Lookup!$B:$B,MATCH($Z139,Points_Lookup!$AE:$AE,0)),""))))))))</f>
        <v/>
      </c>
      <c r="D139" s="36"/>
      <c r="E139" s="25" t="str">
        <f ca="1">IF($B139="","",IF(AND($B$4="Salary Points 3 to 57",B139&lt;Thresholds_Rates!$C$16),"-",IF(SUMIF(Grades!$A:$A,$B$4,Grades!$BO:$BO)=0,"-",IF(AND($B$4="Salary Points 3 to 57",B139&gt;=Thresholds_Rates!$C$16),$C139*Thresholds_Rates!$F$15,IF(AND(OR($B$4="New Consultant Contract"),$B139&lt;&gt;""),$C139*Thresholds_Rates!$F$15,IF(AND(OR($B$4="Clinical Lecturer / Medical Research Fellow",$B$4="Clinical Consultant - Old Contract (GP)"),$B139&lt;&gt;""),$C139*Thresholds_Rates!$F$15,IF(OR($B$4="APM Level 7",$B$4="R&amp;T Level 7"),$C139*Thresholds_Rates!$F$15,IF(SUMIF(Grades!$A:$A,$B$4,Grades!$BO:$BO)=1,$C139*Thresholds_Rates!$F$15,""))))))))</f>
        <v/>
      </c>
      <c r="F139" s="25" t="str">
        <f ca="1">IF(B139="","",IF($B$4="Salary Points 1 to 57","-",IF(SUMIF(Grades!$A:$A,$B$4,Grades!$BP:$BP)=0,"-",IF(AND(OR($B$4="New Consultant Contract"),$B139&lt;&gt;""),$C139*Thresholds_Rates!$F$16,IF(AND(OR($B$4="Clinical Lecturer / Medical Research Fellow",$B$4="Clinical Consultant - Old Contract (GP)"),$B139&lt;&gt;""),$C139*Thresholds_Rates!$F$16,IF(AND(OR($B$4="APM Level 7",$B$4="R&amp;T Level 7"),E139&lt;&gt;""),$C139*Thresholds_Rates!$F$16,IF(SUMIF(Grades!$A:$A,$B$4,Grades!$BP:$BP)=1,$C139*Thresholds_Rates!$F$16,"")))))))</f>
        <v/>
      </c>
      <c r="G139" s="25" t="str">
        <f ca="1">IF(B139="","",IF(SUMIF(Grades!$A:$A,$B$4,Grades!$BQ:$BQ)=0,"-",IF(AND($B$4="Salary Points 1 to 57",B139&gt;Thresholds_Rates!$C$17),"-",IF(AND($B$4="Salary Points 1 to 57",B139&lt;=Thresholds_Rates!$C$17),$C139*Thresholds_Rates!$F$17,IF(AND(OR($B$4="New Consultant Contract"),$B139&lt;&gt;""),$C139*Thresholds_Rates!$F$17,IF(AND(OR($B$4="Clinical Lecturer / Medical Research Fellow",$B$4="Clinical Consultant - Old Contract (GP)"),$B139&lt;&gt;""),$C139*Thresholds_Rates!$F$17,IF(AND(OR($B$4="APM Level 7",$B$4="R&amp;T Level 7"),F139&lt;&gt;""),$C139*Thresholds_Rates!$F$17,IF(SUMIF(Grades!$A:$A,$B$4,Grades!$BQ:$BQ)=1,$C139*Thresholds_Rates!$F$17,""))))))))</f>
        <v/>
      </c>
      <c r="H139" s="25"/>
      <c r="I139" s="25" t="str">
        <f ca="1">IF(B139="","",(C139*Thresholds_Rates!$C$12))</f>
        <v/>
      </c>
      <c r="J139" s="25"/>
      <c r="K139" s="4"/>
      <c r="L139" s="25" t="str">
        <f t="shared" ca="1" si="13"/>
        <v/>
      </c>
      <c r="M139" s="25" t="str">
        <f t="shared" ca="1" si="14"/>
        <v/>
      </c>
      <c r="N139" s="25" t="str">
        <f t="shared" ca="1" si="15"/>
        <v/>
      </c>
      <c r="O139" s="25" t="str">
        <f t="shared" ca="1" si="16"/>
        <v/>
      </c>
      <c r="P139" s="25" t="str">
        <f t="shared" ca="1" si="17"/>
        <v/>
      </c>
      <c r="R139" s="28"/>
      <c r="S139" s="29"/>
      <c r="T139" s="28"/>
      <c r="U139" s="29"/>
    </row>
    <row r="140" spans="2:21" x14ac:dyDescent="0.25">
      <c r="B140" s="4" t="str">
        <f ca="1">IFERROR(INDEX(Points_Lookup!$A:$A,MATCH($Z142,Points_Lookup!$AE:$AE,0)),"")</f>
        <v/>
      </c>
      <c r="C140" s="25" t="str">
        <f ca="1">IF(B140="","",IF($B$4="Apprenticeship",SUMIF(Points_Lookup!$AA:$AA,B140,Points_Lookup!$AC:$AC),IF(AND(OR($B$4="New Consultant Contract"),$B140&lt;&gt;""),INDEX(Points_Lookup!$K:$K,MATCH($B140,Points_Lookup!$J:$J,0)),IF(AND(OR($B$4="Clinical Lecturer / Medical Research Fellow",$B$4="Clinical Consultant - Old Contract (GP)"),$B140&lt;&gt;""),INDEX(Points_Lookup!$H:$H,MATCH($B140,Points_Lookup!$G:$G,0)),IF(AND(OR($B$4="APM Level 7",$B$4="R&amp;T Level 7",$B$4="APM Level 8"),B140&lt;&gt;""),INDEX(Points_Lookup!$E:$E,MATCH($Z140,Points_Lookup!$AE:$AE,0)),IF($B$4="R&amp;T Level 5 - Clinical Lecturers (Vet School)",SUMIF(Points_Lookup!$M:$M,$B140,Points_Lookup!$P:$P),IF($B$4="R&amp;T Level 6 - Clinical Associate Professors and Clinical Readers (Vet School)",SUMIF(Points_Lookup!$T:$T,$B140,Points_Lookup!$W:$W),IFERROR(INDEX(Points_Lookup!$B:$B,MATCH($Z140,Points_Lookup!$AE:$AE,0)),""))))))))</f>
        <v/>
      </c>
      <c r="D140" s="36"/>
      <c r="E140" s="25" t="str">
        <f ca="1">IF($B140="","",IF(AND($B$4="Salary Points 3 to 57",B140&lt;Thresholds_Rates!$C$16),"-",IF(SUMIF(Grades!$A:$A,$B$4,Grades!$BO:$BO)=0,"-",IF(AND($B$4="Salary Points 3 to 57",B140&gt;=Thresholds_Rates!$C$16),$C140*Thresholds_Rates!$F$15,IF(AND(OR($B$4="New Consultant Contract"),$B140&lt;&gt;""),$C140*Thresholds_Rates!$F$15,IF(AND(OR($B$4="Clinical Lecturer / Medical Research Fellow",$B$4="Clinical Consultant - Old Contract (GP)"),$B140&lt;&gt;""),$C140*Thresholds_Rates!$F$15,IF(OR($B$4="APM Level 7",$B$4="R&amp;T Level 7"),$C140*Thresholds_Rates!$F$15,IF(SUMIF(Grades!$A:$A,$B$4,Grades!$BO:$BO)=1,$C140*Thresholds_Rates!$F$15,""))))))))</f>
        <v/>
      </c>
      <c r="F140" s="25" t="str">
        <f ca="1">IF(B140="","",IF($B$4="Salary Points 1 to 57","-",IF(SUMIF(Grades!$A:$A,$B$4,Grades!$BP:$BP)=0,"-",IF(AND(OR($B$4="New Consultant Contract"),$B140&lt;&gt;""),$C140*Thresholds_Rates!$F$16,IF(AND(OR($B$4="Clinical Lecturer / Medical Research Fellow",$B$4="Clinical Consultant - Old Contract (GP)"),$B140&lt;&gt;""),$C140*Thresholds_Rates!$F$16,IF(AND(OR($B$4="APM Level 7",$B$4="R&amp;T Level 7"),E140&lt;&gt;""),$C140*Thresholds_Rates!$F$16,IF(SUMIF(Grades!$A:$A,$B$4,Grades!$BP:$BP)=1,$C140*Thresholds_Rates!$F$16,"")))))))</f>
        <v/>
      </c>
      <c r="G140" s="25" t="str">
        <f ca="1">IF(B140="","",IF(SUMIF(Grades!$A:$A,$B$4,Grades!$BQ:$BQ)=0,"-",IF(AND($B$4="Salary Points 1 to 57",B140&gt;Thresholds_Rates!$C$17),"-",IF(AND($B$4="Salary Points 1 to 57",B140&lt;=Thresholds_Rates!$C$17),$C140*Thresholds_Rates!$F$17,IF(AND(OR($B$4="New Consultant Contract"),$B140&lt;&gt;""),$C140*Thresholds_Rates!$F$17,IF(AND(OR($B$4="Clinical Lecturer / Medical Research Fellow",$B$4="Clinical Consultant - Old Contract (GP)"),$B140&lt;&gt;""),$C140*Thresholds_Rates!$F$17,IF(AND(OR($B$4="APM Level 7",$B$4="R&amp;T Level 7"),F140&lt;&gt;""),$C140*Thresholds_Rates!$F$17,IF(SUMIF(Grades!$A:$A,$B$4,Grades!$BQ:$BQ)=1,$C140*Thresholds_Rates!$F$17,""))))))))</f>
        <v/>
      </c>
      <c r="H140" s="25"/>
      <c r="I140" s="25" t="str">
        <f ca="1">IF(B140="","",(C140*Thresholds_Rates!$C$12))</f>
        <v/>
      </c>
      <c r="J140" s="25"/>
      <c r="K140" s="4"/>
      <c r="L140" s="25" t="str">
        <f t="shared" ca="1" si="13"/>
        <v/>
      </c>
      <c r="M140" s="25" t="str">
        <f t="shared" ca="1" si="14"/>
        <v/>
      </c>
      <c r="N140" s="25" t="str">
        <f t="shared" ca="1" si="15"/>
        <v/>
      </c>
      <c r="O140" s="25" t="str">
        <f t="shared" ca="1" si="16"/>
        <v/>
      </c>
      <c r="P140" s="25" t="str">
        <f t="shared" ca="1" si="17"/>
        <v/>
      </c>
      <c r="R140" s="28"/>
      <c r="S140" s="29"/>
      <c r="T140" s="28"/>
      <c r="U140" s="29"/>
    </row>
    <row r="141" spans="2:21" x14ac:dyDescent="0.25">
      <c r="B141" s="4" t="str">
        <f ca="1">IFERROR(INDEX(Points_Lookup!$A:$A,MATCH($Z143,Points_Lookup!$AE:$AE,0)),"")</f>
        <v/>
      </c>
      <c r="C141" s="25" t="str">
        <f ca="1">IF(B141="","",IF($B$4="Apprenticeship",SUMIF(Points_Lookup!$AA:$AA,B141,Points_Lookup!$AC:$AC),IF(AND(OR($B$4="New Consultant Contract"),$B141&lt;&gt;""),INDEX(Points_Lookup!$K:$K,MATCH($B141,Points_Lookup!$J:$J,0)),IF(AND(OR($B$4="Clinical Lecturer / Medical Research Fellow",$B$4="Clinical Consultant - Old Contract (GP)"),$B141&lt;&gt;""),INDEX(Points_Lookup!$H:$H,MATCH($B141,Points_Lookup!$G:$G,0)),IF(AND(OR($B$4="APM Level 7",$B$4="R&amp;T Level 7",$B$4="APM Level 8"),B141&lt;&gt;""),INDEX(Points_Lookup!$E:$E,MATCH($Z141,Points_Lookup!$AE:$AE,0)),IF($B$4="R&amp;T Level 5 - Clinical Lecturers (Vet School)",SUMIF(Points_Lookup!$M:$M,$B141,Points_Lookup!$P:$P),IF($B$4="R&amp;T Level 6 - Clinical Associate Professors and Clinical Readers (Vet School)",SUMIF(Points_Lookup!$T:$T,$B141,Points_Lookup!$W:$W),IFERROR(INDEX(Points_Lookup!$B:$B,MATCH($Z141,Points_Lookup!$AE:$AE,0)),""))))))))</f>
        <v/>
      </c>
      <c r="D141" s="36"/>
      <c r="E141" s="25" t="str">
        <f ca="1">IF($B141="","",IF(AND($B$4="Salary Points 3 to 57",B141&lt;Thresholds_Rates!$C$16),"-",IF(SUMIF(Grades!$A:$A,$B$4,Grades!$BO:$BO)=0,"-",IF(AND($B$4="Salary Points 3 to 57",B141&gt;=Thresholds_Rates!$C$16),$C141*Thresholds_Rates!$F$15,IF(AND(OR($B$4="New Consultant Contract"),$B141&lt;&gt;""),$C141*Thresholds_Rates!$F$15,IF(AND(OR($B$4="Clinical Lecturer / Medical Research Fellow",$B$4="Clinical Consultant - Old Contract (GP)"),$B141&lt;&gt;""),$C141*Thresholds_Rates!$F$15,IF(OR($B$4="APM Level 7",$B$4="R&amp;T Level 7"),$C141*Thresholds_Rates!$F$15,IF(SUMIF(Grades!$A:$A,$B$4,Grades!$BO:$BO)=1,$C141*Thresholds_Rates!$F$15,""))))))))</f>
        <v/>
      </c>
      <c r="F141" s="25" t="str">
        <f ca="1">IF(B141="","",IF($B$4="Salary Points 1 to 57","-",IF(SUMIF(Grades!$A:$A,$B$4,Grades!$BP:$BP)=0,"-",IF(AND(OR($B$4="New Consultant Contract"),$B141&lt;&gt;""),$C141*Thresholds_Rates!$F$16,IF(AND(OR($B$4="Clinical Lecturer / Medical Research Fellow",$B$4="Clinical Consultant - Old Contract (GP)"),$B141&lt;&gt;""),$C141*Thresholds_Rates!$F$16,IF(AND(OR($B$4="APM Level 7",$B$4="R&amp;T Level 7"),E141&lt;&gt;""),$C141*Thresholds_Rates!$F$16,IF(SUMIF(Grades!$A:$A,$B$4,Grades!$BP:$BP)=1,$C141*Thresholds_Rates!$F$16,"")))))))</f>
        <v/>
      </c>
      <c r="G141" s="25" t="str">
        <f ca="1">IF(B141="","",IF(SUMIF(Grades!$A:$A,$B$4,Grades!$BQ:$BQ)=0,"-",IF(AND($B$4="Salary Points 1 to 57",B141&gt;Thresholds_Rates!$C$17),"-",IF(AND($B$4="Salary Points 1 to 57",B141&lt;=Thresholds_Rates!$C$17),$C141*Thresholds_Rates!$F$17,IF(AND(OR($B$4="New Consultant Contract"),$B141&lt;&gt;""),$C141*Thresholds_Rates!$F$17,IF(AND(OR($B$4="Clinical Lecturer / Medical Research Fellow",$B$4="Clinical Consultant - Old Contract (GP)"),$B141&lt;&gt;""),$C141*Thresholds_Rates!$F$17,IF(AND(OR($B$4="APM Level 7",$B$4="R&amp;T Level 7"),F141&lt;&gt;""),$C141*Thresholds_Rates!$F$17,IF(SUMIF(Grades!$A:$A,$B$4,Grades!$BQ:$BQ)=1,$C141*Thresholds_Rates!$F$17,""))))))))</f>
        <v/>
      </c>
      <c r="H141" s="25"/>
      <c r="I141" s="25" t="str">
        <f ca="1">IF(B141="","",(C141*Thresholds_Rates!$C$12))</f>
        <v/>
      </c>
      <c r="J141" s="25"/>
      <c r="K141" s="4"/>
      <c r="L141" s="25" t="str">
        <f t="shared" ca="1" si="13"/>
        <v/>
      </c>
      <c r="M141" s="25" t="str">
        <f t="shared" ca="1" si="14"/>
        <v/>
      </c>
      <c r="N141" s="25" t="str">
        <f t="shared" ca="1" si="15"/>
        <v/>
      </c>
      <c r="O141" s="25" t="str">
        <f t="shared" ca="1" si="16"/>
        <v/>
      </c>
      <c r="P141" s="25" t="str">
        <f t="shared" ca="1" si="17"/>
        <v/>
      </c>
      <c r="R141" s="28"/>
      <c r="S141" s="29"/>
      <c r="T141" s="28"/>
      <c r="U141" s="29"/>
    </row>
    <row r="142" spans="2:21" x14ac:dyDescent="0.25">
      <c r="B142" s="4" t="str">
        <f ca="1">IFERROR(INDEX(Points_Lookup!$A:$A,MATCH($Z144,Points_Lookup!$AE:$AE,0)),"")</f>
        <v/>
      </c>
      <c r="C142" s="25" t="str">
        <f ca="1">IF(B142="","",IF($B$4="Apprenticeship",SUMIF(Points_Lookup!$AA:$AA,B142,Points_Lookup!$AC:$AC),IF(AND(OR($B$4="New Consultant Contract"),$B142&lt;&gt;""),INDEX(Points_Lookup!$K:$K,MATCH($B142,Points_Lookup!$J:$J,0)),IF(AND(OR($B$4="Clinical Lecturer / Medical Research Fellow",$B$4="Clinical Consultant - Old Contract (GP)"),$B142&lt;&gt;""),INDEX(Points_Lookup!$H:$H,MATCH($B142,Points_Lookup!$G:$G,0)),IF(AND(OR($B$4="APM Level 7",$B$4="R&amp;T Level 7",$B$4="APM Level 8"),B142&lt;&gt;""),INDEX(Points_Lookup!$E:$E,MATCH($Z142,Points_Lookup!$AE:$AE,0)),IF($B$4="R&amp;T Level 5 - Clinical Lecturers (Vet School)",SUMIF(Points_Lookup!$M:$M,$B142,Points_Lookup!$P:$P),IF($B$4="R&amp;T Level 6 - Clinical Associate Professors and Clinical Readers (Vet School)",SUMIF(Points_Lookup!$T:$T,$B142,Points_Lookup!$W:$W),IFERROR(INDEX(Points_Lookup!$B:$B,MATCH($Z142,Points_Lookup!$AE:$AE,0)),""))))))))</f>
        <v/>
      </c>
      <c r="D142" s="36"/>
      <c r="E142" s="25" t="str">
        <f ca="1">IF($B142="","",IF(AND($B$4="Salary Points 3 to 57",B142&lt;Thresholds_Rates!$C$16),"-",IF(SUMIF(Grades!$A:$A,$B$4,Grades!$BO:$BO)=0,"-",IF(AND($B$4="Salary Points 3 to 57",B142&gt;=Thresholds_Rates!$C$16),$C142*Thresholds_Rates!$F$15,IF(AND(OR($B$4="New Consultant Contract"),$B142&lt;&gt;""),$C142*Thresholds_Rates!$F$15,IF(AND(OR($B$4="Clinical Lecturer / Medical Research Fellow",$B$4="Clinical Consultant - Old Contract (GP)"),$B142&lt;&gt;""),$C142*Thresholds_Rates!$F$15,IF(OR($B$4="APM Level 7",$B$4="R&amp;T Level 7"),$C142*Thresholds_Rates!$F$15,IF(SUMIF(Grades!$A:$A,$B$4,Grades!$BO:$BO)=1,$C142*Thresholds_Rates!$F$15,""))))))))</f>
        <v/>
      </c>
      <c r="F142" s="25" t="str">
        <f ca="1">IF(B142="","",IF($B$4="Salary Points 1 to 57","-",IF(SUMIF(Grades!$A:$A,$B$4,Grades!$BP:$BP)=0,"-",IF(AND(OR($B$4="New Consultant Contract"),$B142&lt;&gt;""),$C142*Thresholds_Rates!$F$16,IF(AND(OR($B$4="Clinical Lecturer / Medical Research Fellow",$B$4="Clinical Consultant - Old Contract (GP)"),$B142&lt;&gt;""),$C142*Thresholds_Rates!$F$16,IF(AND(OR($B$4="APM Level 7",$B$4="R&amp;T Level 7"),E142&lt;&gt;""),$C142*Thresholds_Rates!$F$16,IF(SUMIF(Grades!$A:$A,$B$4,Grades!$BP:$BP)=1,$C142*Thresholds_Rates!$F$16,"")))))))</f>
        <v/>
      </c>
      <c r="G142" s="25" t="str">
        <f ca="1">IF(B142="","",IF(SUMIF(Grades!$A:$A,$B$4,Grades!$BQ:$BQ)=0,"-",IF(AND($B$4="Salary Points 1 to 57",B142&gt;Thresholds_Rates!$C$17),"-",IF(AND($B$4="Salary Points 1 to 57",B142&lt;=Thresholds_Rates!$C$17),$C142*Thresholds_Rates!$F$17,IF(AND(OR($B$4="New Consultant Contract"),$B142&lt;&gt;""),$C142*Thresholds_Rates!$F$17,IF(AND(OR($B$4="Clinical Lecturer / Medical Research Fellow",$B$4="Clinical Consultant - Old Contract (GP)"),$B142&lt;&gt;""),$C142*Thresholds_Rates!$F$17,IF(AND(OR($B$4="APM Level 7",$B$4="R&amp;T Level 7"),F142&lt;&gt;""),$C142*Thresholds_Rates!$F$17,IF(SUMIF(Grades!$A:$A,$B$4,Grades!$BQ:$BQ)=1,$C142*Thresholds_Rates!$F$17,""))))))))</f>
        <v/>
      </c>
      <c r="H142" s="25"/>
      <c r="I142" s="25" t="str">
        <f ca="1">IF(B142="","",(C142*Thresholds_Rates!$C$12))</f>
        <v/>
      </c>
      <c r="J142" s="25"/>
      <c r="K142" s="4"/>
      <c r="L142" s="25" t="str">
        <f t="shared" ca="1" si="13"/>
        <v/>
      </c>
      <c r="M142" s="25" t="str">
        <f t="shared" ca="1" si="14"/>
        <v/>
      </c>
      <c r="N142" s="25" t="str">
        <f t="shared" ca="1" si="15"/>
        <v/>
      </c>
      <c r="O142" s="25" t="str">
        <f t="shared" ca="1" si="16"/>
        <v/>
      </c>
      <c r="P142" s="25" t="str">
        <f t="shared" ca="1" si="17"/>
        <v/>
      </c>
      <c r="R142" s="28"/>
      <c r="S142" s="29"/>
      <c r="T142" s="28"/>
      <c r="U142" s="29"/>
    </row>
    <row r="143" spans="2:21" x14ac:dyDescent="0.25">
      <c r="B143" s="4" t="str">
        <f ca="1">IFERROR(INDEX(Points_Lookup!$A:$A,MATCH($Z145,Points_Lookup!$AE:$AE,0)),"")</f>
        <v/>
      </c>
      <c r="C143" s="25" t="str">
        <f ca="1">IF(B143="","",IF($B$4="Apprenticeship",SUMIF(Points_Lookup!$AA:$AA,B143,Points_Lookup!$AC:$AC),IF(AND(OR($B$4="New Consultant Contract"),$B143&lt;&gt;""),INDEX(Points_Lookup!$K:$K,MATCH($B143,Points_Lookup!$J:$J,0)),IF(AND(OR($B$4="Clinical Lecturer / Medical Research Fellow",$B$4="Clinical Consultant - Old Contract (GP)"),$B143&lt;&gt;""),INDEX(Points_Lookup!$H:$H,MATCH($B143,Points_Lookup!$G:$G,0)),IF(AND(OR($B$4="APM Level 7",$B$4="R&amp;T Level 7",$B$4="APM Level 8"),B143&lt;&gt;""),INDEX(Points_Lookup!$E:$E,MATCH($Z143,Points_Lookup!$AE:$AE,0)),IF($B$4="R&amp;T Level 5 - Clinical Lecturers (Vet School)",SUMIF(Points_Lookup!$M:$M,$B143,Points_Lookup!$P:$P),IF($B$4="R&amp;T Level 6 - Clinical Associate Professors and Clinical Readers (Vet School)",SUMIF(Points_Lookup!$T:$T,$B143,Points_Lookup!$W:$W),IFERROR(INDEX(Points_Lookup!$B:$B,MATCH($Z143,Points_Lookup!$AE:$AE,0)),""))))))))</f>
        <v/>
      </c>
      <c r="D143" s="36"/>
      <c r="E143" s="25" t="str">
        <f ca="1">IF($B143="","",IF(AND($B$4="Salary Points 3 to 57",B143&lt;Thresholds_Rates!$C$16),"-",IF(SUMIF(Grades!$A:$A,$B$4,Grades!$BO:$BO)=0,"-",IF(AND($B$4="Salary Points 3 to 57",B143&gt;=Thresholds_Rates!$C$16),$C143*Thresholds_Rates!$F$15,IF(AND(OR($B$4="New Consultant Contract"),$B143&lt;&gt;""),$C143*Thresholds_Rates!$F$15,IF(AND(OR($B$4="Clinical Lecturer / Medical Research Fellow",$B$4="Clinical Consultant - Old Contract (GP)"),$B143&lt;&gt;""),$C143*Thresholds_Rates!$F$15,IF(OR($B$4="APM Level 7",$B$4="R&amp;T Level 7"),$C143*Thresholds_Rates!$F$15,IF(SUMIF(Grades!$A:$A,$B$4,Grades!$BO:$BO)=1,$C143*Thresholds_Rates!$F$15,""))))))))</f>
        <v/>
      </c>
      <c r="F143" s="25" t="str">
        <f ca="1">IF(B143="","",IF($B$4="Salary Points 1 to 57","-",IF(SUMIF(Grades!$A:$A,$B$4,Grades!$BP:$BP)=0,"-",IF(AND(OR($B$4="New Consultant Contract"),$B143&lt;&gt;""),$C143*Thresholds_Rates!$F$16,IF(AND(OR($B$4="Clinical Lecturer / Medical Research Fellow",$B$4="Clinical Consultant - Old Contract (GP)"),$B143&lt;&gt;""),$C143*Thresholds_Rates!$F$16,IF(AND(OR($B$4="APM Level 7",$B$4="R&amp;T Level 7"),E143&lt;&gt;""),$C143*Thresholds_Rates!$F$16,IF(SUMIF(Grades!$A:$A,$B$4,Grades!$BP:$BP)=1,$C143*Thresholds_Rates!$F$16,"")))))))</f>
        <v/>
      </c>
      <c r="G143" s="25" t="str">
        <f ca="1">IF(B143="","",IF(SUMIF(Grades!$A:$A,$B$4,Grades!$BQ:$BQ)=0,"-",IF(AND($B$4="Salary Points 1 to 57",B143&gt;Thresholds_Rates!$C$17),"-",IF(AND($B$4="Salary Points 1 to 57",B143&lt;=Thresholds_Rates!$C$17),$C143*Thresholds_Rates!$F$17,IF(AND(OR($B$4="New Consultant Contract"),$B143&lt;&gt;""),$C143*Thresholds_Rates!$F$17,IF(AND(OR($B$4="Clinical Lecturer / Medical Research Fellow",$B$4="Clinical Consultant - Old Contract (GP)"),$B143&lt;&gt;""),$C143*Thresholds_Rates!$F$17,IF(AND(OR($B$4="APM Level 7",$B$4="R&amp;T Level 7"),F143&lt;&gt;""),$C143*Thresholds_Rates!$F$17,IF(SUMIF(Grades!$A:$A,$B$4,Grades!$BQ:$BQ)=1,$C143*Thresholds_Rates!$F$17,""))))))))</f>
        <v/>
      </c>
      <c r="H143" s="25"/>
      <c r="I143" s="25" t="str">
        <f ca="1">IF(B143="","",(C143*Thresholds_Rates!$C$12))</f>
        <v/>
      </c>
      <c r="J143" s="25"/>
      <c r="K143" s="4"/>
      <c r="L143" s="25" t="str">
        <f t="shared" ca="1" si="13"/>
        <v/>
      </c>
      <c r="M143" s="25" t="str">
        <f t="shared" ca="1" si="14"/>
        <v/>
      </c>
      <c r="N143" s="25" t="str">
        <f t="shared" ca="1" si="15"/>
        <v/>
      </c>
      <c r="O143" s="25" t="str">
        <f t="shared" ca="1" si="16"/>
        <v/>
      </c>
      <c r="P143" s="25" t="str">
        <f t="shared" ca="1" si="17"/>
        <v/>
      </c>
      <c r="R143" s="28"/>
      <c r="S143" s="29"/>
      <c r="T143" s="28"/>
      <c r="U143" s="29"/>
    </row>
    <row r="144" spans="2:21" x14ac:dyDescent="0.25">
      <c r="B144" s="4" t="str">
        <f ca="1">IFERROR(INDEX(Points_Lookup!$A:$A,MATCH($Z146,Points_Lookup!$AE:$AE,0)),"")</f>
        <v/>
      </c>
      <c r="C144" s="25" t="str">
        <f ca="1">IF(B144="","",IF($B$4="Apprenticeship",SUMIF(Points_Lookup!$AA:$AA,B144,Points_Lookup!$AC:$AC),IF(AND(OR($B$4="New Consultant Contract"),$B144&lt;&gt;""),INDEX(Points_Lookup!$K:$K,MATCH($B144,Points_Lookup!$J:$J,0)),IF(AND(OR($B$4="Clinical Lecturer / Medical Research Fellow",$B$4="Clinical Consultant - Old Contract (GP)"),$B144&lt;&gt;""),INDEX(Points_Lookup!$H:$H,MATCH($B144,Points_Lookup!$G:$G,0)),IF(AND(OR($B$4="APM Level 7",$B$4="R&amp;T Level 7",$B$4="APM Level 8"),B144&lt;&gt;""),INDEX(Points_Lookup!$E:$E,MATCH($Z144,Points_Lookup!$AE:$AE,0)),IF($B$4="R&amp;T Level 5 - Clinical Lecturers (Vet School)",SUMIF(Points_Lookup!$M:$M,$B144,Points_Lookup!$P:$P),IF($B$4="R&amp;T Level 6 - Clinical Associate Professors and Clinical Readers (Vet School)",SUMIF(Points_Lookup!$T:$T,$B144,Points_Lookup!$W:$W),IFERROR(INDEX(Points_Lookup!$B:$B,MATCH($Z144,Points_Lookup!$AE:$AE,0)),""))))))))</f>
        <v/>
      </c>
      <c r="D144" s="36"/>
      <c r="E144" s="25" t="str">
        <f ca="1">IF($B144="","",IF(AND($B$4="Salary Points 3 to 57",B144&lt;Thresholds_Rates!$C$16),"-",IF(SUMIF(Grades!$A:$A,$B$4,Grades!$BO:$BO)=0,"-",IF(AND($B$4="Salary Points 3 to 57",B144&gt;=Thresholds_Rates!$C$16),$C144*Thresholds_Rates!$F$15,IF(AND(OR($B$4="New Consultant Contract"),$B144&lt;&gt;""),$C144*Thresholds_Rates!$F$15,IF(AND(OR($B$4="Clinical Lecturer / Medical Research Fellow",$B$4="Clinical Consultant - Old Contract (GP)"),$B144&lt;&gt;""),$C144*Thresholds_Rates!$F$15,IF(OR($B$4="APM Level 7",$B$4="R&amp;T Level 7"),$C144*Thresholds_Rates!$F$15,IF(SUMIF(Grades!$A:$A,$B$4,Grades!$BO:$BO)=1,$C144*Thresholds_Rates!$F$15,""))))))))</f>
        <v/>
      </c>
      <c r="F144" s="25" t="str">
        <f ca="1">IF(B144="","",IF($B$4="Salary Points 1 to 57","-",IF(SUMIF(Grades!$A:$A,$B$4,Grades!$BP:$BP)=0,"-",IF(AND(OR($B$4="New Consultant Contract"),$B144&lt;&gt;""),$C144*Thresholds_Rates!$F$16,IF(AND(OR($B$4="Clinical Lecturer / Medical Research Fellow",$B$4="Clinical Consultant - Old Contract (GP)"),$B144&lt;&gt;""),$C144*Thresholds_Rates!$F$16,IF(AND(OR($B$4="APM Level 7",$B$4="R&amp;T Level 7"),E144&lt;&gt;""),$C144*Thresholds_Rates!$F$16,IF(SUMIF(Grades!$A:$A,$B$4,Grades!$BP:$BP)=1,$C144*Thresholds_Rates!$F$16,"")))))))</f>
        <v/>
      </c>
      <c r="G144" s="25" t="str">
        <f ca="1">IF(B144="","",IF(SUMIF(Grades!$A:$A,$B$4,Grades!$BQ:$BQ)=0,"-",IF(AND($B$4="Salary Points 1 to 57",B144&gt;Thresholds_Rates!$C$17),"-",IF(AND($B$4="Salary Points 1 to 57",B144&lt;=Thresholds_Rates!$C$17),$C144*Thresholds_Rates!$F$17,IF(AND(OR($B$4="New Consultant Contract"),$B144&lt;&gt;""),$C144*Thresholds_Rates!$F$17,IF(AND(OR($B$4="Clinical Lecturer / Medical Research Fellow",$B$4="Clinical Consultant - Old Contract (GP)"),$B144&lt;&gt;""),$C144*Thresholds_Rates!$F$17,IF(AND(OR($B$4="APM Level 7",$B$4="R&amp;T Level 7"),F144&lt;&gt;""),$C144*Thresholds_Rates!$F$17,IF(SUMIF(Grades!$A:$A,$B$4,Grades!$BQ:$BQ)=1,$C144*Thresholds_Rates!$F$17,""))))))))</f>
        <v/>
      </c>
      <c r="H144" s="25"/>
      <c r="I144" s="25" t="str">
        <f ca="1">IF(B144="","",(C144*Thresholds_Rates!$C$12))</f>
        <v/>
      </c>
      <c r="J144" s="25"/>
      <c r="K144" s="4"/>
      <c r="L144" s="25" t="str">
        <f t="shared" ca="1" si="13"/>
        <v/>
      </c>
      <c r="M144" s="25" t="str">
        <f t="shared" ca="1" si="14"/>
        <v/>
      </c>
      <c r="N144" s="25" t="str">
        <f t="shared" ca="1" si="15"/>
        <v/>
      </c>
      <c r="O144" s="25" t="str">
        <f t="shared" ca="1" si="16"/>
        <v/>
      </c>
      <c r="P144" s="25" t="str">
        <f t="shared" ca="1" si="17"/>
        <v/>
      </c>
      <c r="R144" s="28"/>
      <c r="S144" s="29"/>
      <c r="T144" s="28"/>
      <c r="U144" s="29"/>
    </row>
    <row r="145" spans="2:21" x14ac:dyDescent="0.25">
      <c r="B145" s="4" t="str">
        <f ca="1">IFERROR(INDEX(Points_Lookup!$A:$A,MATCH($Z147,Points_Lookup!$AE:$AE,0)),"")</f>
        <v/>
      </c>
      <c r="C145" s="25" t="str">
        <f ca="1">IF(B145="","",IF($B$4="Apprenticeship",SUMIF(Points_Lookup!$AA:$AA,B145,Points_Lookup!$AC:$AC),IF(AND(OR($B$4="New Consultant Contract"),$B145&lt;&gt;""),INDEX(Points_Lookup!$K:$K,MATCH($B145,Points_Lookup!$J:$J,0)),IF(AND(OR($B$4="Clinical Lecturer / Medical Research Fellow",$B$4="Clinical Consultant - Old Contract (GP)"),$B145&lt;&gt;""),INDEX(Points_Lookup!$H:$H,MATCH($B145,Points_Lookup!$G:$G,0)),IF(AND(OR($B$4="APM Level 7",$B$4="R&amp;T Level 7",$B$4="APM Level 8"),B145&lt;&gt;""),INDEX(Points_Lookup!$E:$E,MATCH($Z145,Points_Lookup!$AE:$AE,0)),IF($B$4="R&amp;T Level 5 - Clinical Lecturers (Vet School)",SUMIF(Points_Lookup!$M:$M,$B145,Points_Lookup!$P:$P),IF($B$4="R&amp;T Level 6 - Clinical Associate Professors and Clinical Readers (Vet School)",SUMIF(Points_Lookup!$T:$T,$B145,Points_Lookup!$W:$W),IFERROR(INDEX(Points_Lookup!$B:$B,MATCH($Z145,Points_Lookup!$AE:$AE,0)),""))))))))</f>
        <v/>
      </c>
      <c r="D145" s="36"/>
      <c r="E145" s="25" t="str">
        <f ca="1">IF($B145="","",IF(AND($B$4="Salary Points 3 to 57",B145&lt;Thresholds_Rates!$C$16),"-",IF(SUMIF(Grades!$A:$A,$B$4,Grades!$BO:$BO)=0,"-",IF(AND($B$4="Salary Points 3 to 57",B145&gt;=Thresholds_Rates!$C$16),$C145*Thresholds_Rates!$F$15,IF(AND(OR($B$4="New Consultant Contract"),$B145&lt;&gt;""),$C145*Thresholds_Rates!$F$15,IF(AND(OR($B$4="Clinical Lecturer / Medical Research Fellow",$B$4="Clinical Consultant - Old Contract (GP)"),$B145&lt;&gt;""),$C145*Thresholds_Rates!$F$15,IF(OR($B$4="APM Level 7",$B$4="R&amp;T Level 7"),$C145*Thresholds_Rates!$F$15,IF(SUMIF(Grades!$A:$A,$B$4,Grades!$BO:$BO)=1,$C145*Thresholds_Rates!$F$15,""))))))))</f>
        <v/>
      </c>
      <c r="F145" s="25" t="str">
        <f ca="1">IF(B145="","",IF($B$4="Salary Points 1 to 57","-",IF(SUMIF(Grades!$A:$A,$B$4,Grades!$BP:$BP)=0,"-",IF(AND(OR($B$4="New Consultant Contract"),$B145&lt;&gt;""),$C145*Thresholds_Rates!$F$16,IF(AND(OR($B$4="Clinical Lecturer / Medical Research Fellow",$B$4="Clinical Consultant - Old Contract (GP)"),$B145&lt;&gt;""),$C145*Thresholds_Rates!$F$16,IF(AND(OR($B$4="APM Level 7",$B$4="R&amp;T Level 7"),E145&lt;&gt;""),$C145*Thresholds_Rates!$F$16,IF(SUMIF(Grades!$A:$A,$B$4,Grades!$BP:$BP)=1,$C145*Thresholds_Rates!$F$16,"")))))))</f>
        <v/>
      </c>
      <c r="G145" s="25" t="str">
        <f ca="1">IF(B145="","",IF(SUMIF(Grades!$A:$A,$B$4,Grades!$BQ:$BQ)=0,"-",IF(AND($B$4="Salary Points 1 to 57",B145&gt;Thresholds_Rates!$C$17),"-",IF(AND($B$4="Salary Points 1 to 57",B145&lt;=Thresholds_Rates!$C$17),$C145*Thresholds_Rates!$F$17,IF(AND(OR($B$4="New Consultant Contract"),$B145&lt;&gt;""),$C145*Thresholds_Rates!$F$17,IF(AND(OR($B$4="Clinical Lecturer / Medical Research Fellow",$B$4="Clinical Consultant - Old Contract (GP)"),$B145&lt;&gt;""),$C145*Thresholds_Rates!$F$17,IF(AND(OR($B$4="APM Level 7",$B$4="R&amp;T Level 7"),F145&lt;&gt;""),$C145*Thresholds_Rates!$F$17,IF(SUMIF(Grades!$A:$A,$B$4,Grades!$BQ:$BQ)=1,$C145*Thresholds_Rates!$F$17,""))))))))</f>
        <v/>
      </c>
      <c r="H145" s="25"/>
      <c r="I145" s="25" t="str">
        <f ca="1">IF(B145="","",(C145*Thresholds_Rates!$C$12))</f>
        <v/>
      </c>
      <c r="J145" s="25"/>
      <c r="K145" s="4"/>
      <c r="L145" s="25" t="str">
        <f t="shared" ca="1" si="13"/>
        <v/>
      </c>
      <c r="M145" s="25" t="str">
        <f t="shared" ca="1" si="14"/>
        <v/>
      </c>
      <c r="N145" s="25" t="str">
        <f t="shared" ca="1" si="15"/>
        <v/>
      </c>
      <c r="O145" s="25" t="str">
        <f t="shared" ca="1" si="16"/>
        <v/>
      </c>
      <c r="P145" s="25" t="str">
        <f t="shared" ca="1" si="17"/>
        <v/>
      </c>
      <c r="R145" s="28"/>
      <c r="S145" s="29"/>
      <c r="T145" s="28"/>
      <c r="U145" s="29"/>
    </row>
    <row r="146" spans="2:21" x14ac:dyDescent="0.25">
      <c r="B146" s="4" t="str">
        <f ca="1">IFERROR(INDEX(Points_Lookup!$A:$A,MATCH($Z148,Points_Lookup!$AE:$AE,0)),"")</f>
        <v/>
      </c>
      <c r="C146" s="25" t="str">
        <f ca="1">IF(B146="","",IF($B$4="Apprenticeship",SUMIF(Points_Lookup!$AA:$AA,B146,Points_Lookup!$AC:$AC),IF(AND(OR($B$4="New Consultant Contract"),$B146&lt;&gt;""),INDEX(Points_Lookup!$K:$K,MATCH($B146,Points_Lookup!$J:$J,0)),IF(AND(OR($B$4="Clinical Lecturer / Medical Research Fellow",$B$4="Clinical Consultant - Old Contract (GP)"),$B146&lt;&gt;""),INDEX(Points_Lookup!$H:$H,MATCH($B146,Points_Lookup!$G:$G,0)),IF(AND(OR($B$4="APM Level 7",$B$4="R&amp;T Level 7",$B$4="APM Level 8"),B146&lt;&gt;""),INDEX(Points_Lookup!$E:$E,MATCH($Z146,Points_Lookup!$AE:$AE,0)),IF($B$4="R&amp;T Level 5 - Clinical Lecturers (Vet School)",SUMIF(Points_Lookup!$M:$M,$B146,Points_Lookup!$P:$P),IF($B$4="R&amp;T Level 6 - Clinical Associate Professors and Clinical Readers (Vet School)",SUMIF(Points_Lookup!$T:$T,$B146,Points_Lookup!$W:$W),IFERROR(INDEX(Points_Lookup!$B:$B,MATCH($Z146,Points_Lookup!$AE:$AE,0)),""))))))))</f>
        <v/>
      </c>
      <c r="D146" s="36"/>
      <c r="E146" s="25" t="str">
        <f ca="1">IF($B146="","",IF(AND($B$4="Salary Points 3 to 57",B146&lt;Thresholds_Rates!$C$16),"-",IF(SUMIF(Grades!$A:$A,$B$4,Grades!$BO:$BO)=0,"-",IF(AND($B$4="Salary Points 3 to 57",B146&gt;=Thresholds_Rates!$C$16),$C146*Thresholds_Rates!$F$15,IF(AND(OR($B$4="New Consultant Contract"),$B146&lt;&gt;""),$C146*Thresholds_Rates!$F$15,IF(AND(OR($B$4="Clinical Lecturer / Medical Research Fellow",$B$4="Clinical Consultant - Old Contract (GP)"),$B146&lt;&gt;""),$C146*Thresholds_Rates!$F$15,IF(OR($B$4="APM Level 7",$B$4="R&amp;T Level 7"),$C146*Thresholds_Rates!$F$15,IF(SUMIF(Grades!$A:$A,$B$4,Grades!$BO:$BO)=1,$C146*Thresholds_Rates!$F$15,""))))))))</f>
        <v/>
      </c>
      <c r="F146" s="25" t="str">
        <f ca="1">IF(B146="","",IF($B$4="Salary Points 1 to 57","-",IF(SUMIF(Grades!$A:$A,$B$4,Grades!$BP:$BP)=0,"-",IF(AND(OR($B$4="New Consultant Contract"),$B146&lt;&gt;""),$C146*Thresholds_Rates!$F$16,IF(AND(OR($B$4="Clinical Lecturer / Medical Research Fellow",$B$4="Clinical Consultant - Old Contract (GP)"),$B146&lt;&gt;""),$C146*Thresholds_Rates!$F$16,IF(AND(OR($B$4="APM Level 7",$B$4="R&amp;T Level 7"),E146&lt;&gt;""),$C146*Thresholds_Rates!$F$16,IF(SUMIF(Grades!$A:$A,$B$4,Grades!$BP:$BP)=1,$C146*Thresholds_Rates!$F$16,"")))))))</f>
        <v/>
      </c>
      <c r="G146" s="25" t="str">
        <f ca="1">IF(B146="","",IF(SUMIF(Grades!$A:$A,$B$4,Grades!$BQ:$BQ)=0,"-",IF(AND($B$4="Salary Points 1 to 57",B146&gt;Thresholds_Rates!$C$17),"-",IF(AND($B$4="Salary Points 1 to 57",B146&lt;=Thresholds_Rates!$C$17),$C146*Thresholds_Rates!$F$17,IF(AND(OR($B$4="New Consultant Contract"),$B146&lt;&gt;""),$C146*Thresholds_Rates!$F$17,IF(AND(OR($B$4="Clinical Lecturer / Medical Research Fellow",$B$4="Clinical Consultant - Old Contract (GP)"),$B146&lt;&gt;""),$C146*Thresholds_Rates!$F$17,IF(AND(OR($B$4="APM Level 7",$B$4="R&amp;T Level 7"),F146&lt;&gt;""),$C146*Thresholds_Rates!$F$17,IF(SUMIF(Grades!$A:$A,$B$4,Grades!$BQ:$BQ)=1,$C146*Thresholds_Rates!$F$17,""))))))))</f>
        <v/>
      </c>
      <c r="H146" s="25"/>
      <c r="I146" s="25" t="str">
        <f ca="1">IF(B146="","",(C146*Thresholds_Rates!$C$12))</f>
        <v/>
      </c>
      <c r="J146" s="25"/>
      <c r="K146" s="4"/>
      <c r="L146" s="25" t="str">
        <f t="shared" ca="1" si="13"/>
        <v/>
      </c>
      <c r="M146" s="25" t="str">
        <f t="shared" ca="1" si="14"/>
        <v/>
      </c>
      <c r="N146" s="25" t="str">
        <f t="shared" ca="1" si="15"/>
        <v/>
      </c>
      <c r="O146" s="25" t="str">
        <f t="shared" ca="1" si="16"/>
        <v/>
      </c>
      <c r="P146" s="25" t="str">
        <f t="shared" ca="1" si="17"/>
        <v/>
      </c>
      <c r="R146" s="28"/>
      <c r="S146" s="29"/>
      <c r="T146" s="28"/>
      <c r="U146" s="29"/>
    </row>
    <row r="147" spans="2:21" x14ac:dyDescent="0.25">
      <c r="B147" s="4" t="str">
        <f ca="1">IFERROR(INDEX(Points_Lookup!$A:$A,MATCH($Z149,Points_Lookup!$AE:$AE,0)),"")</f>
        <v/>
      </c>
      <c r="C147" s="25" t="str">
        <f ca="1">IF(B147="","",IF($B$4="Apprenticeship",SUMIF(Points_Lookup!$AA:$AA,B147,Points_Lookup!$AC:$AC),IF(AND(OR($B$4="New Consultant Contract"),$B147&lt;&gt;""),INDEX(Points_Lookup!$K:$K,MATCH($B147,Points_Lookup!$J:$J,0)),IF(AND(OR($B$4="Clinical Lecturer / Medical Research Fellow",$B$4="Clinical Consultant - Old Contract (GP)"),$B147&lt;&gt;""),INDEX(Points_Lookup!$H:$H,MATCH($B147,Points_Lookup!$G:$G,0)),IF(AND(OR($B$4="APM Level 7",$B$4="R&amp;T Level 7",$B$4="APM Level 8"),B147&lt;&gt;""),INDEX(Points_Lookup!$E:$E,MATCH($Z147,Points_Lookup!$AE:$AE,0)),IF($B$4="R&amp;T Level 5 - Clinical Lecturers (Vet School)",SUMIF(Points_Lookup!$M:$M,$B147,Points_Lookup!$P:$P),IF($B$4="R&amp;T Level 6 - Clinical Associate Professors and Clinical Readers (Vet School)",SUMIF(Points_Lookup!$T:$T,$B147,Points_Lookup!$W:$W),IFERROR(INDEX(Points_Lookup!$B:$B,MATCH($Z147,Points_Lookup!$AE:$AE,0)),""))))))))</f>
        <v/>
      </c>
      <c r="D147" s="36"/>
      <c r="E147" s="25" t="str">
        <f ca="1">IF($B147="","",IF(AND($B$4="Salary Points 3 to 57",B147&lt;Thresholds_Rates!$C$16),"-",IF(SUMIF(Grades!$A:$A,$B$4,Grades!$BO:$BO)=0,"-",IF(AND($B$4="Salary Points 3 to 57",B147&gt;=Thresholds_Rates!$C$16),$C147*Thresholds_Rates!$F$15,IF(AND(OR($B$4="New Consultant Contract"),$B147&lt;&gt;""),$C147*Thresholds_Rates!$F$15,IF(AND(OR($B$4="Clinical Lecturer / Medical Research Fellow",$B$4="Clinical Consultant - Old Contract (GP)"),$B147&lt;&gt;""),$C147*Thresholds_Rates!$F$15,IF(OR($B$4="APM Level 7",$B$4="R&amp;T Level 7"),$C147*Thresholds_Rates!$F$15,IF(SUMIF(Grades!$A:$A,$B$4,Grades!$BO:$BO)=1,$C147*Thresholds_Rates!$F$15,""))))))))</f>
        <v/>
      </c>
      <c r="F147" s="25" t="str">
        <f ca="1">IF(B147="","",IF($B$4="Salary Points 1 to 57","-",IF(SUMIF(Grades!$A:$A,$B$4,Grades!$BP:$BP)=0,"-",IF(AND(OR($B$4="New Consultant Contract"),$B147&lt;&gt;""),$C147*Thresholds_Rates!$F$16,IF(AND(OR($B$4="Clinical Lecturer / Medical Research Fellow",$B$4="Clinical Consultant - Old Contract (GP)"),$B147&lt;&gt;""),$C147*Thresholds_Rates!$F$16,IF(AND(OR($B$4="APM Level 7",$B$4="R&amp;T Level 7"),E147&lt;&gt;""),$C147*Thresholds_Rates!$F$16,IF(SUMIF(Grades!$A:$A,$B$4,Grades!$BP:$BP)=1,$C147*Thresholds_Rates!$F$16,"")))))))</f>
        <v/>
      </c>
      <c r="G147" s="25" t="str">
        <f ca="1">IF(B147="","",IF(SUMIF(Grades!$A:$A,$B$4,Grades!$BQ:$BQ)=0,"-",IF(AND($B$4="Salary Points 1 to 57",B147&gt;Thresholds_Rates!$C$17),"-",IF(AND($B$4="Salary Points 1 to 57",B147&lt;=Thresholds_Rates!$C$17),$C147*Thresholds_Rates!$F$17,IF(AND(OR($B$4="New Consultant Contract"),$B147&lt;&gt;""),$C147*Thresholds_Rates!$F$17,IF(AND(OR($B$4="Clinical Lecturer / Medical Research Fellow",$B$4="Clinical Consultant - Old Contract (GP)"),$B147&lt;&gt;""),$C147*Thresholds_Rates!$F$17,IF(AND(OR($B$4="APM Level 7",$B$4="R&amp;T Level 7"),F147&lt;&gt;""),$C147*Thresholds_Rates!$F$17,IF(SUMIF(Grades!$A:$A,$B$4,Grades!$BQ:$BQ)=1,$C147*Thresholds_Rates!$F$17,""))))))))</f>
        <v/>
      </c>
      <c r="H147" s="25"/>
      <c r="I147" s="25" t="str">
        <f ca="1">IF(B147="","",(C147*Thresholds_Rates!$C$12))</f>
        <v/>
      </c>
      <c r="J147" s="25"/>
      <c r="K147" s="4"/>
      <c r="L147" s="25" t="str">
        <f t="shared" ca="1" si="13"/>
        <v/>
      </c>
      <c r="M147" s="25" t="str">
        <f t="shared" ca="1" si="14"/>
        <v/>
      </c>
      <c r="N147" s="25" t="str">
        <f t="shared" ca="1" si="15"/>
        <v/>
      </c>
      <c r="O147" s="25" t="str">
        <f t="shared" ca="1" si="16"/>
        <v/>
      </c>
      <c r="P147" s="25" t="str">
        <f t="shared" ca="1" si="17"/>
        <v/>
      </c>
      <c r="R147" s="28"/>
      <c r="S147" s="29"/>
      <c r="T147" s="28"/>
      <c r="U147" s="29"/>
    </row>
    <row r="148" spans="2:21" x14ac:dyDescent="0.25">
      <c r="B148" s="4" t="str">
        <f ca="1">IFERROR(INDEX(Points_Lookup!$A:$A,MATCH($Z150,Points_Lookup!$AE:$AE,0)),"")</f>
        <v/>
      </c>
      <c r="C148" s="25" t="str">
        <f ca="1">IF(B148="","",IF($B$4="Apprenticeship",SUMIF(Points_Lookup!$AA:$AA,B148,Points_Lookup!$AC:$AC),IF(AND(OR($B$4="New Consultant Contract"),$B148&lt;&gt;""),INDEX(Points_Lookup!$K:$K,MATCH($B148,Points_Lookup!$J:$J,0)),IF(AND(OR($B$4="Clinical Lecturer / Medical Research Fellow",$B$4="Clinical Consultant - Old Contract (GP)"),$B148&lt;&gt;""),INDEX(Points_Lookup!$H:$H,MATCH($B148,Points_Lookup!$G:$G,0)),IF(AND(OR($B$4="APM Level 7",$B$4="R&amp;T Level 7",$B$4="APM Level 8"),B148&lt;&gt;""),INDEX(Points_Lookup!$E:$E,MATCH($Z148,Points_Lookup!$AE:$AE,0)),IF($B$4="R&amp;T Level 5 - Clinical Lecturers (Vet School)",SUMIF(Points_Lookup!$M:$M,$B148,Points_Lookup!$P:$P),IF($B$4="R&amp;T Level 6 - Clinical Associate Professors and Clinical Readers (Vet School)",SUMIF(Points_Lookup!$T:$T,$B148,Points_Lookup!$W:$W),IFERROR(INDEX(Points_Lookup!$B:$B,MATCH($Z148,Points_Lookup!$AE:$AE,0)),""))))))))</f>
        <v/>
      </c>
      <c r="D148" s="36"/>
      <c r="E148" s="25" t="str">
        <f ca="1">IF($B148="","",IF(AND($B$4="Salary Points 3 to 57",B148&lt;Thresholds_Rates!$C$16),"-",IF(SUMIF(Grades!$A:$A,$B$4,Grades!$BO:$BO)=0,"-",IF(AND($B$4="Salary Points 3 to 57",B148&gt;=Thresholds_Rates!$C$16),$C148*Thresholds_Rates!$F$15,IF(AND(OR($B$4="New Consultant Contract"),$B148&lt;&gt;""),$C148*Thresholds_Rates!$F$15,IF(AND(OR($B$4="Clinical Lecturer / Medical Research Fellow",$B$4="Clinical Consultant - Old Contract (GP)"),$B148&lt;&gt;""),$C148*Thresholds_Rates!$F$15,IF(OR($B$4="APM Level 7",$B$4="R&amp;T Level 7"),$C148*Thresholds_Rates!$F$15,IF(SUMIF(Grades!$A:$A,$B$4,Grades!$BO:$BO)=1,$C148*Thresholds_Rates!$F$15,""))))))))</f>
        <v/>
      </c>
      <c r="F148" s="25" t="str">
        <f ca="1">IF(B148="","",IF($B$4="Salary Points 1 to 57","-",IF(SUMIF(Grades!$A:$A,$B$4,Grades!$BP:$BP)=0,"-",IF(AND(OR($B$4="New Consultant Contract"),$B148&lt;&gt;""),$C148*Thresholds_Rates!$F$16,IF(AND(OR($B$4="Clinical Lecturer / Medical Research Fellow",$B$4="Clinical Consultant - Old Contract (GP)"),$B148&lt;&gt;""),$C148*Thresholds_Rates!$F$16,IF(AND(OR($B$4="APM Level 7",$B$4="R&amp;T Level 7"),E148&lt;&gt;""),$C148*Thresholds_Rates!$F$16,IF(SUMIF(Grades!$A:$A,$B$4,Grades!$BP:$BP)=1,$C148*Thresholds_Rates!$F$16,"")))))))</f>
        <v/>
      </c>
      <c r="G148" s="25" t="str">
        <f ca="1">IF(B148="","",IF(SUMIF(Grades!$A:$A,$B$4,Grades!$BQ:$BQ)=0,"-",IF(AND($B$4="Salary Points 1 to 57",B148&gt;Thresholds_Rates!$C$17),"-",IF(AND($B$4="Salary Points 1 to 57",B148&lt;=Thresholds_Rates!$C$17),$C148*Thresholds_Rates!$F$17,IF(AND(OR($B$4="New Consultant Contract"),$B148&lt;&gt;""),$C148*Thresholds_Rates!$F$17,IF(AND(OR($B$4="Clinical Lecturer / Medical Research Fellow",$B$4="Clinical Consultant - Old Contract (GP)"),$B148&lt;&gt;""),$C148*Thresholds_Rates!$F$17,IF(AND(OR($B$4="APM Level 7",$B$4="R&amp;T Level 7"),F148&lt;&gt;""),$C148*Thresholds_Rates!$F$17,IF(SUMIF(Grades!$A:$A,$B$4,Grades!$BQ:$BQ)=1,$C148*Thresholds_Rates!$F$17,""))))))))</f>
        <v/>
      </c>
      <c r="H148" s="25"/>
      <c r="I148" s="25" t="str">
        <f ca="1">IF(B148="","",(C148*Thresholds_Rates!$C$12))</f>
        <v/>
      </c>
      <c r="J148" s="25"/>
      <c r="K148" s="4"/>
      <c r="L148" s="25" t="str">
        <f t="shared" ca="1" si="13"/>
        <v/>
      </c>
      <c r="M148" s="25" t="str">
        <f t="shared" ca="1" si="14"/>
        <v/>
      </c>
      <c r="N148" s="25" t="str">
        <f t="shared" ca="1" si="15"/>
        <v/>
      </c>
      <c r="O148" s="25" t="str">
        <f t="shared" ca="1" si="16"/>
        <v/>
      </c>
      <c r="P148" s="25" t="str">
        <f t="shared" ca="1" si="17"/>
        <v/>
      </c>
      <c r="R148" s="28"/>
      <c r="S148" s="29"/>
      <c r="T148" s="28"/>
      <c r="U148" s="29"/>
    </row>
    <row r="149" spans="2:21" x14ac:dyDescent="0.25">
      <c r="B149" s="4" t="str">
        <f ca="1">IFERROR(INDEX(Points_Lookup!$A:$A,MATCH($Z151,Points_Lookup!$AE:$AE,0)),"")</f>
        <v/>
      </c>
      <c r="C149" s="25" t="str">
        <f ca="1">IF(B149="","",IF($B$4="Apprenticeship",SUMIF(Points_Lookup!$AA:$AA,B149,Points_Lookup!$AC:$AC),IF(AND(OR($B$4="New Consultant Contract"),$B149&lt;&gt;""),INDEX(Points_Lookup!$K:$K,MATCH($B149,Points_Lookup!$J:$J,0)),IF(AND(OR($B$4="Clinical Lecturer / Medical Research Fellow",$B$4="Clinical Consultant - Old Contract (GP)"),$B149&lt;&gt;""),INDEX(Points_Lookup!$H:$H,MATCH($B149,Points_Lookup!$G:$G,0)),IF(AND(OR($B$4="APM Level 7",$B$4="R&amp;T Level 7",$B$4="APM Level 8"),B149&lt;&gt;""),INDEX(Points_Lookup!$E:$E,MATCH($Z149,Points_Lookup!$AE:$AE,0)),IF($B$4="R&amp;T Level 5 - Clinical Lecturers (Vet School)",SUMIF(Points_Lookup!$M:$M,$B149,Points_Lookup!$P:$P),IF($B$4="R&amp;T Level 6 - Clinical Associate Professors and Clinical Readers (Vet School)",SUMIF(Points_Lookup!$T:$T,$B149,Points_Lookup!$W:$W),IFERROR(INDEX(Points_Lookup!$B:$B,MATCH($Z149,Points_Lookup!$AE:$AE,0)),""))))))))</f>
        <v/>
      </c>
      <c r="D149" s="36"/>
      <c r="E149" s="25" t="str">
        <f ca="1">IF($B149="","",IF(AND($B$4="Salary Points 3 to 57",B149&lt;Thresholds_Rates!$C$16),"-",IF(SUMIF(Grades!$A:$A,$B$4,Grades!$BO:$BO)=0,"-",IF(AND($B$4="Salary Points 3 to 57",B149&gt;=Thresholds_Rates!$C$16),$C149*Thresholds_Rates!$F$15,IF(AND(OR($B$4="New Consultant Contract"),$B149&lt;&gt;""),$C149*Thresholds_Rates!$F$15,IF(AND(OR($B$4="Clinical Lecturer / Medical Research Fellow",$B$4="Clinical Consultant - Old Contract (GP)"),$B149&lt;&gt;""),$C149*Thresholds_Rates!$F$15,IF(OR($B$4="APM Level 7",$B$4="R&amp;T Level 7"),$C149*Thresholds_Rates!$F$15,IF(SUMIF(Grades!$A:$A,$B$4,Grades!$BO:$BO)=1,$C149*Thresholds_Rates!$F$15,""))))))))</f>
        <v/>
      </c>
      <c r="F149" s="25" t="str">
        <f ca="1">IF(B149="","",IF($B$4="Salary Points 1 to 57","-",IF(SUMIF(Grades!$A:$A,$B$4,Grades!$BP:$BP)=0,"-",IF(AND(OR($B$4="New Consultant Contract"),$B149&lt;&gt;""),$C149*Thresholds_Rates!$F$16,IF(AND(OR($B$4="Clinical Lecturer / Medical Research Fellow",$B$4="Clinical Consultant - Old Contract (GP)"),$B149&lt;&gt;""),$C149*Thresholds_Rates!$F$16,IF(AND(OR($B$4="APM Level 7",$B$4="R&amp;T Level 7"),E149&lt;&gt;""),$C149*Thresholds_Rates!$F$16,IF(SUMIF(Grades!$A:$A,$B$4,Grades!$BP:$BP)=1,$C149*Thresholds_Rates!$F$16,"")))))))</f>
        <v/>
      </c>
      <c r="G149" s="25" t="str">
        <f ca="1">IF(B149="","",IF(SUMIF(Grades!$A:$A,$B$4,Grades!$BQ:$BQ)=0,"-",IF(AND($B$4="Salary Points 1 to 57",B149&gt;Thresholds_Rates!$C$17),"-",IF(AND($B$4="Salary Points 1 to 57",B149&lt;=Thresholds_Rates!$C$17),$C149*Thresholds_Rates!$F$17,IF(AND(OR($B$4="New Consultant Contract"),$B149&lt;&gt;""),$C149*Thresholds_Rates!$F$17,IF(AND(OR($B$4="Clinical Lecturer / Medical Research Fellow",$B$4="Clinical Consultant - Old Contract (GP)"),$B149&lt;&gt;""),$C149*Thresholds_Rates!$F$17,IF(AND(OR($B$4="APM Level 7",$B$4="R&amp;T Level 7"),F149&lt;&gt;""),$C149*Thresholds_Rates!$F$17,IF(SUMIF(Grades!$A:$A,$B$4,Grades!$BQ:$BQ)=1,$C149*Thresholds_Rates!$F$17,""))))))))</f>
        <v/>
      </c>
      <c r="H149" s="25"/>
      <c r="I149" s="25" t="str">
        <f ca="1">IF(B149="","",(C149*Thresholds_Rates!$C$12))</f>
        <v/>
      </c>
      <c r="J149" s="25"/>
      <c r="K149" s="4"/>
      <c r="L149" s="25" t="str">
        <f t="shared" ca="1" si="13"/>
        <v/>
      </c>
      <c r="M149" s="25" t="str">
        <f t="shared" ca="1" si="14"/>
        <v/>
      </c>
      <c r="N149" s="25" t="str">
        <f t="shared" ca="1" si="15"/>
        <v/>
      </c>
      <c r="O149" s="25" t="str">
        <f t="shared" ca="1" si="16"/>
        <v/>
      </c>
      <c r="P149" s="25" t="str">
        <f t="shared" ca="1" si="17"/>
        <v/>
      </c>
      <c r="R149" s="28"/>
      <c r="S149" s="29"/>
      <c r="T149" s="28"/>
      <c r="U149" s="29"/>
    </row>
    <row r="150" spans="2:21" x14ac:dyDescent="0.25">
      <c r="B150" s="4" t="str">
        <f ca="1">IFERROR(INDEX(Points_Lookup!$A:$A,MATCH($Z152,Points_Lookup!$AE:$AE,0)),"")</f>
        <v/>
      </c>
      <c r="C150" s="25" t="str">
        <f ca="1">IF(B150="","",IF($B$4="Apprenticeship",SUMIF(Points_Lookup!$AA:$AA,B150,Points_Lookup!$AC:$AC),IF(AND(OR($B$4="New Consultant Contract"),$B150&lt;&gt;""),INDEX(Points_Lookup!$K:$K,MATCH($B150,Points_Lookup!$J:$J,0)),IF(AND(OR($B$4="Clinical Lecturer / Medical Research Fellow",$B$4="Clinical Consultant - Old Contract (GP)"),$B150&lt;&gt;""),INDEX(Points_Lookup!$H:$H,MATCH($B150,Points_Lookup!$G:$G,0)),IF(AND(OR($B$4="APM Level 7",$B$4="R&amp;T Level 7",$B$4="APM Level 8"),B150&lt;&gt;""),INDEX(Points_Lookup!$E:$E,MATCH($Z150,Points_Lookup!$AE:$AE,0)),IF($B$4="R&amp;T Level 5 - Clinical Lecturers (Vet School)",SUMIF(Points_Lookup!$M:$M,$B150,Points_Lookup!$P:$P),IF($B$4="R&amp;T Level 6 - Clinical Associate Professors and Clinical Readers (Vet School)",SUMIF(Points_Lookup!$T:$T,$B150,Points_Lookup!$W:$W),IFERROR(INDEX(Points_Lookup!$B:$B,MATCH($Z150,Points_Lookup!$AE:$AE,0)),""))))))))</f>
        <v/>
      </c>
      <c r="D150" s="36"/>
      <c r="E150" s="25" t="str">
        <f ca="1">IF($B150="","",IF(AND($B$4="Salary Points 3 to 57",B150&lt;Thresholds_Rates!$C$16),"-",IF(SUMIF(Grades!$A:$A,$B$4,Grades!$BO:$BO)=0,"-",IF(AND($B$4="Salary Points 3 to 57",B150&gt;=Thresholds_Rates!$C$16),$C150*Thresholds_Rates!$F$15,IF(AND(OR($B$4="New Consultant Contract"),$B150&lt;&gt;""),$C150*Thresholds_Rates!$F$15,IF(AND(OR($B$4="Clinical Lecturer / Medical Research Fellow",$B$4="Clinical Consultant - Old Contract (GP)"),$B150&lt;&gt;""),$C150*Thresholds_Rates!$F$15,IF(OR($B$4="APM Level 7",$B$4="R&amp;T Level 7"),$C150*Thresholds_Rates!$F$15,IF(SUMIF(Grades!$A:$A,$B$4,Grades!$BO:$BO)=1,$C150*Thresholds_Rates!$F$15,""))))))))</f>
        <v/>
      </c>
      <c r="F150" s="25" t="str">
        <f ca="1">IF(B150="","",IF($B$4="Salary Points 1 to 57","-",IF(SUMIF(Grades!$A:$A,$B$4,Grades!$BP:$BP)=0,"-",IF(AND(OR($B$4="New Consultant Contract"),$B150&lt;&gt;""),$C150*Thresholds_Rates!$F$16,IF(AND(OR($B$4="Clinical Lecturer / Medical Research Fellow",$B$4="Clinical Consultant - Old Contract (GP)"),$B150&lt;&gt;""),$C150*Thresholds_Rates!$F$16,IF(AND(OR($B$4="APM Level 7",$B$4="R&amp;T Level 7"),E150&lt;&gt;""),$C150*Thresholds_Rates!$F$16,IF(SUMIF(Grades!$A:$A,$B$4,Grades!$BP:$BP)=1,$C150*Thresholds_Rates!$F$16,"")))))))</f>
        <v/>
      </c>
      <c r="G150" s="25" t="str">
        <f ca="1">IF(B150="","",IF(SUMIF(Grades!$A:$A,$B$4,Grades!$BQ:$BQ)=0,"-",IF(AND($B$4="Salary Points 1 to 57",B150&gt;Thresholds_Rates!$C$17),"-",IF(AND($B$4="Salary Points 1 to 57",B150&lt;=Thresholds_Rates!$C$17),$C150*Thresholds_Rates!$F$17,IF(AND(OR($B$4="New Consultant Contract"),$B150&lt;&gt;""),$C150*Thresholds_Rates!$F$17,IF(AND(OR($B$4="Clinical Lecturer / Medical Research Fellow",$B$4="Clinical Consultant - Old Contract (GP)"),$B150&lt;&gt;""),$C150*Thresholds_Rates!$F$17,IF(AND(OR($B$4="APM Level 7",$B$4="R&amp;T Level 7"),F150&lt;&gt;""),$C150*Thresholds_Rates!$F$17,IF(SUMIF(Grades!$A:$A,$B$4,Grades!$BQ:$BQ)=1,$C150*Thresholds_Rates!$F$17,""))))))))</f>
        <v/>
      </c>
      <c r="H150" s="25"/>
      <c r="I150" s="25" t="str">
        <f ca="1">IF(B150="","",(C150*Thresholds_Rates!$C$12))</f>
        <v/>
      </c>
      <c r="J150" s="25"/>
      <c r="K150" s="4"/>
      <c r="L150" s="25" t="str">
        <f t="shared" ca="1" si="13"/>
        <v/>
      </c>
      <c r="M150" s="25" t="str">
        <f t="shared" ca="1" si="14"/>
        <v/>
      </c>
      <c r="N150" s="25" t="str">
        <f t="shared" ca="1" si="15"/>
        <v/>
      </c>
      <c r="O150" s="25" t="str">
        <f t="shared" ca="1" si="16"/>
        <v/>
      </c>
      <c r="P150" s="25" t="str">
        <f t="shared" ca="1" si="17"/>
        <v/>
      </c>
      <c r="R150" s="28"/>
      <c r="S150" s="29"/>
      <c r="T150" s="28"/>
      <c r="U150" s="29"/>
    </row>
    <row r="151" spans="2:21" x14ac:dyDescent="0.25">
      <c r="B151" s="4" t="str">
        <f ca="1">IFERROR(INDEX(Points_Lookup!$A:$A,MATCH($Z153,Points_Lookup!$AE:$AE,0)),"")</f>
        <v/>
      </c>
      <c r="C151" s="25" t="str">
        <f ca="1">IF(B151="","",IF($B$4="Apprenticeship",SUMIF(Points_Lookup!$AA:$AA,B151,Points_Lookup!$AC:$AC),IF(AND(OR($B$4="New Consultant Contract"),$B151&lt;&gt;""),INDEX(Points_Lookup!$K:$K,MATCH($B151,Points_Lookup!$J:$J,0)),IF(AND(OR($B$4="Clinical Lecturer / Medical Research Fellow",$B$4="Clinical Consultant - Old Contract (GP)"),$B151&lt;&gt;""),INDEX(Points_Lookup!$H:$H,MATCH($B151,Points_Lookup!$G:$G,0)),IF(AND(OR($B$4="APM Level 7",$B$4="R&amp;T Level 7",$B$4="APM Level 8"),B151&lt;&gt;""),INDEX(Points_Lookup!$E:$E,MATCH($Z151,Points_Lookup!$AE:$AE,0)),IF($B$4="R&amp;T Level 5 - Clinical Lecturers (Vet School)",SUMIF(Points_Lookup!$M:$M,$B151,Points_Lookup!$P:$P),IF($B$4="R&amp;T Level 6 - Clinical Associate Professors and Clinical Readers (Vet School)",SUMIF(Points_Lookup!$T:$T,$B151,Points_Lookup!$W:$W),IFERROR(INDEX(Points_Lookup!$B:$B,MATCH($Z151,Points_Lookup!$AE:$AE,0)),""))))))))</f>
        <v/>
      </c>
      <c r="D151" s="36"/>
      <c r="E151" s="25" t="str">
        <f ca="1">IF($B151="","",IF(AND($B$4="Salary Points 3 to 57",B151&lt;Thresholds_Rates!$C$16),"-",IF(SUMIF(Grades!$A:$A,$B$4,Grades!$BO:$BO)=0,"-",IF(AND($B$4="Salary Points 3 to 57",B151&gt;=Thresholds_Rates!$C$16),$C151*Thresholds_Rates!$F$15,IF(AND(OR($B$4="New Consultant Contract"),$B151&lt;&gt;""),$C151*Thresholds_Rates!$F$15,IF(AND(OR($B$4="Clinical Lecturer / Medical Research Fellow",$B$4="Clinical Consultant - Old Contract (GP)"),$B151&lt;&gt;""),$C151*Thresholds_Rates!$F$15,IF(OR($B$4="APM Level 7",$B$4="R&amp;T Level 7"),$C151*Thresholds_Rates!$F$15,IF(SUMIF(Grades!$A:$A,$B$4,Grades!$BO:$BO)=1,$C151*Thresholds_Rates!$F$15,""))))))))</f>
        <v/>
      </c>
      <c r="F151" s="25" t="str">
        <f ca="1">IF(B151="","",IF($B$4="Salary Points 1 to 57","-",IF(SUMIF(Grades!$A:$A,$B$4,Grades!$BP:$BP)=0,"-",IF(AND(OR($B$4="New Consultant Contract"),$B151&lt;&gt;""),$C151*Thresholds_Rates!$F$16,IF(AND(OR($B$4="Clinical Lecturer / Medical Research Fellow",$B$4="Clinical Consultant - Old Contract (GP)"),$B151&lt;&gt;""),$C151*Thresholds_Rates!$F$16,IF(AND(OR($B$4="APM Level 7",$B$4="R&amp;T Level 7"),E151&lt;&gt;""),$C151*Thresholds_Rates!$F$16,IF(SUMIF(Grades!$A:$A,$B$4,Grades!$BP:$BP)=1,$C151*Thresholds_Rates!$F$16,"")))))))</f>
        <v/>
      </c>
      <c r="G151" s="25" t="str">
        <f ca="1">IF(B151="","",IF(SUMIF(Grades!$A:$A,$B$4,Grades!$BQ:$BQ)=0,"-",IF(AND($B$4="Salary Points 1 to 57",B151&gt;Thresholds_Rates!$C$17),"-",IF(AND($B$4="Salary Points 1 to 57",B151&lt;=Thresholds_Rates!$C$17),$C151*Thresholds_Rates!$F$17,IF(AND(OR($B$4="New Consultant Contract"),$B151&lt;&gt;""),$C151*Thresholds_Rates!$F$17,IF(AND(OR($B$4="Clinical Lecturer / Medical Research Fellow",$B$4="Clinical Consultant - Old Contract (GP)"),$B151&lt;&gt;""),$C151*Thresholds_Rates!$F$17,IF(AND(OR($B$4="APM Level 7",$B$4="R&amp;T Level 7"),F151&lt;&gt;""),$C151*Thresholds_Rates!$F$17,IF(SUMIF(Grades!$A:$A,$B$4,Grades!$BQ:$BQ)=1,$C151*Thresholds_Rates!$F$17,""))))))))</f>
        <v/>
      </c>
      <c r="H151" s="25"/>
      <c r="I151" s="25" t="str">
        <f ca="1">IF(B151="","",(C151*Thresholds_Rates!$C$12))</f>
        <v/>
      </c>
      <c r="J151" s="25"/>
      <c r="K151" s="4"/>
      <c r="L151" s="25" t="str">
        <f t="shared" ca="1" si="13"/>
        <v/>
      </c>
      <c r="M151" s="25" t="str">
        <f t="shared" ca="1" si="14"/>
        <v/>
      </c>
      <c r="N151" s="25" t="str">
        <f t="shared" ca="1" si="15"/>
        <v/>
      </c>
      <c r="O151" s="25" t="str">
        <f t="shared" ca="1" si="16"/>
        <v/>
      </c>
      <c r="P151" s="25" t="str">
        <f t="shared" ca="1" si="17"/>
        <v/>
      </c>
      <c r="R151" s="28"/>
      <c r="S151" s="29"/>
      <c r="T151" s="28"/>
      <c r="U151" s="29"/>
    </row>
    <row r="152" spans="2:21" x14ac:dyDescent="0.25">
      <c r="B152" s="4" t="str">
        <f ca="1">IFERROR(INDEX(Points_Lookup!$A:$A,MATCH($Z154,Points_Lookup!$AE:$AE,0)),"")</f>
        <v/>
      </c>
      <c r="C152" s="25" t="str">
        <f ca="1">IF(B152="","",IF($B$4="Apprenticeship",SUMIF(Points_Lookup!$AA:$AA,B152,Points_Lookup!$AC:$AC),IF(AND(OR($B$4="New Consultant Contract"),$B152&lt;&gt;""),INDEX(Points_Lookup!$K:$K,MATCH($B152,Points_Lookup!$J:$J,0)),IF(AND(OR($B$4="Clinical Lecturer / Medical Research Fellow",$B$4="Clinical Consultant - Old Contract (GP)"),$B152&lt;&gt;""),INDEX(Points_Lookup!$H:$H,MATCH($B152,Points_Lookup!$G:$G,0)),IF(AND(OR($B$4="APM Level 7",$B$4="R&amp;T Level 7",$B$4="APM Level 8"),B152&lt;&gt;""),INDEX(Points_Lookup!$E:$E,MATCH($Z152,Points_Lookup!$AE:$AE,0)),IF($B$4="R&amp;T Level 5 - Clinical Lecturers (Vet School)",SUMIF(Points_Lookup!$M:$M,$B152,Points_Lookup!$P:$P),IF($B$4="R&amp;T Level 6 - Clinical Associate Professors and Clinical Readers (Vet School)",SUMIF(Points_Lookup!$T:$T,$B152,Points_Lookup!$W:$W),IFERROR(INDEX(Points_Lookup!$B:$B,MATCH($Z152,Points_Lookup!$AE:$AE,0)),""))))))))</f>
        <v/>
      </c>
      <c r="D152" s="36"/>
      <c r="E152" s="25" t="str">
        <f ca="1">IF($B152="","",IF(AND($B$4="Salary Points 3 to 57",B152&lt;Thresholds_Rates!$C$16),"-",IF(SUMIF(Grades!$A:$A,$B$4,Grades!$BO:$BO)=0,"-",IF(AND($B$4="Salary Points 3 to 57",B152&gt;=Thresholds_Rates!$C$16),$C152*Thresholds_Rates!$F$15,IF(AND(OR($B$4="New Consultant Contract"),$B152&lt;&gt;""),$C152*Thresholds_Rates!$F$15,IF(AND(OR($B$4="Clinical Lecturer / Medical Research Fellow",$B$4="Clinical Consultant - Old Contract (GP)"),$B152&lt;&gt;""),$C152*Thresholds_Rates!$F$15,IF(OR($B$4="APM Level 7",$B$4="R&amp;T Level 7"),$C152*Thresholds_Rates!$F$15,IF(SUMIF(Grades!$A:$A,$B$4,Grades!$BO:$BO)=1,$C152*Thresholds_Rates!$F$15,""))))))))</f>
        <v/>
      </c>
      <c r="F152" s="25" t="str">
        <f ca="1">IF(B152="","",IF($B$4="Salary Points 1 to 57","-",IF(SUMIF(Grades!$A:$A,$B$4,Grades!$BP:$BP)=0,"-",IF(AND(OR($B$4="New Consultant Contract"),$B152&lt;&gt;""),$C152*Thresholds_Rates!$F$16,IF(AND(OR($B$4="Clinical Lecturer / Medical Research Fellow",$B$4="Clinical Consultant - Old Contract (GP)"),$B152&lt;&gt;""),$C152*Thresholds_Rates!$F$16,IF(AND(OR($B$4="APM Level 7",$B$4="R&amp;T Level 7"),E152&lt;&gt;""),$C152*Thresholds_Rates!$F$16,IF(SUMIF(Grades!$A:$A,$B$4,Grades!$BP:$BP)=1,$C152*Thresholds_Rates!$F$16,"")))))))</f>
        <v/>
      </c>
      <c r="G152" s="25" t="str">
        <f ca="1">IF(B152="","",IF(SUMIF(Grades!$A:$A,$B$4,Grades!$BQ:$BQ)=0,"-",IF(AND($B$4="Salary Points 1 to 57",B152&gt;Thresholds_Rates!$C$17),"-",IF(AND($B$4="Salary Points 1 to 57",B152&lt;=Thresholds_Rates!$C$17),$C152*Thresholds_Rates!$F$17,IF(AND(OR($B$4="New Consultant Contract"),$B152&lt;&gt;""),$C152*Thresholds_Rates!$F$17,IF(AND(OR($B$4="Clinical Lecturer / Medical Research Fellow",$B$4="Clinical Consultant - Old Contract (GP)"),$B152&lt;&gt;""),$C152*Thresholds_Rates!$F$17,IF(AND(OR($B$4="APM Level 7",$B$4="R&amp;T Level 7"),F152&lt;&gt;""),$C152*Thresholds_Rates!$F$17,IF(SUMIF(Grades!$A:$A,$B$4,Grades!$BQ:$BQ)=1,$C152*Thresholds_Rates!$F$17,""))))))))</f>
        <v/>
      </c>
      <c r="H152" s="25"/>
      <c r="I152" s="25" t="str">
        <f ca="1">IF(B152="","",(C152*Thresholds_Rates!$C$12))</f>
        <v/>
      </c>
      <c r="J152" s="25"/>
      <c r="K152" s="4"/>
      <c r="L152" s="25" t="str">
        <f t="shared" ca="1" si="13"/>
        <v/>
      </c>
      <c r="M152" s="25" t="str">
        <f t="shared" ca="1" si="14"/>
        <v/>
      </c>
      <c r="N152" s="25" t="str">
        <f t="shared" ca="1" si="15"/>
        <v/>
      </c>
      <c r="O152" s="25" t="str">
        <f t="shared" ca="1" si="16"/>
        <v/>
      </c>
      <c r="P152" s="25" t="str">
        <f t="shared" ca="1" si="17"/>
        <v/>
      </c>
      <c r="R152" s="28"/>
      <c r="S152" s="29"/>
      <c r="T152" s="28"/>
      <c r="U152" s="29"/>
    </row>
    <row r="153" spans="2:21" x14ac:dyDescent="0.25">
      <c r="B153" s="4" t="str">
        <f ca="1">IFERROR(INDEX(Points_Lookup!$A:$A,MATCH($Z155,Points_Lookup!$AE:$AE,0)),"")</f>
        <v/>
      </c>
      <c r="C153" s="25" t="str">
        <f ca="1">IF(B153="","",IF($B$4="Apprenticeship",SUMIF(Points_Lookup!$AA:$AA,B153,Points_Lookup!$AC:$AC),IF(AND(OR($B$4="New Consultant Contract"),$B153&lt;&gt;""),INDEX(Points_Lookup!$K:$K,MATCH($B153,Points_Lookup!$J:$J,0)),IF(AND(OR($B$4="Clinical Lecturer / Medical Research Fellow",$B$4="Clinical Consultant - Old Contract (GP)"),$B153&lt;&gt;""),INDEX(Points_Lookup!$H:$H,MATCH($B153,Points_Lookup!$G:$G,0)),IF(AND(OR($B$4="APM Level 7",$B$4="R&amp;T Level 7",$B$4="APM Level 8"),B153&lt;&gt;""),INDEX(Points_Lookup!$E:$E,MATCH($Z153,Points_Lookup!$AE:$AE,0)),IF($B$4="R&amp;T Level 5 - Clinical Lecturers (Vet School)",SUMIF(Points_Lookup!$M:$M,$B153,Points_Lookup!$P:$P),IF($B$4="R&amp;T Level 6 - Clinical Associate Professors and Clinical Readers (Vet School)",SUMIF(Points_Lookup!$T:$T,$B153,Points_Lookup!$W:$W),IFERROR(INDEX(Points_Lookup!$B:$B,MATCH($Z153,Points_Lookup!$AE:$AE,0)),""))))))))</f>
        <v/>
      </c>
      <c r="D153" s="36"/>
      <c r="E153" s="25" t="str">
        <f ca="1">IF($B153="","",IF(AND($B$4="Salary Points 3 to 57",B153&lt;Thresholds_Rates!$C$16),"-",IF(SUMIF(Grades!$A:$A,$B$4,Grades!$BO:$BO)=0,"-",IF(AND($B$4="Salary Points 3 to 57",B153&gt;=Thresholds_Rates!$C$16),$C153*Thresholds_Rates!$F$15,IF(AND(OR($B$4="New Consultant Contract"),$B153&lt;&gt;""),$C153*Thresholds_Rates!$F$15,IF(AND(OR($B$4="Clinical Lecturer / Medical Research Fellow",$B$4="Clinical Consultant - Old Contract (GP)"),$B153&lt;&gt;""),$C153*Thresholds_Rates!$F$15,IF(OR($B$4="APM Level 7",$B$4="R&amp;T Level 7"),$C153*Thresholds_Rates!$F$15,IF(SUMIF(Grades!$A:$A,$B$4,Grades!$BO:$BO)=1,$C153*Thresholds_Rates!$F$15,""))))))))</f>
        <v/>
      </c>
      <c r="F153" s="25" t="str">
        <f ca="1">IF(B153="","",IF($B$4="Salary Points 1 to 57","-",IF(SUMIF(Grades!$A:$A,$B$4,Grades!$BP:$BP)=0,"-",IF(AND(OR($B$4="New Consultant Contract"),$B153&lt;&gt;""),$C153*Thresholds_Rates!$F$16,IF(AND(OR($B$4="Clinical Lecturer / Medical Research Fellow",$B$4="Clinical Consultant - Old Contract (GP)"),$B153&lt;&gt;""),$C153*Thresholds_Rates!$F$16,IF(AND(OR($B$4="APM Level 7",$B$4="R&amp;T Level 7"),E153&lt;&gt;""),$C153*Thresholds_Rates!$F$16,IF(SUMIF(Grades!$A:$A,$B$4,Grades!$BP:$BP)=1,$C153*Thresholds_Rates!$F$16,"")))))))</f>
        <v/>
      </c>
      <c r="G153" s="25" t="str">
        <f ca="1">IF(B153="","",IF(SUMIF(Grades!$A:$A,$B$4,Grades!$BQ:$BQ)=0,"-",IF(AND($B$4="Salary Points 1 to 57",B153&gt;Thresholds_Rates!$C$17),"-",IF(AND($B$4="Salary Points 1 to 57",B153&lt;=Thresholds_Rates!$C$17),$C153*Thresholds_Rates!$F$17,IF(AND(OR($B$4="New Consultant Contract"),$B153&lt;&gt;""),$C153*Thresholds_Rates!$F$17,IF(AND(OR($B$4="Clinical Lecturer / Medical Research Fellow",$B$4="Clinical Consultant - Old Contract (GP)"),$B153&lt;&gt;""),$C153*Thresholds_Rates!$F$17,IF(AND(OR($B$4="APM Level 7",$B$4="R&amp;T Level 7"),F153&lt;&gt;""),$C153*Thresholds_Rates!$F$17,IF(SUMIF(Grades!$A:$A,$B$4,Grades!$BQ:$BQ)=1,$C153*Thresholds_Rates!$F$17,""))))))))</f>
        <v/>
      </c>
      <c r="H153" s="25"/>
      <c r="I153" s="25" t="str">
        <f ca="1">IF(B153="","",(C153*Thresholds_Rates!$C$12))</f>
        <v/>
      </c>
      <c r="J153" s="25"/>
      <c r="K153" s="4"/>
      <c r="L153" s="25" t="str">
        <f t="shared" ca="1" si="13"/>
        <v/>
      </c>
      <c r="M153" s="25" t="str">
        <f t="shared" ca="1" si="14"/>
        <v/>
      </c>
      <c r="N153" s="25" t="str">
        <f t="shared" ca="1" si="15"/>
        <v/>
      </c>
      <c r="O153" s="25" t="str">
        <f t="shared" ca="1" si="16"/>
        <v/>
      </c>
      <c r="P153" s="25" t="str">
        <f t="shared" ca="1" si="17"/>
        <v/>
      </c>
      <c r="R153" s="28"/>
      <c r="S153" s="29"/>
      <c r="T153" s="28"/>
      <c r="U153" s="29"/>
    </row>
    <row r="154" spans="2:21" x14ac:dyDescent="0.25">
      <c r="B154" s="4" t="str">
        <f ca="1">IFERROR(INDEX(Points_Lookup!$A:$A,MATCH($Z156,Points_Lookup!$AE:$AE,0)),"")</f>
        <v/>
      </c>
      <c r="C154" s="25" t="str">
        <f ca="1">IF(B154="","",IF($B$4="Apprenticeship",SUMIF(Points_Lookup!$AA:$AA,B154,Points_Lookup!$AC:$AC),IF(AND(OR($B$4="New Consultant Contract"),$B154&lt;&gt;""),INDEX(Points_Lookup!$K:$K,MATCH($B154,Points_Lookup!$J:$J,0)),IF(AND(OR($B$4="Clinical Lecturer / Medical Research Fellow",$B$4="Clinical Consultant - Old Contract (GP)"),$B154&lt;&gt;""),INDEX(Points_Lookup!$H:$H,MATCH($B154,Points_Lookup!$G:$G,0)),IF(AND(OR($B$4="APM Level 7",$B$4="R&amp;T Level 7",$B$4="APM Level 8"),B154&lt;&gt;""),INDEX(Points_Lookup!$E:$E,MATCH($Z154,Points_Lookup!$AE:$AE,0)),IF($B$4="R&amp;T Level 5 - Clinical Lecturers (Vet School)",SUMIF(Points_Lookup!$M:$M,$B154,Points_Lookup!$P:$P),IF($B$4="R&amp;T Level 6 - Clinical Associate Professors and Clinical Readers (Vet School)",SUMIF(Points_Lookup!$T:$T,$B154,Points_Lookup!$W:$W),IFERROR(INDEX(Points_Lookup!$B:$B,MATCH($Z154,Points_Lookup!$AE:$AE,0)),""))))))))</f>
        <v/>
      </c>
      <c r="D154" s="36"/>
      <c r="E154" s="25" t="str">
        <f ca="1">IF($B154="","",IF(AND($B$4="Salary Points 3 to 57",B154&lt;Thresholds_Rates!$C$16),"-",IF(SUMIF(Grades!$A:$A,$B$4,Grades!$BO:$BO)=0,"-",IF(AND($B$4="Salary Points 3 to 57",B154&gt;=Thresholds_Rates!$C$16),$C154*Thresholds_Rates!$F$15,IF(AND(OR($B$4="New Consultant Contract"),$B154&lt;&gt;""),$C154*Thresholds_Rates!$F$15,IF(AND(OR($B$4="Clinical Lecturer / Medical Research Fellow",$B$4="Clinical Consultant - Old Contract (GP)"),$B154&lt;&gt;""),$C154*Thresholds_Rates!$F$15,IF(OR($B$4="APM Level 7",$B$4="R&amp;T Level 7"),$C154*Thresholds_Rates!$F$15,IF(SUMIF(Grades!$A:$A,$B$4,Grades!$BO:$BO)=1,$C154*Thresholds_Rates!$F$15,""))))))))</f>
        <v/>
      </c>
      <c r="F154" s="25" t="str">
        <f ca="1">IF(B154="","",IF($B$4="Salary Points 1 to 57","-",IF(SUMIF(Grades!$A:$A,$B$4,Grades!$BP:$BP)=0,"-",IF(AND(OR($B$4="New Consultant Contract"),$B154&lt;&gt;""),$C154*Thresholds_Rates!$F$16,IF(AND(OR($B$4="Clinical Lecturer / Medical Research Fellow",$B$4="Clinical Consultant - Old Contract (GP)"),$B154&lt;&gt;""),$C154*Thresholds_Rates!$F$16,IF(AND(OR($B$4="APM Level 7",$B$4="R&amp;T Level 7"),E154&lt;&gt;""),$C154*Thresholds_Rates!$F$16,IF(SUMIF(Grades!$A:$A,$B$4,Grades!$BP:$BP)=1,$C154*Thresholds_Rates!$F$16,"")))))))</f>
        <v/>
      </c>
      <c r="G154" s="25" t="str">
        <f ca="1">IF(B154="","",IF(SUMIF(Grades!$A:$A,$B$4,Grades!$BQ:$BQ)=0,"-",IF(AND($B$4="Salary Points 1 to 57",B154&gt;Thresholds_Rates!$C$17),"-",IF(AND($B$4="Salary Points 1 to 57",B154&lt;=Thresholds_Rates!$C$17),$C154*Thresholds_Rates!$F$17,IF(AND(OR($B$4="New Consultant Contract"),$B154&lt;&gt;""),$C154*Thresholds_Rates!$F$17,IF(AND(OR($B$4="Clinical Lecturer / Medical Research Fellow",$B$4="Clinical Consultant - Old Contract (GP)"),$B154&lt;&gt;""),$C154*Thresholds_Rates!$F$17,IF(AND(OR($B$4="APM Level 7",$B$4="R&amp;T Level 7"),F154&lt;&gt;""),$C154*Thresholds_Rates!$F$17,IF(SUMIF(Grades!$A:$A,$B$4,Grades!$BQ:$BQ)=1,$C154*Thresholds_Rates!$F$17,""))))))))</f>
        <v/>
      </c>
      <c r="H154" s="25"/>
      <c r="I154" s="25" t="str">
        <f ca="1">IF(B154="","",(C154*Thresholds_Rates!$C$12))</f>
        <v/>
      </c>
      <c r="J154" s="25"/>
      <c r="K154" s="4"/>
      <c r="L154" s="25" t="str">
        <f t="shared" ca="1" si="13"/>
        <v/>
      </c>
      <c r="M154" s="25" t="str">
        <f t="shared" ca="1" si="14"/>
        <v/>
      </c>
      <c r="N154" s="25" t="str">
        <f t="shared" ca="1" si="15"/>
        <v/>
      </c>
      <c r="O154" s="25" t="str">
        <f t="shared" ca="1" si="16"/>
        <v/>
      </c>
      <c r="P154" s="25" t="str">
        <f t="shared" ca="1" si="17"/>
        <v/>
      </c>
      <c r="R154" s="28"/>
      <c r="S154" s="29"/>
      <c r="T154" s="28"/>
      <c r="U154" s="29"/>
    </row>
    <row r="155" spans="2:21" x14ac:dyDescent="0.25">
      <c r="B155" s="4" t="str">
        <f ca="1">IFERROR(INDEX(Points_Lookup!$A:$A,MATCH($Z157,Points_Lookup!$AE:$AE,0)),"")</f>
        <v/>
      </c>
      <c r="C155" s="25" t="str">
        <f ca="1">IF(B155="","",IF($B$4="Apprenticeship",SUMIF(Points_Lookup!$AA:$AA,B155,Points_Lookup!$AC:$AC),IF(AND(OR($B$4="New Consultant Contract"),$B155&lt;&gt;""),INDEX(Points_Lookup!$K:$K,MATCH($B155,Points_Lookup!$J:$J,0)),IF(AND(OR($B$4="Clinical Lecturer / Medical Research Fellow",$B$4="Clinical Consultant - Old Contract (GP)"),$B155&lt;&gt;""),INDEX(Points_Lookup!$H:$H,MATCH($B155,Points_Lookup!$G:$G,0)),IF(AND(OR($B$4="APM Level 7",$B$4="R&amp;T Level 7",$B$4="APM Level 8"),B155&lt;&gt;""),INDEX(Points_Lookup!$E:$E,MATCH($Z155,Points_Lookup!$AE:$AE,0)),IF($B$4="R&amp;T Level 5 - Clinical Lecturers (Vet School)",SUMIF(Points_Lookup!$M:$M,$B155,Points_Lookup!$P:$P),IF($B$4="R&amp;T Level 6 - Clinical Associate Professors and Clinical Readers (Vet School)",SUMIF(Points_Lookup!$T:$T,$B155,Points_Lookup!$W:$W),IFERROR(INDEX(Points_Lookup!$B:$B,MATCH($Z155,Points_Lookup!$AE:$AE,0)),""))))))))</f>
        <v/>
      </c>
      <c r="D155" s="36"/>
      <c r="E155" s="25" t="str">
        <f ca="1">IF($B155="","",IF(AND($B$4="Salary Points 3 to 57",B155&lt;Thresholds_Rates!$C$16),"-",IF(SUMIF(Grades!$A:$A,$B$4,Grades!$BO:$BO)=0,"-",IF(AND($B$4="Salary Points 3 to 57",B155&gt;=Thresholds_Rates!$C$16),$C155*Thresholds_Rates!$F$15,IF(AND(OR($B$4="New Consultant Contract"),$B155&lt;&gt;""),$C155*Thresholds_Rates!$F$15,IF(AND(OR($B$4="Clinical Lecturer / Medical Research Fellow",$B$4="Clinical Consultant - Old Contract (GP)"),$B155&lt;&gt;""),$C155*Thresholds_Rates!$F$15,IF(OR($B$4="APM Level 7",$B$4="R&amp;T Level 7"),$C155*Thresholds_Rates!$F$15,IF(SUMIF(Grades!$A:$A,$B$4,Grades!$BO:$BO)=1,$C155*Thresholds_Rates!$F$15,""))))))))</f>
        <v/>
      </c>
      <c r="F155" s="25" t="str">
        <f ca="1">IF(B155="","",IF($B$4="Salary Points 1 to 57","-",IF(SUMIF(Grades!$A:$A,$B$4,Grades!$BP:$BP)=0,"-",IF(AND(OR($B$4="New Consultant Contract"),$B155&lt;&gt;""),$C155*Thresholds_Rates!$F$16,IF(AND(OR($B$4="Clinical Lecturer / Medical Research Fellow",$B$4="Clinical Consultant - Old Contract (GP)"),$B155&lt;&gt;""),$C155*Thresholds_Rates!$F$16,IF(AND(OR($B$4="APM Level 7",$B$4="R&amp;T Level 7"),E155&lt;&gt;""),$C155*Thresholds_Rates!$F$16,IF(SUMIF(Grades!$A:$A,$B$4,Grades!$BP:$BP)=1,$C155*Thresholds_Rates!$F$16,"")))))))</f>
        <v/>
      </c>
      <c r="G155" s="25" t="str">
        <f ca="1">IF(B155="","",IF(SUMIF(Grades!$A:$A,$B$4,Grades!$BQ:$BQ)=0,"-",IF(AND($B$4="Salary Points 1 to 57",B155&gt;Thresholds_Rates!$C$17),"-",IF(AND($B$4="Salary Points 1 to 57",B155&lt;=Thresholds_Rates!$C$17),$C155*Thresholds_Rates!$F$17,IF(AND(OR($B$4="New Consultant Contract"),$B155&lt;&gt;""),$C155*Thresholds_Rates!$F$17,IF(AND(OR($B$4="Clinical Lecturer / Medical Research Fellow",$B$4="Clinical Consultant - Old Contract (GP)"),$B155&lt;&gt;""),$C155*Thresholds_Rates!$F$17,IF(AND(OR($B$4="APM Level 7",$B$4="R&amp;T Level 7"),F155&lt;&gt;""),$C155*Thresholds_Rates!$F$17,IF(SUMIF(Grades!$A:$A,$B$4,Grades!$BQ:$BQ)=1,$C155*Thresholds_Rates!$F$17,""))))))))</f>
        <v/>
      </c>
      <c r="H155" s="25"/>
      <c r="I155" s="25" t="str">
        <f ca="1">IF(B155="","",(C155*Thresholds_Rates!$C$12))</f>
        <v/>
      </c>
      <c r="J155" s="25"/>
      <c r="K155" s="4"/>
      <c r="L155" s="25" t="str">
        <f t="shared" ca="1" si="13"/>
        <v/>
      </c>
      <c r="M155" s="25" t="str">
        <f t="shared" ca="1" si="14"/>
        <v/>
      </c>
      <c r="N155" s="25" t="str">
        <f t="shared" ca="1" si="15"/>
        <v/>
      </c>
      <c r="O155" s="25" t="str">
        <f t="shared" ca="1" si="16"/>
        <v/>
      </c>
      <c r="P155" s="25" t="str">
        <f t="shared" ca="1" si="17"/>
        <v/>
      </c>
      <c r="R155" s="28"/>
      <c r="S155" s="29"/>
      <c r="T155" s="28"/>
      <c r="U155" s="29"/>
    </row>
    <row r="156" spans="2:21" x14ac:dyDescent="0.25">
      <c r="B156" s="4" t="str">
        <f ca="1">IFERROR(INDEX(Points_Lookup!$A:$A,MATCH($Z158,Points_Lookup!$AE:$AE,0)),"")</f>
        <v/>
      </c>
      <c r="C156" s="25" t="str">
        <f ca="1">IF(B156="","",IF($B$4="Apprenticeship",SUMIF(Points_Lookup!$AA:$AA,B156,Points_Lookup!$AC:$AC),IF(AND(OR($B$4="New Consultant Contract"),$B156&lt;&gt;""),INDEX(Points_Lookup!$K:$K,MATCH($B156,Points_Lookup!$J:$J,0)),IF(AND(OR($B$4="Clinical Lecturer / Medical Research Fellow",$B$4="Clinical Consultant - Old Contract (GP)"),$B156&lt;&gt;""),INDEX(Points_Lookup!$H:$H,MATCH($B156,Points_Lookup!$G:$G,0)),IF(AND(OR($B$4="APM Level 7",$B$4="R&amp;T Level 7",$B$4="APM Level 8"),B156&lt;&gt;""),INDEX(Points_Lookup!$E:$E,MATCH($Z156,Points_Lookup!$AE:$AE,0)),IF($B$4="R&amp;T Level 5 - Clinical Lecturers (Vet School)",SUMIF(Points_Lookup!$M:$M,$B156,Points_Lookup!$P:$P),IF($B$4="R&amp;T Level 6 - Clinical Associate Professors and Clinical Readers (Vet School)",SUMIF(Points_Lookup!$T:$T,$B156,Points_Lookup!$W:$W),IFERROR(INDEX(Points_Lookup!$B:$B,MATCH($Z156,Points_Lookup!$AE:$AE,0)),""))))))))</f>
        <v/>
      </c>
      <c r="D156" s="36"/>
      <c r="E156" s="25" t="str">
        <f ca="1">IF($B156="","",IF(AND($B$4="Salary Points 3 to 57",B156&lt;Thresholds_Rates!$C$16),"-",IF(SUMIF(Grades!$A:$A,$B$4,Grades!$BO:$BO)=0,"-",IF(AND($B$4="Salary Points 3 to 57",B156&gt;=Thresholds_Rates!$C$16),$C156*Thresholds_Rates!$F$15,IF(AND(OR($B$4="New Consultant Contract"),$B156&lt;&gt;""),$C156*Thresholds_Rates!$F$15,IF(AND(OR($B$4="Clinical Lecturer / Medical Research Fellow",$B$4="Clinical Consultant - Old Contract (GP)"),$B156&lt;&gt;""),$C156*Thresholds_Rates!$F$15,IF(OR($B$4="APM Level 7",$B$4="R&amp;T Level 7"),$C156*Thresholds_Rates!$F$15,IF(SUMIF(Grades!$A:$A,$B$4,Grades!$BO:$BO)=1,$C156*Thresholds_Rates!$F$15,""))))))))</f>
        <v/>
      </c>
      <c r="F156" s="25" t="str">
        <f ca="1">IF(B156="","",IF($B$4="Salary Points 1 to 57","-",IF(SUMIF(Grades!$A:$A,$B$4,Grades!$BP:$BP)=0,"-",IF(AND(OR($B$4="New Consultant Contract"),$B156&lt;&gt;""),$C156*Thresholds_Rates!$F$16,IF(AND(OR($B$4="Clinical Lecturer / Medical Research Fellow",$B$4="Clinical Consultant - Old Contract (GP)"),$B156&lt;&gt;""),$C156*Thresholds_Rates!$F$16,IF(AND(OR($B$4="APM Level 7",$B$4="R&amp;T Level 7"),E156&lt;&gt;""),$C156*Thresholds_Rates!$F$16,IF(SUMIF(Grades!$A:$A,$B$4,Grades!$BP:$BP)=1,$C156*Thresholds_Rates!$F$16,"")))))))</f>
        <v/>
      </c>
      <c r="G156" s="25" t="str">
        <f ca="1">IF(B156="","",IF(SUMIF(Grades!$A:$A,$B$4,Grades!$BQ:$BQ)=0,"-",IF(AND($B$4="Salary Points 1 to 57",B156&gt;Thresholds_Rates!$C$17),"-",IF(AND($B$4="Salary Points 1 to 57",B156&lt;=Thresholds_Rates!$C$17),$C156*Thresholds_Rates!$F$17,IF(AND(OR($B$4="New Consultant Contract"),$B156&lt;&gt;""),$C156*Thresholds_Rates!$F$17,IF(AND(OR($B$4="Clinical Lecturer / Medical Research Fellow",$B$4="Clinical Consultant - Old Contract (GP)"),$B156&lt;&gt;""),$C156*Thresholds_Rates!$F$17,IF(AND(OR($B$4="APM Level 7",$B$4="R&amp;T Level 7"),F156&lt;&gt;""),$C156*Thresholds_Rates!$F$17,IF(SUMIF(Grades!$A:$A,$B$4,Grades!$BQ:$BQ)=1,$C156*Thresholds_Rates!$F$17,""))))))))</f>
        <v/>
      </c>
      <c r="H156" s="25"/>
      <c r="I156" s="25" t="str">
        <f ca="1">IF(B156="","",(C156*Thresholds_Rates!$C$12))</f>
        <v/>
      </c>
      <c r="J156" s="25"/>
      <c r="K156" s="4"/>
      <c r="L156" s="25" t="str">
        <f t="shared" ca="1" si="13"/>
        <v/>
      </c>
      <c r="M156" s="25" t="str">
        <f t="shared" ca="1" si="14"/>
        <v/>
      </c>
      <c r="N156" s="25" t="str">
        <f t="shared" ca="1" si="15"/>
        <v/>
      </c>
      <c r="O156" s="25" t="str">
        <f t="shared" ca="1" si="16"/>
        <v/>
      </c>
      <c r="P156" s="25" t="str">
        <f t="shared" ca="1" si="17"/>
        <v/>
      </c>
      <c r="R156" s="28"/>
      <c r="S156" s="29"/>
      <c r="T156" s="28"/>
      <c r="U156" s="29"/>
    </row>
    <row r="157" spans="2:21" x14ac:dyDescent="0.25">
      <c r="B157" s="4" t="str">
        <f ca="1">IFERROR(INDEX(Points_Lookup!$A:$A,MATCH($Z159,Points_Lookup!$AE:$AE,0)),"")</f>
        <v/>
      </c>
      <c r="C157" s="25" t="str">
        <f ca="1">IF(B157="","",IF($B$4="Apprenticeship",SUMIF(Points_Lookup!$AA:$AA,B157,Points_Lookup!$AC:$AC),IF(AND(OR($B$4="New Consultant Contract"),$B157&lt;&gt;""),INDEX(Points_Lookup!$K:$K,MATCH($B157,Points_Lookup!$J:$J,0)),IF(AND(OR($B$4="Clinical Lecturer / Medical Research Fellow",$B$4="Clinical Consultant - Old Contract (GP)"),$B157&lt;&gt;""),INDEX(Points_Lookup!$H:$H,MATCH($B157,Points_Lookup!$G:$G,0)),IF(AND(OR($B$4="APM Level 7",$B$4="R&amp;T Level 7",$B$4="APM Level 8"),B157&lt;&gt;""),INDEX(Points_Lookup!$E:$E,MATCH($Z157,Points_Lookup!$AE:$AE,0)),IF($B$4="R&amp;T Level 5 - Clinical Lecturers (Vet School)",SUMIF(Points_Lookup!$M:$M,$B157,Points_Lookup!$P:$P),IF($B$4="R&amp;T Level 6 - Clinical Associate Professors and Clinical Readers (Vet School)",SUMIF(Points_Lookup!$T:$T,$B157,Points_Lookup!$W:$W),IFERROR(INDEX(Points_Lookup!$B:$B,MATCH($Z157,Points_Lookup!$AE:$AE,0)),""))))))))</f>
        <v/>
      </c>
      <c r="D157" s="36"/>
      <c r="E157" s="25" t="str">
        <f ca="1">IF($B157="","",IF(AND($B$4="Salary Points 3 to 57",B157&lt;Thresholds_Rates!$C$16),"-",IF(SUMIF(Grades!$A:$A,$B$4,Grades!$BO:$BO)=0,"-",IF(AND($B$4="Salary Points 3 to 57",B157&gt;=Thresholds_Rates!$C$16),$C157*Thresholds_Rates!$F$15,IF(AND(OR($B$4="New Consultant Contract"),$B157&lt;&gt;""),$C157*Thresholds_Rates!$F$15,IF(AND(OR($B$4="Clinical Lecturer / Medical Research Fellow",$B$4="Clinical Consultant - Old Contract (GP)"),$B157&lt;&gt;""),$C157*Thresholds_Rates!$F$15,IF(OR($B$4="APM Level 7",$B$4="R&amp;T Level 7"),$C157*Thresholds_Rates!$F$15,IF(SUMIF(Grades!$A:$A,$B$4,Grades!$BO:$BO)=1,$C157*Thresholds_Rates!$F$15,""))))))))</f>
        <v/>
      </c>
      <c r="F157" s="25" t="str">
        <f ca="1">IF(B157="","",IF($B$4="Salary Points 1 to 57","-",IF(SUMIF(Grades!$A:$A,$B$4,Grades!$BP:$BP)=0,"-",IF(AND(OR($B$4="New Consultant Contract"),$B157&lt;&gt;""),$C157*Thresholds_Rates!$F$16,IF(AND(OR($B$4="Clinical Lecturer / Medical Research Fellow",$B$4="Clinical Consultant - Old Contract (GP)"),$B157&lt;&gt;""),$C157*Thresholds_Rates!$F$16,IF(AND(OR($B$4="APM Level 7",$B$4="R&amp;T Level 7"),E157&lt;&gt;""),$C157*Thresholds_Rates!$F$16,IF(SUMIF(Grades!$A:$A,$B$4,Grades!$BP:$BP)=1,$C157*Thresholds_Rates!$F$16,"")))))))</f>
        <v/>
      </c>
      <c r="G157" s="25" t="str">
        <f ca="1">IF(B157="","",IF(SUMIF(Grades!$A:$A,$B$4,Grades!$BQ:$BQ)=0,"-",IF(AND($B$4="Salary Points 1 to 57",B157&gt;Thresholds_Rates!$C$17),"-",IF(AND($B$4="Salary Points 1 to 57",B157&lt;=Thresholds_Rates!$C$17),$C157*Thresholds_Rates!$F$17,IF(AND(OR($B$4="New Consultant Contract"),$B157&lt;&gt;""),$C157*Thresholds_Rates!$F$17,IF(AND(OR($B$4="Clinical Lecturer / Medical Research Fellow",$B$4="Clinical Consultant - Old Contract (GP)"),$B157&lt;&gt;""),$C157*Thresholds_Rates!$F$17,IF(AND(OR($B$4="APM Level 7",$B$4="R&amp;T Level 7"),F157&lt;&gt;""),$C157*Thresholds_Rates!$F$17,IF(SUMIF(Grades!$A:$A,$B$4,Grades!$BQ:$BQ)=1,$C157*Thresholds_Rates!$F$17,""))))))))</f>
        <v/>
      </c>
      <c r="H157" s="25"/>
      <c r="I157" s="25" t="str">
        <f ca="1">IF(B157="","",(C157*Thresholds_Rates!$C$12))</f>
        <v/>
      </c>
      <c r="J157" s="25"/>
      <c r="K157" s="4"/>
      <c r="L157" s="25" t="str">
        <f t="shared" ca="1" si="13"/>
        <v/>
      </c>
      <c r="M157" s="25" t="str">
        <f t="shared" ca="1" si="14"/>
        <v/>
      </c>
      <c r="N157" s="25" t="str">
        <f t="shared" ca="1" si="15"/>
        <v/>
      </c>
      <c r="O157" s="25" t="str">
        <f t="shared" ca="1" si="16"/>
        <v/>
      </c>
      <c r="P157" s="25" t="str">
        <f t="shared" ca="1" si="17"/>
        <v/>
      </c>
      <c r="R157" s="28"/>
      <c r="S157" s="29"/>
      <c r="T157" s="28"/>
      <c r="U157" s="29"/>
    </row>
    <row r="158" spans="2:21" x14ac:dyDescent="0.25">
      <c r="B158" s="4" t="str">
        <f ca="1">IFERROR(INDEX(Points_Lookup!$A:$A,MATCH($Z160,Points_Lookup!$AE:$AE,0)),"")</f>
        <v/>
      </c>
      <c r="C158" s="25" t="str">
        <f ca="1">IF(B158="","",IF($B$4="Apprenticeship",SUMIF(Points_Lookup!$AA:$AA,B158,Points_Lookup!$AC:$AC),IF(AND(OR($B$4="New Consultant Contract"),$B158&lt;&gt;""),INDEX(Points_Lookup!$K:$K,MATCH($B158,Points_Lookup!$J:$J,0)),IF(AND(OR($B$4="Clinical Lecturer / Medical Research Fellow",$B$4="Clinical Consultant - Old Contract (GP)"),$B158&lt;&gt;""),INDEX(Points_Lookup!$H:$H,MATCH($B158,Points_Lookup!$G:$G,0)),IF(AND(OR($B$4="APM Level 7",$B$4="R&amp;T Level 7",$B$4="APM Level 8"),B158&lt;&gt;""),INDEX(Points_Lookup!$E:$E,MATCH($Z158,Points_Lookup!$AE:$AE,0)),IF($B$4="R&amp;T Level 5 - Clinical Lecturers (Vet School)",SUMIF(Points_Lookup!$M:$M,$B158,Points_Lookup!$P:$P),IF($B$4="R&amp;T Level 6 - Clinical Associate Professors and Clinical Readers (Vet School)",SUMIF(Points_Lookup!$T:$T,$B158,Points_Lookup!$W:$W),IFERROR(INDEX(Points_Lookup!$B:$B,MATCH($Z158,Points_Lookup!$AE:$AE,0)),""))))))))</f>
        <v/>
      </c>
      <c r="D158" s="36"/>
      <c r="E158" s="25" t="str">
        <f ca="1">IF($B158="","",IF(AND($B$4="Salary Points 3 to 57",B158&lt;Thresholds_Rates!$C$16),"-",IF(SUMIF(Grades!$A:$A,$B$4,Grades!$BO:$BO)=0,"-",IF(AND($B$4="Salary Points 3 to 57",B158&gt;=Thresholds_Rates!$C$16),$C158*Thresholds_Rates!$F$15,IF(AND(OR($B$4="New Consultant Contract"),$B158&lt;&gt;""),$C158*Thresholds_Rates!$F$15,IF(AND(OR($B$4="Clinical Lecturer / Medical Research Fellow",$B$4="Clinical Consultant - Old Contract (GP)"),$B158&lt;&gt;""),$C158*Thresholds_Rates!$F$15,IF(OR($B$4="APM Level 7",$B$4="R&amp;T Level 7"),$C158*Thresholds_Rates!$F$15,IF(SUMIF(Grades!$A:$A,$B$4,Grades!$BO:$BO)=1,$C158*Thresholds_Rates!$F$15,""))))))))</f>
        <v/>
      </c>
      <c r="F158" s="25" t="str">
        <f ca="1">IF(B158="","",IF($B$4="Salary Points 1 to 57","-",IF(SUMIF(Grades!$A:$A,$B$4,Grades!$BP:$BP)=0,"-",IF(AND(OR($B$4="New Consultant Contract"),$B158&lt;&gt;""),$C158*Thresholds_Rates!$F$16,IF(AND(OR($B$4="Clinical Lecturer / Medical Research Fellow",$B$4="Clinical Consultant - Old Contract (GP)"),$B158&lt;&gt;""),$C158*Thresholds_Rates!$F$16,IF(AND(OR($B$4="APM Level 7",$B$4="R&amp;T Level 7"),E158&lt;&gt;""),$C158*Thresholds_Rates!$F$16,IF(SUMIF(Grades!$A:$A,$B$4,Grades!$BP:$BP)=1,$C158*Thresholds_Rates!$F$16,"")))))))</f>
        <v/>
      </c>
      <c r="G158" s="25" t="str">
        <f ca="1">IF(B158="","",IF(SUMIF(Grades!$A:$A,$B$4,Grades!$BQ:$BQ)=0,"-",IF(AND($B$4="Salary Points 1 to 57",B158&gt;Thresholds_Rates!$C$17),"-",IF(AND($B$4="Salary Points 1 to 57",B158&lt;=Thresholds_Rates!$C$17),$C158*Thresholds_Rates!$F$17,IF(AND(OR($B$4="New Consultant Contract"),$B158&lt;&gt;""),$C158*Thresholds_Rates!$F$17,IF(AND(OR($B$4="Clinical Lecturer / Medical Research Fellow",$B$4="Clinical Consultant - Old Contract (GP)"),$B158&lt;&gt;""),$C158*Thresholds_Rates!$F$17,IF(AND(OR($B$4="APM Level 7",$B$4="R&amp;T Level 7"),F158&lt;&gt;""),$C158*Thresholds_Rates!$F$17,IF(SUMIF(Grades!$A:$A,$B$4,Grades!$BQ:$BQ)=1,$C158*Thresholds_Rates!$F$17,""))))))))</f>
        <v/>
      </c>
      <c r="H158" s="25"/>
      <c r="I158" s="25" t="str">
        <f ca="1">IF(B158="","",(C158*Thresholds_Rates!$C$12))</f>
        <v/>
      </c>
      <c r="J158" s="25"/>
      <c r="K158" s="4"/>
      <c r="L158" s="25" t="str">
        <f t="shared" ca="1" si="13"/>
        <v/>
      </c>
      <c r="M158" s="25" t="str">
        <f t="shared" ca="1" si="14"/>
        <v/>
      </c>
      <c r="N158" s="25" t="str">
        <f t="shared" ca="1" si="15"/>
        <v/>
      </c>
      <c r="O158" s="25" t="str">
        <f t="shared" ca="1" si="16"/>
        <v/>
      </c>
      <c r="P158" s="25" t="str">
        <f t="shared" ca="1" si="17"/>
        <v/>
      </c>
      <c r="R158" s="28"/>
      <c r="S158" s="29"/>
      <c r="T158" s="28"/>
      <c r="U158" s="29"/>
    </row>
    <row r="159" spans="2:21" x14ac:dyDescent="0.25">
      <c r="B159" s="4" t="str">
        <f ca="1">IFERROR(INDEX(Points_Lookup!$A:$A,MATCH($Z161,Points_Lookup!$AE:$AE,0)),"")</f>
        <v/>
      </c>
      <c r="C159" s="25" t="str">
        <f ca="1">IF(B159="","",IF($B$4="Apprenticeship",SUMIF(Points_Lookup!$AA:$AA,B159,Points_Lookup!$AC:$AC),IF(AND(OR($B$4="New Consultant Contract"),$B159&lt;&gt;""),INDEX(Points_Lookup!$K:$K,MATCH($B159,Points_Lookup!$J:$J,0)),IF(AND(OR($B$4="Clinical Lecturer / Medical Research Fellow",$B$4="Clinical Consultant - Old Contract (GP)"),$B159&lt;&gt;""),INDEX(Points_Lookup!$H:$H,MATCH($B159,Points_Lookup!$G:$G,0)),IF(AND(OR($B$4="APM Level 7",$B$4="R&amp;T Level 7",$B$4="APM Level 8"),B159&lt;&gt;""),INDEX(Points_Lookup!$E:$E,MATCH($Z159,Points_Lookup!$AE:$AE,0)),IF($B$4="R&amp;T Level 5 - Clinical Lecturers (Vet School)",SUMIF(Points_Lookup!$M:$M,$B159,Points_Lookup!$P:$P),IF($B$4="R&amp;T Level 6 - Clinical Associate Professors and Clinical Readers (Vet School)",SUMIF(Points_Lookup!$T:$T,$B159,Points_Lookup!$W:$W),IFERROR(INDEX(Points_Lookup!$B:$B,MATCH($Z159,Points_Lookup!$AE:$AE,0)),""))))))))</f>
        <v/>
      </c>
      <c r="D159" s="36"/>
      <c r="E159" s="25" t="str">
        <f ca="1">IF($B159="","",IF(AND($B$4="Salary Points 3 to 57",B159&lt;Thresholds_Rates!$C$16),"-",IF(SUMIF(Grades!$A:$A,$B$4,Grades!$BO:$BO)=0,"-",IF(AND($B$4="Salary Points 3 to 57",B159&gt;=Thresholds_Rates!$C$16),$C159*Thresholds_Rates!$F$15,IF(AND(OR($B$4="New Consultant Contract"),$B159&lt;&gt;""),$C159*Thresholds_Rates!$F$15,IF(AND(OR($B$4="Clinical Lecturer / Medical Research Fellow",$B$4="Clinical Consultant - Old Contract (GP)"),$B159&lt;&gt;""),$C159*Thresholds_Rates!$F$15,IF(OR($B$4="APM Level 7",$B$4="R&amp;T Level 7"),$C159*Thresholds_Rates!$F$15,IF(SUMIF(Grades!$A:$A,$B$4,Grades!$BO:$BO)=1,$C159*Thresholds_Rates!$F$15,""))))))))</f>
        <v/>
      </c>
      <c r="F159" s="25" t="str">
        <f ca="1">IF(B159="","",IF($B$4="Salary Points 1 to 57","-",IF(SUMIF(Grades!$A:$A,$B$4,Grades!$BP:$BP)=0,"-",IF(AND(OR($B$4="New Consultant Contract"),$B159&lt;&gt;""),$C159*Thresholds_Rates!$F$16,IF(AND(OR($B$4="Clinical Lecturer / Medical Research Fellow",$B$4="Clinical Consultant - Old Contract (GP)"),$B159&lt;&gt;""),$C159*Thresholds_Rates!$F$16,IF(AND(OR($B$4="APM Level 7",$B$4="R&amp;T Level 7"),E159&lt;&gt;""),$C159*Thresholds_Rates!$F$16,IF(SUMIF(Grades!$A:$A,$B$4,Grades!$BP:$BP)=1,$C159*Thresholds_Rates!$F$16,"")))))))</f>
        <v/>
      </c>
      <c r="G159" s="25" t="str">
        <f ca="1">IF(B159="","",IF(SUMIF(Grades!$A:$A,$B$4,Grades!$BQ:$BQ)=0,"-",IF(AND($B$4="Salary Points 1 to 57",B159&gt;Thresholds_Rates!$C$17),"-",IF(AND($B$4="Salary Points 1 to 57",B159&lt;=Thresholds_Rates!$C$17),$C159*Thresholds_Rates!$F$17,IF(AND(OR($B$4="New Consultant Contract"),$B159&lt;&gt;""),$C159*Thresholds_Rates!$F$17,IF(AND(OR($B$4="Clinical Lecturer / Medical Research Fellow",$B$4="Clinical Consultant - Old Contract (GP)"),$B159&lt;&gt;""),$C159*Thresholds_Rates!$F$17,IF(AND(OR($B$4="APM Level 7",$B$4="R&amp;T Level 7"),F159&lt;&gt;""),$C159*Thresholds_Rates!$F$17,IF(SUMIF(Grades!$A:$A,$B$4,Grades!$BQ:$BQ)=1,$C159*Thresholds_Rates!$F$17,""))))))))</f>
        <v/>
      </c>
      <c r="H159" s="25"/>
      <c r="I159" s="25" t="str">
        <f ca="1">IF(B159="","",(C159*Thresholds_Rates!$C$12))</f>
        <v/>
      </c>
      <c r="J159" s="25"/>
      <c r="K159" s="4"/>
      <c r="L159" s="25" t="str">
        <f t="shared" ca="1" si="13"/>
        <v/>
      </c>
      <c r="M159" s="25" t="str">
        <f t="shared" ca="1" si="14"/>
        <v/>
      </c>
      <c r="N159" s="25" t="str">
        <f t="shared" ca="1" si="15"/>
        <v/>
      </c>
      <c r="O159" s="25" t="str">
        <f t="shared" ca="1" si="16"/>
        <v/>
      </c>
      <c r="P159" s="25" t="str">
        <f t="shared" ca="1" si="17"/>
        <v/>
      </c>
      <c r="R159" s="28"/>
      <c r="S159" s="29"/>
      <c r="T159" s="28"/>
      <c r="U159" s="29"/>
    </row>
    <row r="160" spans="2:21" x14ac:dyDescent="0.25">
      <c r="B160" s="4" t="str">
        <f ca="1">IFERROR(INDEX(Points_Lookup!$A:$A,MATCH($Z162,Points_Lookup!$AE:$AE,0)),"")</f>
        <v/>
      </c>
      <c r="C160" s="25" t="str">
        <f ca="1">IF(B160="","",IF($B$4="Apprenticeship",SUMIF(Points_Lookup!$AA:$AA,B160,Points_Lookup!$AC:$AC),IF(AND(OR($B$4="New Consultant Contract"),$B160&lt;&gt;""),INDEX(Points_Lookup!$K:$K,MATCH($B160,Points_Lookup!$J:$J,0)),IF(AND(OR($B$4="Clinical Lecturer / Medical Research Fellow",$B$4="Clinical Consultant - Old Contract (GP)"),$B160&lt;&gt;""),INDEX(Points_Lookup!$H:$H,MATCH($B160,Points_Lookup!$G:$G,0)),IF(AND(OR($B$4="APM Level 7",$B$4="R&amp;T Level 7",$B$4="APM Level 8"),B160&lt;&gt;""),INDEX(Points_Lookup!$E:$E,MATCH($Z160,Points_Lookup!$AE:$AE,0)),IF($B$4="R&amp;T Level 5 - Clinical Lecturers (Vet School)",SUMIF(Points_Lookup!$M:$M,$B160,Points_Lookup!$P:$P),IF($B$4="R&amp;T Level 6 - Clinical Associate Professors and Clinical Readers (Vet School)",SUMIF(Points_Lookup!$T:$T,$B160,Points_Lookup!$W:$W),IFERROR(INDEX(Points_Lookup!$B:$B,MATCH($Z160,Points_Lookup!$AE:$AE,0)),""))))))))</f>
        <v/>
      </c>
      <c r="D160" s="36"/>
      <c r="E160" s="25" t="str">
        <f ca="1">IF($B160="","",IF(AND($B$4="Salary Points 3 to 57",B160&lt;Thresholds_Rates!$C$16),"-",IF(SUMIF(Grades!$A:$A,$B$4,Grades!$BO:$BO)=0,"-",IF(AND($B$4="Salary Points 3 to 57",B160&gt;=Thresholds_Rates!$C$16),$C160*Thresholds_Rates!$F$15,IF(AND(OR($B$4="New Consultant Contract"),$B160&lt;&gt;""),$C160*Thresholds_Rates!$F$15,IF(AND(OR($B$4="Clinical Lecturer / Medical Research Fellow",$B$4="Clinical Consultant - Old Contract (GP)"),$B160&lt;&gt;""),$C160*Thresholds_Rates!$F$15,IF(OR($B$4="APM Level 7",$B$4="R&amp;T Level 7"),$C160*Thresholds_Rates!$F$15,IF(SUMIF(Grades!$A:$A,$B$4,Grades!$BO:$BO)=1,$C160*Thresholds_Rates!$F$15,""))))))))</f>
        <v/>
      </c>
      <c r="F160" s="25" t="str">
        <f ca="1">IF(B160="","",IF($B$4="Salary Points 1 to 57","-",IF(SUMIF(Grades!$A:$A,$B$4,Grades!$BP:$BP)=0,"-",IF(AND(OR($B$4="New Consultant Contract"),$B160&lt;&gt;""),$C160*Thresholds_Rates!$F$16,IF(AND(OR($B$4="Clinical Lecturer / Medical Research Fellow",$B$4="Clinical Consultant - Old Contract (GP)"),$B160&lt;&gt;""),$C160*Thresholds_Rates!$F$16,IF(AND(OR($B$4="APM Level 7",$B$4="R&amp;T Level 7"),E160&lt;&gt;""),$C160*Thresholds_Rates!$F$16,IF(SUMIF(Grades!$A:$A,$B$4,Grades!$BP:$BP)=1,$C160*Thresholds_Rates!$F$16,"")))))))</f>
        <v/>
      </c>
      <c r="G160" s="25" t="str">
        <f ca="1">IF(B160="","",IF(SUMIF(Grades!$A:$A,$B$4,Grades!$BQ:$BQ)=0,"-",IF(AND($B$4="Salary Points 1 to 57",B160&gt;Thresholds_Rates!$C$17),"-",IF(AND($B$4="Salary Points 1 to 57",B160&lt;=Thresholds_Rates!$C$17),$C160*Thresholds_Rates!$F$17,IF(AND(OR($B$4="New Consultant Contract"),$B160&lt;&gt;""),$C160*Thresholds_Rates!$F$17,IF(AND(OR($B$4="Clinical Lecturer / Medical Research Fellow",$B$4="Clinical Consultant - Old Contract (GP)"),$B160&lt;&gt;""),$C160*Thresholds_Rates!$F$17,IF(AND(OR($B$4="APM Level 7",$B$4="R&amp;T Level 7"),F160&lt;&gt;""),$C160*Thresholds_Rates!$F$17,IF(SUMIF(Grades!$A:$A,$B$4,Grades!$BQ:$BQ)=1,$C160*Thresholds_Rates!$F$17,""))))))))</f>
        <v/>
      </c>
      <c r="H160" s="25"/>
      <c r="I160" s="25" t="str">
        <f ca="1">IF(B160="","",(C160*Thresholds_Rates!$C$12))</f>
        <v/>
      </c>
      <c r="J160" s="25"/>
      <c r="K160" s="4"/>
      <c r="L160" s="25" t="str">
        <f t="shared" ca="1" si="13"/>
        <v/>
      </c>
      <c r="M160" s="25" t="str">
        <f t="shared" ca="1" si="14"/>
        <v/>
      </c>
      <c r="N160" s="25" t="str">
        <f t="shared" ca="1" si="15"/>
        <v/>
      </c>
      <c r="O160" s="25" t="str">
        <f t="shared" ca="1" si="16"/>
        <v/>
      </c>
      <c r="P160" s="25" t="str">
        <f t="shared" ca="1" si="17"/>
        <v/>
      </c>
      <c r="R160" s="28"/>
      <c r="S160" s="29"/>
      <c r="T160" s="28"/>
      <c r="U160" s="29"/>
    </row>
    <row r="161" spans="2:21" x14ac:dyDescent="0.25">
      <c r="B161" s="4" t="str">
        <f ca="1">IFERROR(INDEX(Points_Lookup!$A:$A,MATCH($Z163,Points_Lookup!$AE:$AE,0)),"")</f>
        <v/>
      </c>
      <c r="C161" s="25" t="str">
        <f ca="1">IF(B161="","",IF($B$4="Apprenticeship",SUMIF(Points_Lookup!$AA:$AA,B161,Points_Lookup!$AC:$AC),IF(AND(OR($B$4="New Consultant Contract"),$B161&lt;&gt;""),INDEX(Points_Lookup!$K:$K,MATCH($B161,Points_Lookup!$J:$J,0)),IF(AND(OR($B$4="Clinical Lecturer / Medical Research Fellow",$B$4="Clinical Consultant - Old Contract (GP)"),$B161&lt;&gt;""),INDEX(Points_Lookup!$H:$H,MATCH($B161,Points_Lookup!$G:$G,0)),IF(AND(OR($B$4="APM Level 7",$B$4="R&amp;T Level 7",$B$4="APM Level 8"),B161&lt;&gt;""),INDEX(Points_Lookup!$E:$E,MATCH($Z161,Points_Lookup!$AE:$AE,0)),IF($B$4="R&amp;T Level 5 - Clinical Lecturers (Vet School)",SUMIF(Points_Lookup!$M:$M,$B161,Points_Lookup!$P:$P),IF($B$4="R&amp;T Level 6 - Clinical Associate Professors and Clinical Readers (Vet School)",SUMIF(Points_Lookup!$T:$T,$B161,Points_Lookup!$W:$W),IFERROR(INDEX(Points_Lookup!$B:$B,MATCH($Z161,Points_Lookup!$AE:$AE,0)),""))))))))</f>
        <v/>
      </c>
      <c r="D161" s="36"/>
      <c r="E161" s="25" t="str">
        <f ca="1">IF($B161="","",IF(AND($B$4="Salary Points 3 to 57",B161&lt;Thresholds_Rates!$C$16),"-",IF(SUMIF(Grades!$A:$A,$B$4,Grades!$BO:$BO)=0,"-",IF(AND($B$4="Salary Points 3 to 57",B161&gt;=Thresholds_Rates!$C$16),$C161*Thresholds_Rates!$F$15,IF(AND(OR($B$4="New Consultant Contract"),$B161&lt;&gt;""),$C161*Thresholds_Rates!$F$15,IF(AND(OR($B$4="Clinical Lecturer / Medical Research Fellow",$B$4="Clinical Consultant - Old Contract (GP)"),$B161&lt;&gt;""),$C161*Thresholds_Rates!$F$15,IF(OR($B$4="APM Level 7",$B$4="R&amp;T Level 7"),$C161*Thresholds_Rates!$F$15,IF(SUMIF(Grades!$A:$A,$B$4,Grades!$BO:$BO)=1,$C161*Thresholds_Rates!$F$15,""))))))))</f>
        <v/>
      </c>
      <c r="F161" s="25" t="str">
        <f ca="1">IF(B161="","",IF($B$4="Salary Points 1 to 57","-",IF(SUMIF(Grades!$A:$A,$B$4,Grades!$BP:$BP)=0,"-",IF(AND(OR($B$4="New Consultant Contract"),$B161&lt;&gt;""),$C161*Thresholds_Rates!$F$16,IF(AND(OR($B$4="Clinical Lecturer / Medical Research Fellow",$B$4="Clinical Consultant - Old Contract (GP)"),$B161&lt;&gt;""),$C161*Thresholds_Rates!$F$16,IF(AND(OR($B$4="APM Level 7",$B$4="R&amp;T Level 7"),E161&lt;&gt;""),$C161*Thresholds_Rates!$F$16,IF(SUMIF(Grades!$A:$A,$B$4,Grades!$BP:$BP)=1,$C161*Thresholds_Rates!$F$16,"")))))))</f>
        <v/>
      </c>
      <c r="G161" s="25" t="str">
        <f ca="1">IF(B161="","",IF(SUMIF(Grades!$A:$A,$B$4,Grades!$BQ:$BQ)=0,"-",IF(AND($B$4="Salary Points 1 to 57",B161&gt;Thresholds_Rates!$C$17),"-",IF(AND($B$4="Salary Points 1 to 57",B161&lt;=Thresholds_Rates!$C$17),$C161*Thresholds_Rates!$F$17,IF(AND(OR($B$4="New Consultant Contract"),$B161&lt;&gt;""),$C161*Thresholds_Rates!$F$17,IF(AND(OR($B$4="Clinical Lecturer / Medical Research Fellow",$B$4="Clinical Consultant - Old Contract (GP)"),$B161&lt;&gt;""),$C161*Thresholds_Rates!$F$17,IF(AND(OR($B$4="APM Level 7",$B$4="R&amp;T Level 7"),F161&lt;&gt;""),$C161*Thresholds_Rates!$F$17,IF(SUMIF(Grades!$A:$A,$B$4,Grades!$BQ:$BQ)=1,$C161*Thresholds_Rates!$F$17,""))))))))</f>
        <v/>
      </c>
      <c r="H161" s="25"/>
      <c r="I161" s="25" t="str">
        <f ca="1">IF(B161="","",(C161*Thresholds_Rates!$C$12))</f>
        <v/>
      </c>
      <c r="J161" s="25"/>
      <c r="K161" s="4"/>
      <c r="L161" s="25" t="str">
        <f t="shared" ca="1" si="13"/>
        <v/>
      </c>
      <c r="M161" s="25" t="str">
        <f t="shared" ca="1" si="14"/>
        <v/>
      </c>
      <c r="N161" s="25" t="str">
        <f t="shared" ca="1" si="15"/>
        <v/>
      </c>
      <c r="O161" s="25" t="str">
        <f t="shared" ca="1" si="16"/>
        <v/>
      </c>
      <c r="P161" s="25" t="str">
        <f t="shared" ca="1" si="17"/>
        <v/>
      </c>
      <c r="R161" s="28"/>
      <c r="S161" s="29"/>
      <c r="T161" s="28"/>
      <c r="U161" s="29"/>
    </row>
    <row r="162" spans="2:21" x14ac:dyDescent="0.25">
      <c r="B162" s="4" t="str">
        <f ca="1">IFERROR(INDEX(Points_Lookup!$A:$A,MATCH($Z164,Points_Lookup!$AE:$AE,0)),"")</f>
        <v/>
      </c>
      <c r="C162" s="25" t="str">
        <f ca="1">IF(B162="","",IF($B$4="Apprenticeship",SUMIF(Points_Lookup!$AA:$AA,B162,Points_Lookup!$AC:$AC),IF(AND(OR($B$4="New Consultant Contract"),$B162&lt;&gt;""),INDEX(Points_Lookup!$K:$K,MATCH($B162,Points_Lookup!$J:$J,0)),IF(AND(OR($B$4="Clinical Lecturer / Medical Research Fellow",$B$4="Clinical Consultant - Old Contract (GP)"),$B162&lt;&gt;""),INDEX(Points_Lookup!$H:$H,MATCH($B162,Points_Lookup!$G:$G,0)),IF(AND(OR($B$4="APM Level 7",$B$4="R&amp;T Level 7",$B$4="APM Level 8"),B162&lt;&gt;""),INDEX(Points_Lookup!$E:$E,MATCH($Z162,Points_Lookup!$AE:$AE,0)),IF($B$4="R&amp;T Level 5 - Clinical Lecturers (Vet School)",SUMIF(Points_Lookup!$M:$M,$B162,Points_Lookup!$P:$P),IF($B$4="R&amp;T Level 6 - Clinical Associate Professors and Clinical Readers (Vet School)",SUMIF(Points_Lookup!$T:$T,$B162,Points_Lookup!$W:$W),IFERROR(INDEX(Points_Lookup!$B:$B,MATCH($Z162,Points_Lookup!$AE:$AE,0)),""))))))))</f>
        <v/>
      </c>
      <c r="D162" s="36"/>
      <c r="E162" s="25" t="str">
        <f ca="1">IF($B162="","",IF(AND($B$4="Salary Points 3 to 57",B162&lt;Thresholds_Rates!$C$16),"-",IF(SUMIF(Grades!$A:$A,$B$4,Grades!$BO:$BO)=0,"-",IF(AND($B$4="Salary Points 3 to 57",B162&gt;=Thresholds_Rates!$C$16),$C162*Thresholds_Rates!$F$15,IF(AND(OR($B$4="New Consultant Contract"),$B162&lt;&gt;""),$C162*Thresholds_Rates!$F$15,IF(AND(OR($B$4="Clinical Lecturer / Medical Research Fellow",$B$4="Clinical Consultant - Old Contract (GP)"),$B162&lt;&gt;""),$C162*Thresholds_Rates!$F$15,IF(OR($B$4="APM Level 7",$B$4="R&amp;T Level 7"),$C162*Thresholds_Rates!$F$15,IF(SUMIF(Grades!$A:$A,$B$4,Grades!$BO:$BO)=1,$C162*Thresholds_Rates!$F$15,""))))))))</f>
        <v/>
      </c>
      <c r="F162" s="25" t="str">
        <f ca="1">IF(B162="","",IF($B$4="Salary Points 1 to 57","-",IF(SUMIF(Grades!$A:$A,$B$4,Grades!$BP:$BP)=0,"-",IF(AND(OR($B$4="New Consultant Contract"),$B162&lt;&gt;""),$C162*Thresholds_Rates!$F$16,IF(AND(OR($B$4="Clinical Lecturer / Medical Research Fellow",$B$4="Clinical Consultant - Old Contract (GP)"),$B162&lt;&gt;""),$C162*Thresholds_Rates!$F$16,IF(AND(OR($B$4="APM Level 7",$B$4="R&amp;T Level 7"),E162&lt;&gt;""),$C162*Thresholds_Rates!$F$16,IF(SUMIF(Grades!$A:$A,$B$4,Grades!$BP:$BP)=1,$C162*Thresholds_Rates!$F$16,"")))))))</f>
        <v/>
      </c>
      <c r="G162" s="25" t="str">
        <f ca="1">IF(B162="","",IF(SUMIF(Grades!$A:$A,$B$4,Grades!$BQ:$BQ)=0,"-",IF(AND($B$4="Salary Points 1 to 57",B162&gt;Thresholds_Rates!$C$17),"-",IF(AND($B$4="Salary Points 1 to 57",B162&lt;=Thresholds_Rates!$C$17),$C162*Thresholds_Rates!$F$17,IF(AND(OR($B$4="New Consultant Contract"),$B162&lt;&gt;""),$C162*Thresholds_Rates!$F$17,IF(AND(OR($B$4="Clinical Lecturer / Medical Research Fellow",$B$4="Clinical Consultant - Old Contract (GP)"),$B162&lt;&gt;""),$C162*Thresholds_Rates!$F$17,IF(AND(OR($B$4="APM Level 7",$B$4="R&amp;T Level 7"),F162&lt;&gt;""),$C162*Thresholds_Rates!$F$17,IF(SUMIF(Grades!$A:$A,$B$4,Grades!$BQ:$BQ)=1,$C162*Thresholds_Rates!$F$17,""))))))))</f>
        <v/>
      </c>
      <c r="H162" s="25"/>
      <c r="I162" s="25" t="str">
        <f ca="1">IF(B162="","",(C162*Thresholds_Rates!$C$12))</f>
        <v/>
      </c>
      <c r="J162" s="25"/>
      <c r="K162" s="4"/>
      <c r="L162" s="25" t="str">
        <f t="shared" ca="1" si="13"/>
        <v/>
      </c>
      <c r="M162" s="25" t="str">
        <f t="shared" ca="1" si="14"/>
        <v/>
      </c>
      <c r="N162" s="25" t="str">
        <f t="shared" ca="1" si="15"/>
        <v/>
      </c>
      <c r="O162" s="25" t="str">
        <f t="shared" ca="1" si="16"/>
        <v/>
      </c>
      <c r="P162" s="25" t="str">
        <f t="shared" ca="1" si="17"/>
        <v/>
      </c>
      <c r="R162" s="28"/>
      <c r="S162" s="29"/>
      <c r="T162" s="28"/>
      <c r="U162" s="29"/>
    </row>
    <row r="163" spans="2:21" x14ac:dyDescent="0.25">
      <c r="B163" s="4" t="str">
        <f ca="1">IFERROR(INDEX(Points_Lookup!$A:$A,MATCH($Z165,Points_Lookup!$AE:$AE,0)),"")</f>
        <v/>
      </c>
      <c r="C163" s="25" t="str">
        <f ca="1">IF(B163="","",IF($B$4="Apprenticeship",SUMIF(Points_Lookup!$AA:$AA,B163,Points_Lookup!$AC:$AC),IF(AND(OR($B$4="New Consultant Contract"),$B163&lt;&gt;""),INDEX(Points_Lookup!$K:$K,MATCH($B163,Points_Lookup!$J:$J,0)),IF(AND(OR($B$4="Clinical Lecturer / Medical Research Fellow",$B$4="Clinical Consultant - Old Contract (GP)"),$B163&lt;&gt;""),INDEX(Points_Lookup!$H:$H,MATCH($B163,Points_Lookup!$G:$G,0)),IF(AND(OR($B$4="APM Level 7",$B$4="R&amp;T Level 7",$B$4="APM Level 8"),B163&lt;&gt;""),INDEX(Points_Lookup!$E:$E,MATCH($Z163,Points_Lookup!$AE:$AE,0)),IF($B$4="R&amp;T Level 5 - Clinical Lecturers (Vet School)",SUMIF(Points_Lookup!$M:$M,$B163,Points_Lookup!$P:$P),IF($B$4="R&amp;T Level 6 - Clinical Associate Professors and Clinical Readers (Vet School)",SUMIF(Points_Lookup!$T:$T,$B163,Points_Lookup!$W:$W),IFERROR(INDEX(Points_Lookup!$B:$B,MATCH($Z163,Points_Lookup!$AE:$AE,0)),""))))))))</f>
        <v/>
      </c>
      <c r="D163" s="36"/>
      <c r="E163" s="25" t="str">
        <f ca="1">IF($B163="","",IF(AND($B$4="Salary Points 3 to 57",B163&lt;Thresholds_Rates!$C$16),"-",IF(SUMIF(Grades!$A:$A,$B$4,Grades!$BO:$BO)=0,"-",IF(AND($B$4="Salary Points 3 to 57",B163&gt;=Thresholds_Rates!$C$16),$C163*Thresholds_Rates!$F$15,IF(AND(OR($B$4="New Consultant Contract"),$B163&lt;&gt;""),$C163*Thresholds_Rates!$F$15,IF(AND(OR($B$4="Clinical Lecturer / Medical Research Fellow",$B$4="Clinical Consultant - Old Contract (GP)"),$B163&lt;&gt;""),$C163*Thresholds_Rates!$F$15,IF(OR($B$4="APM Level 7",$B$4="R&amp;T Level 7"),$C163*Thresholds_Rates!$F$15,IF(SUMIF(Grades!$A:$A,$B$4,Grades!$BO:$BO)=1,$C163*Thresholds_Rates!$F$15,""))))))))</f>
        <v/>
      </c>
      <c r="F163" s="25" t="str">
        <f ca="1">IF(B163="","",IF($B$4="Salary Points 1 to 57","-",IF(SUMIF(Grades!$A:$A,$B$4,Grades!$BP:$BP)=0,"-",IF(AND(OR($B$4="New Consultant Contract"),$B163&lt;&gt;""),$C163*Thresholds_Rates!$F$16,IF(AND(OR($B$4="Clinical Lecturer / Medical Research Fellow",$B$4="Clinical Consultant - Old Contract (GP)"),$B163&lt;&gt;""),$C163*Thresholds_Rates!$F$16,IF(AND(OR($B$4="APM Level 7",$B$4="R&amp;T Level 7"),E163&lt;&gt;""),$C163*Thresholds_Rates!$F$16,IF(SUMIF(Grades!$A:$A,$B$4,Grades!$BP:$BP)=1,$C163*Thresholds_Rates!$F$16,"")))))))</f>
        <v/>
      </c>
      <c r="G163" s="25" t="str">
        <f ca="1">IF(B163="","",IF(SUMIF(Grades!$A:$A,$B$4,Grades!$BQ:$BQ)=0,"-",IF(AND($B$4="Salary Points 1 to 57",B163&gt;Thresholds_Rates!$C$17),"-",IF(AND($B$4="Salary Points 1 to 57",B163&lt;=Thresholds_Rates!$C$17),$C163*Thresholds_Rates!$F$17,IF(AND(OR($B$4="New Consultant Contract"),$B163&lt;&gt;""),$C163*Thresholds_Rates!$F$17,IF(AND(OR($B$4="Clinical Lecturer / Medical Research Fellow",$B$4="Clinical Consultant - Old Contract (GP)"),$B163&lt;&gt;""),$C163*Thresholds_Rates!$F$17,IF(AND(OR($B$4="APM Level 7",$B$4="R&amp;T Level 7"),F163&lt;&gt;""),$C163*Thresholds_Rates!$F$17,IF(SUMIF(Grades!$A:$A,$B$4,Grades!$BQ:$BQ)=1,$C163*Thresholds_Rates!$F$17,""))))))))</f>
        <v/>
      </c>
      <c r="H163" s="25"/>
      <c r="I163" s="25" t="str">
        <f ca="1">IF(B163="","",(C163*Thresholds_Rates!$C$12))</f>
        <v/>
      </c>
      <c r="J163" s="25"/>
      <c r="K163" s="4"/>
      <c r="L163" s="25" t="str">
        <f t="shared" ca="1" si="13"/>
        <v/>
      </c>
      <c r="M163" s="25" t="str">
        <f t="shared" ca="1" si="14"/>
        <v/>
      </c>
      <c r="N163" s="25" t="str">
        <f t="shared" ca="1" si="15"/>
        <v/>
      </c>
      <c r="O163" s="25" t="str">
        <f t="shared" ca="1" si="16"/>
        <v/>
      </c>
      <c r="P163" s="25" t="str">
        <f t="shared" ca="1" si="17"/>
        <v/>
      </c>
      <c r="R163" s="28"/>
      <c r="S163" s="29"/>
      <c r="T163" s="28"/>
      <c r="U163" s="29"/>
    </row>
    <row r="164" spans="2:21" x14ac:dyDescent="0.25">
      <c r="B164" s="4" t="str">
        <f ca="1">IFERROR(INDEX(Points_Lookup!$A:$A,MATCH($Z166,Points_Lookup!$AE:$AE,0)),"")</f>
        <v/>
      </c>
      <c r="C164" s="25" t="str">
        <f ca="1">IF(B164="","",IF($B$4="Apprenticeship",SUMIF(Points_Lookup!$AA:$AA,B164,Points_Lookup!$AC:$AC),IF(AND(OR($B$4="New Consultant Contract"),$B164&lt;&gt;""),INDEX(Points_Lookup!$K:$K,MATCH($B164,Points_Lookup!$J:$J,0)),IF(AND(OR($B$4="Clinical Lecturer / Medical Research Fellow",$B$4="Clinical Consultant - Old Contract (GP)"),$B164&lt;&gt;""),INDEX(Points_Lookup!$H:$H,MATCH($B164,Points_Lookup!$G:$G,0)),IF(AND(OR($B$4="APM Level 7",$B$4="R&amp;T Level 7",$B$4="APM Level 8"),B164&lt;&gt;""),INDEX(Points_Lookup!$E:$E,MATCH($Z164,Points_Lookup!$AE:$AE,0)),IF($B$4="R&amp;T Level 5 - Clinical Lecturers (Vet School)",SUMIF(Points_Lookup!$M:$M,$B164,Points_Lookup!$P:$P),IF($B$4="R&amp;T Level 6 - Clinical Associate Professors and Clinical Readers (Vet School)",SUMIF(Points_Lookup!$T:$T,$B164,Points_Lookup!$W:$W),IFERROR(INDEX(Points_Lookup!$B:$B,MATCH($Z164,Points_Lookup!$AE:$AE,0)),""))))))))</f>
        <v/>
      </c>
      <c r="D164" s="36"/>
      <c r="E164" s="25" t="str">
        <f ca="1">IF($B164="","",IF(AND($B$4="Salary Points 3 to 57",B164&lt;Thresholds_Rates!$C$16),"-",IF(SUMIF(Grades!$A:$A,$B$4,Grades!$BO:$BO)=0,"-",IF(AND($B$4="Salary Points 3 to 57",B164&gt;=Thresholds_Rates!$C$16),$C164*Thresholds_Rates!$F$15,IF(AND(OR($B$4="New Consultant Contract"),$B164&lt;&gt;""),$C164*Thresholds_Rates!$F$15,IF(AND(OR($B$4="Clinical Lecturer / Medical Research Fellow",$B$4="Clinical Consultant - Old Contract (GP)"),$B164&lt;&gt;""),$C164*Thresholds_Rates!$F$15,IF(OR($B$4="APM Level 7",$B$4="R&amp;T Level 7"),$C164*Thresholds_Rates!$F$15,IF(SUMIF(Grades!$A:$A,$B$4,Grades!$BO:$BO)=1,$C164*Thresholds_Rates!$F$15,""))))))))</f>
        <v/>
      </c>
      <c r="F164" s="25" t="str">
        <f ca="1">IF(B164="","",IF($B$4="Salary Points 1 to 57","-",IF(SUMIF(Grades!$A:$A,$B$4,Grades!$BP:$BP)=0,"-",IF(AND(OR($B$4="New Consultant Contract"),$B164&lt;&gt;""),$C164*Thresholds_Rates!$F$16,IF(AND(OR($B$4="Clinical Lecturer / Medical Research Fellow",$B$4="Clinical Consultant - Old Contract (GP)"),$B164&lt;&gt;""),$C164*Thresholds_Rates!$F$16,IF(AND(OR($B$4="APM Level 7",$B$4="R&amp;T Level 7"),E164&lt;&gt;""),$C164*Thresholds_Rates!$F$16,IF(SUMIF(Grades!$A:$A,$B$4,Grades!$BP:$BP)=1,$C164*Thresholds_Rates!$F$16,"")))))))</f>
        <v/>
      </c>
      <c r="G164" s="25" t="str">
        <f ca="1">IF(B164="","",IF(SUMIF(Grades!$A:$A,$B$4,Grades!$BQ:$BQ)=0,"-",IF(AND($B$4="Salary Points 1 to 57",B164&gt;Thresholds_Rates!$C$17),"-",IF(AND($B$4="Salary Points 1 to 57",B164&lt;=Thresholds_Rates!$C$17),$C164*Thresholds_Rates!$F$17,IF(AND(OR($B$4="New Consultant Contract"),$B164&lt;&gt;""),$C164*Thresholds_Rates!$F$17,IF(AND(OR($B$4="Clinical Lecturer / Medical Research Fellow",$B$4="Clinical Consultant - Old Contract (GP)"),$B164&lt;&gt;""),$C164*Thresholds_Rates!$F$17,IF(AND(OR($B$4="APM Level 7",$B$4="R&amp;T Level 7"),F164&lt;&gt;""),$C164*Thresholds_Rates!$F$17,IF(SUMIF(Grades!$A:$A,$B$4,Grades!$BQ:$BQ)=1,$C164*Thresholds_Rates!$F$17,""))))))))</f>
        <v/>
      </c>
      <c r="H164" s="25"/>
      <c r="I164" s="25" t="str">
        <f ca="1">IF(B164="","",(C164*Thresholds_Rates!$C$12))</f>
        <v/>
      </c>
      <c r="J164" s="25"/>
      <c r="K164" s="4"/>
      <c r="L164" s="25" t="str">
        <f t="shared" ca="1" si="13"/>
        <v/>
      </c>
      <c r="M164" s="25" t="str">
        <f t="shared" ca="1" si="14"/>
        <v/>
      </c>
      <c r="N164" s="25" t="str">
        <f t="shared" ca="1" si="15"/>
        <v/>
      </c>
      <c r="O164" s="25" t="str">
        <f t="shared" ca="1" si="16"/>
        <v/>
      </c>
      <c r="P164" s="25" t="str">
        <f t="shared" ca="1" si="17"/>
        <v/>
      </c>
      <c r="R164" s="28"/>
      <c r="S164" s="29"/>
      <c r="T164" s="28"/>
      <c r="U164" s="29"/>
    </row>
    <row r="165" spans="2:21" x14ac:dyDescent="0.25">
      <c r="B165" s="4" t="str">
        <f ca="1">IFERROR(INDEX(Points_Lookup!$A:$A,MATCH($Z167,Points_Lookup!$AE:$AE,0)),"")</f>
        <v/>
      </c>
      <c r="C165" s="25" t="str">
        <f ca="1">IF(B165="","",IF($B$4="Apprenticeship",SUMIF(Points_Lookup!$AA:$AA,B165,Points_Lookup!$AC:$AC),IF(AND(OR($B$4="New Consultant Contract"),$B165&lt;&gt;""),INDEX(Points_Lookup!$K:$K,MATCH($B165,Points_Lookup!$J:$J,0)),IF(AND(OR($B$4="Clinical Lecturer / Medical Research Fellow",$B$4="Clinical Consultant - Old Contract (GP)"),$B165&lt;&gt;""),INDEX(Points_Lookup!$H:$H,MATCH($B165,Points_Lookup!$G:$G,0)),IF(AND(OR($B$4="APM Level 7",$B$4="R&amp;T Level 7",$B$4="APM Level 8"),B165&lt;&gt;""),INDEX(Points_Lookup!$E:$E,MATCH($Z165,Points_Lookup!$AE:$AE,0)),IF($B$4="R&amp;T Level 5 - Clinical Lecturers (Vet School)",SUMIF(Points_Lookup!$M:$M,$B165,Points_Lookup!$P:$P),IF($B$4="R&amp;T Level 6 - Clinical Associate Professors and Clinical Readers (Vet School)",SUMIF(Points_Lookup!$T:$T,$B165,Points_Lookup!$W:$W),IFERROR(INDEX(Points_Lookup!$B:$B,MATCH($Z165,Points_Lookup!$AE:$AE,0)),""))))))))</f>
        <v/>
      </c>
      <c r="D165" s="36"/>
      <c r="E165" s="25" t="str">
        <f ca="1">IF($B165="","",IF(AND($B$4="Salary Points 3 to 57",B165&lt;Thresholds_Rates!$C$16),"-",IF(SUMIF(Grades!$A:$A,$B$4,Grades!$BO:$BO)=0,"-",IF(AND($B$4="Salary Points 3 to 57",B165&gt;=Thresholds_Rates!$C$16),$C165*Thresholds_Rates!$F$15,IF(AND(OR($B$4="New Consultant Contract"),$B165&lt;&gt;""),$C165*Thresholds_Rates!$F$15,IF(AND(OR($B$4="Clinical Lecturer / Medical Research Fellow",$B$4="Clinical Consultant - Old Contract (GP)"),$B165&lt;&gt;""),$C165*Thresholds_Rates!$F$15,IF(OR($B$4="APM Level 7",$B$4="R&amp;T Level 7"),$C165*Thresholds_Rates!$F$15,IF(SUMIF(Grades!$A:$A,$B$4,Grades!$BO:$BO)=1,$C165*Thresholds_Rates!$F$15,""))))))))</f>
        <v/>
      </c>
      <c r="F165" s="25" t="str">
        <f ca="1">IF(B165="","",IF($B$4="Salary Points 1 to 57","-",IF(SUMIF(Grades!$A:$A,$B$4,Grades!$BP:$BP)=0,"-",IF(AND(OR($B$4="New Consultant Contract"),$B165&lt;&gt;""),$C165*Thresholds_Rates!$F$16,IF(AND(OR($B$4="Clinical Lecturer / Medical Research Fellow",$B$4="Clinical Consultant - Old Contract (GP)"),$B165&lt;&gt;""),$C165*Thresholds_Rates!$F$16,IF(AND(OR($B$4="APM Level 7",$B$4="R&amp;T Level 7"),E165&lt;&gt;""),$C165*Thresholds_Rates!$F$16,IF(SUMIF(Grades!$A:$A,$B$4,Grades!$BP:$BP)=1,$C165*Thresholds_Rates!$F$16,"")))))))</f>
        <v/>
      </c>
      <c r="G165" s="25" t="str">
        <f ca="1">IF(B165="","",IF(SUMIF(Grades!$A:$A,$B$4,Grades!$BQ:$BQ)=0,"-",IF(AND($B$4="Salary Points 1 to 57",B165&gt;Thresholds_Rates!$C$17),"-",IF(AND($B$4="Salary Points 1 to 57",B165&lt;=Thresholds_Rates!$C$17),$C165*Thresholds_Rates!$F$17,IF(AND(OR($B$4="New Consultant Contract"),$B165&lt;&gt;""),$C165*Thresholds_Rates!$F$17,IF(AND(OR($B$4="Clinical Lecturer / Medical Research Fellow",$B$4="Clinical Consultant - Old Contract (GP)"),$B165&lt;&gt;""),$C165*Thresholds_Rates!$F$17,IF(AND(OR($B$4="APM Level 7",$B$4="R&amp;T Level 7"),F165&lt;&gt;""),$C165*Thresholds_Rates!$F$17,IF(SUMIF(Grades!$A:$A,$B$4,Grades!$BQ:$BQ)=1,$C165*Thresholds_Rates!$F$17,""))))))))</f>
        <v/>
      </c>
      <c r="H165" s="25"/>
      <c r="I165" s="25" t="str">
        <f ca="1">IF(B165="","",(C165*Thresholds_Rates!$C$12))</f>
        <v/>
      </c>
      <c r="J165" s="25"/>
      <c r="K165" s="4"/>
      <c r="L165" s="25" t="str">
        <f t="shared" ca="1" si="13"/>
        <v/>
      </c>
      <c r="M165" s="25" t="str">
        <f t="shared" ca="1" si="14"/>
        <v/>
      </c>
      <c r="N165" s="25" t="str">
        <f t="shared" ca="1" si="15"/>
        <v/>
      </c>
      <c r="O165" s="25" t="str">
        <f t="shared" ca="1" si="16"/>
        <v/>
      </c>
      <c r="P165" s="25" t="str">
        <f t="shared" ca="1" si="17"/>
        <v/>
      </c>
      <c r="R165" s="28"/>
      <c r="S165" s="29"/>
      <c r="T165" s="28"/>
      <c r="U165" s="29"/>
    </row>
    <row r="166" spans="2:21" x14ac:dyDescent="0.25">
      <c r="B166" s="4" t="str">
        <f ca="1">IFERROR(INDEX(Points_Lookup!$A:$A,MATCH($Z168,Points_Lookup!$AE:$AE,0)),"")</f>
        <v/>
      </c>
      <c r="C166" s="25" t="str">
        <f ca="1">IF(B166="","",IF($B$4="Apprenticeship",SUMIF(Points_Lookup!$AA:$AA,B166,Points_Lookup!$AC:$AC),IF(AND(OR($B$4="New Consultant Contract"),$B166&lt;&gt;""),INDEX(Points_Lookup!$K:$K,MATCH($B166,Points_Lookup!$J:$J,0)),IF(AND(OR($B$4="Clinical Lecturer / Medical Research Fellow",$B$4="Clinical Consultant - Old Contract (GP)"),$B166&lt;&gt;""),INDEX(Points_Lookup!$H:$H,MATCH($B166,Points_Lookup!$G:$G,0)),IF(AND(OR($B$4="APM Level 7",$B$4="R&amp;T Level 7",$B$4="APM Level 8"),B166&lt;&gt;""),INDEX(Points_Lookup!$E:$E,MATCH($Z166,Points_Lookup!$AE:$AE,0)),IF($B$4="R&amp;T Level 5 - Clinical Lecturers (Vet School)",SUMIF(Points_Lookup!$M:$M,$B166,Points_Lookup!$P:$P),IF($B$4="R&amp;T Level 6 - Clinical Associate Professors and Clinical Readers (Vet School)",SUMIF(Points_Lookup!$T:$T,$B166,Points_Lookup!$W:$W),IFERROR(INDEX(Points_Lookup!$B:$B,MATCH($Z166,Points_Lookup!$AE:$AE,0)),""))))))))</f>
        <v/>
      </c>
      <c r="D166" s="36"/>
      <c r="E166" s="25" t="str">
        <f ca="1">IF($B166="","",IF(AND($B$4="Salary Points 3 to 57",B166&lt;Thresholds_Rates!$C$16),"-",IF(SUMIF(Grades!$A:$A,$B$4,Grades!$BO:$BO)=0,"-",IF(AND($B$4="Salary Points 3 to 57",B166&gt;=Thresholds_Rates!$C$16),$C166*Thresholds_Rates!$F$15,IF(AND(OR($B$4="New Consultant Contract"),$B166&lt;&gt;""),$C166*Thresholds_Rates!$F$15,IF(AND(OR($B$4="Clinical Lecturer / Medical Research Fellow",$B$4="Clinical Consultant - Old Contract (GP)"),$B166&lt;&gt;""),$C166*Thresholds_Rates!$F$15,IF(OR($B$4="APM Level 7",$B$4="R&amp;T Level 7"),$C166*Thresholds_Rates!$F$15,IF(SUMIF(Grades!$A:$A,$B$4,Grades!$BO:$BO)=1,$C166*Thresholds_Rates!$F$15,""))))))))</f>
        <v/>
      </c>
      <c r="F166" s="25" t="str">
        <f ca="1">IF(B166="","",IF($B$4="Salary Points 1 to 57","-",IF(SUMIF(Grades!$A:$A,$B$4,Grades!$BP:$BP)=0,"-",IF(AND(OR($B$4="New Consultant Contract"),$B166&lt;&gt;""),$C166*Thresholds_Rates!$F$16,IF(AND(OR($B$4="Clinical Lecturer / Medical Research Fellow",$B$4="Clinical Consultant - Old Contract (GP)"),$B166&lt;&gt;""),$C166*Thresholds_Rates!$F$16,IF(AND(OR($B$4="APM Level 7",$B$4="R&amp;T Level 7"),E166&lt;&gt;""),$C166*Thresholds_Rates!$F$16,IF(SUMIF(Grades!$A:$A,$B$4,Grades!$BP:$BP)=1,$C166*Thresholds_Rates!$F$16,"")))))))</f>
        <v/>
      </c>
      <c r="G166" s="25" t="str">
        <f ca="1">IF(B166="","",IF(SUMIF(Grades!$A:$A,$B$4,Grades!$BQ:$BQ)=0,"-",IF(AND($B$4="Salary Points 1 to 57",B166&gt;Thresholds_Rates!$C$17),"-",IF(AND($B$4="Salary Points 1 to 57",B166&lt;=Thresholds_Rates!$C$17),$C166*Thresholds_Rates!$F$17,IF(AND(OR($B$4="New Consultant Contract"),$B166&lt;&gt;""),$C166*Thresholds_Rates!$F$17,IF(AND(OR($B$4="Clinical Lecturer / Medical Research Fellow",$B$4="Clinical Consultant - Old Contract (GP)"),$B166&lt;&gt;""),$C166*Thresholds_Rates!$F$17,IF(AND(OR($B$4="APM Level 7",$B$4="R&amp;T Level 7"),F166&lt;&gt;""),$C166*Thresholds_Rates!$F$17,IF(SUMIF(Grades!$A:$A,$B$4,Grades!$BQ:$BQ)=1,$C166*Thresholds_Rates!$F$17,""))))))))</f>
        <v/>
      </c>
      <c r="H166" s="25"/>
      <c r="I166" s="25" t="str">
        <f ca="1">IF(B166="","",(C166*Thresholds_Rates!$C$12))</f>
        <v/>
      </c>
      <c r="J166" s="25"/>
      <c r="K166" s="4"/>
      <c r="L166" s="25" t="str">
        <f t="shared" ca="1" si="13"/>
        <v/>
      </c>
      <c r="M166" s="25" t="str">
        <f t="shared" ca="1" si="14"/>
        <v/>
      </c>
      <c r="N166" s="25" t="str">
        <f t="shared" ca="1" si="15"/>
        <v/>
      </c>
      <c r="O166" s="25" t="str">
        <f t="shared" ca="1" si="16"/>
        <v/>
      </c>
      <c r="P166" s="25" t="str">
        <f t="shared" ca="1" si="17"/>
        <v/>
      </c>
      <c r="R166" s="28"/>
      <c r="S166" s="29"/>
      <c r="T166" s="28"/>
      <c r="U166" s="29"/>
    </row>
    <row r="167" spans="2:21" x14ac:dyDescent="0.25">
      <c r="B167" s="4" t="str">
        <f ca="1">IFERROR(INDEX(Points_Lookup!$A:$A,MATCH($Z169,Points_Lookup!$AE:$AE,0)),"")</f>
        <v/>
      </c>
      <c r="C167" s="25" t="str">
        <f ca="1">IF(B167="","",IF($B$4="Apprenticeship",SUMIF(Points_Lookup!$AA:$AA,B167,Points_Lookup!$AC:$AC),IF(AND(OR($B$4="New Consultant Contract"),$B167&lt;&gt;""),INDEX(Points_Lookup!$K:$K,MATCH($B167,Points_Lookup!$J:$J,0)),IF(AND(OR($B$4="Clinical Lecturer / Medical Research Fellow",$B$4="Clinical Consultant - Old Contract (GP)"),$B167&lt;&gt;""),INDEX(Points_Lookup!$H:$H,MATCH($B167,Points_Lookup!$G:$G,0)),IF(AND(OR($B$4="APM Level 7",$B$4="R&amp;T Level 7",$B$4="APM Level 8"),B167&lt;&gt;""),INDEX(Points_Lookup!$E:$E,MATCH($Z167,Points_Lookup!$AE:$AE,0)),IF($B$4="R&amp;T Level 5 - Clinical Lecturers (Vet School)",SUMIF(Points_Lookup!$M:$M,$B167,Points_Lookup!$P:$P),IF($B$4="R&amp;T Level 6 - Clinical Associate Professors and Clinical Readers (Vet School)",SUMIF(Points_Lookup!$T:$T,$B167,Points_Lookup!$W:$W),IFERROR(INDEX(Points_Lookup!$B:$B,MATCH($Z167,Points_Lookup!$AE:$AE,0)),""))))))))</f>
        <v/>
      </c>
      <c r="D167" s="36"/>
      <c r="E167" s="25" t="str">
        <f ca="1">IF($B167="","",IF(AND($B$4="Salary Points 3 to 57",B167&lt;Thresholds_Rates!$C$16),"-",IF(SUMIF(Grades!$A:$A,$B$4,Grades!$BO:$BO)=0,"-",IF(AND($B$4="Salary Points 3 to 57",B167&gt;=Thresholds_Rates!$C$16),$C167*Thresholds_Rates!$F$15,IF(AND(OR($B$4="New Consultant Contract"),$B167&lt;&gt;""),$C167*Thresholds_Rates!$F$15,IF(AND(OR($B$4="Clinical Lecturer / Medical Research Fellow",$B$4="Clinical Consultant - Old Contract (GP)"),$B167&lt;&gt;""),$C167*Thresholds_Rates!$F$15,IF(OR($B$4="APM Level 7",$B$4="R&amp;T Level 7"),$C167*Thresholds_Rates!$F$15,IF(SUMIF(Grades!$A:$A,$B$4,Grades!$BO:$BO)=1,$C167*Thresholds_Rates!$F$15,""))))))))</f>
        <v/>
      </c>
      <c r="F167" s="25" t="str">
        <f ca="1">IF(B167="","",IF($B$4="Salary Points 1 to 57","-",IF(SUMIF(Grades!$A:$A,$B$4,Grades!$BP:$BP)=0,"-",IF(AND(OR($B$4="New Consultant Contract"),$B167&lt;&gt;""),$C167*Thresholds_Rates!$F$16,IF(AND(OR($B$4="Clinical Lecturer / Medical Research Fellow",$B$4="Clinical Consultant - Old Contract (GP)"),$B167&lt;&gt;""),$C167*Thresholds_Rates!$F$16,IF(AND(OR($B$4="APM Level 7",$B$4="R&amp;T Level 7"),E167&lt;&gt;""),$C167*Thresholds_Rates!$F$16,IF(SUMIF(Grades!$A:$A,$B$4,Grades!$BP:$BP)=1,$C167*Thresholds_Rates!$F$16,"")))))))</f>
        <v/>
      </c>
      <c r="G167" s="25" t="str">
        <f ca="1">IF(B167="","",IF(SUMIF(Grades!$A:$A,$B$4,Grades!$BQ:$BQ)=0,"-",IF(AND($B$4="Salary Points 1 to 57",B167&gt;Thresholds_Rates!$C$17),"-",IF(AND($B$4="Salary Points 1 to 57",B167&lt;=Thresholds_Rates!$C$17),$C167*Thresholds_Rates!$F$17,IF(AND(OR($B$4="New Consultant Contract"),$B167&lt;&gt;""),$C167*Thresholds_Rates!$F$17,IF(AND(OR($B$4="Clinical Lecturer / Medical Research Fellow",$B$4="Clinical Consultant - Old Contract (GP)"),$B167&lt;&gt;""),$C167*Thresholds_Rates!$F$17,IF(AND(OR($B$4="APM Level 7",$B$4="R&amp;T Level 7"),F167&lt;&gt;""),$C167*Thresholds_Rates!$F$17,IF(SUMIF(Grades!$A:$A,$B$4,Grades!$BQ:$BQ)=1,$C167*Thresholds_Rates!$F$17,""))))))))</f>
        <v/>
      </c>
      <c r="H167" s="25"/>
      <c r="I167" s="25" t="str">
        <f ca="1">IF(B167="","",(C167*Thresholds_Rates!$C$12))</f>
        <v/>
      </c>
      <c r="J167" s="25"/>
      <c r="K167" s="4"/>
      <c r="L167" s="25" t="str">
        <f t="shared" ca="1" si="13"/>
        <v/>
      </c>
      <c r="M167" s="25" t="str">
        <f t="shared" ca="1" si="14"/>
        <v/>
      </c>
      <c r="N167" s="25" t="str">
        <f t="shared" ca="1" si="15"/>
        <v/>
      </c>
      <c r="O167" s="25" t="str">
        <f t="shared" ca="1" si="16"/>
        <v/>
      </c>
      <c r="P167" s="25" t="str">
        <f t="shared" ca="1" si="17"/>
        <v/>
      </c>
      <c r="R167" s="28"/>
      <c r="S167" s="29"/>
      <c r="T167" s="28"/>
      <c r="U167" s="29"/>
    </row>
    <row r="168" spans="2:21" x14ac:dyDescent="0.25">
      <c r="B168" s="4" t="str">
        <f ca="1">IFERROR(INDEX(Points_Lookup!$A:$A,MATCH($Z170,Points_Lookup!$AE:$AE,0)),"")</f>
        <v/>
      </c>
      <c r="C168" s="25" t="str">
        <f ca="1">IF(B168="","",IF($B$4="Apprenticeship",SUMIF(Points_Lookup!$AA:$AA,B168,Points_Lookup!$AC:$AC),IF(AND(OR($B$4="New Consultant Contract"),$B168&lt;&gt;""),INDEX(Points_Lookup!$K:$K,MATCH($B168,Points_Lookup!$J:$J,0)),IF(AND(OR($B$4="Clinical Lecturer / Medical Research Fellow",$B$4="Clinical Consultant - Old Contract (GP)"),$B168&lt;&gt;""),INDEX(Points_Lookup!$H:$H,MATCH($B168,Points_Lookup!$G:$G,0)),IF(AND(OR($B$4="APM Level 7",$B$4="R&amp;T Level 7",$B$4="APM Level 8"),B168&lt;&gt;""),INDEX(Points_Lookup!$E:$E,MATCH($Z168,Points_Lookup!$AE:$AE,0)),IF($B$4="R&amp;T Level 5 - Clinical Lecturers (Vet School)",SUMIF(Points_Lookup!$M:$M,$B168,Points_Lookup!$P:$P),IF($B$4="R&amp;T Level 6 - Clinical Associate Professors and Clinical Readers (Vet School)",SUMIF(Points_Lookup!$T:$T,$B168,Points_Lookup!$W:$W),IFERROR(INDEX(Points_Lookup!$B:$B,MATCH($Z168,Points_Lookup!$AE:$AE,0)),""))))))))</f>
        <v/>
      </c>
      <c r="D168" s="36"/>
      <c r="E168" s="25" t="str">
        <f ca="1">IF($B168="","",IF(AND($B$4="Salary Points 3 to 57",B168&lt;Thresholds_Rates!$C$16),"-",IF(SUMIF(Grades!$A:$A,$B$4,Grades!$BO:$BO)=0,"-",IF(AND($B$4="Salary Points 3 to 57",B168&gt;=Thresholds_Rates!$C$16),$C168*Thresholds_Rates!$F$15,IF(AND(OR($B$4="New Consultant Contract"),$B168&lt;&gt;""),$C168*Thresholds_Rates!$F$15,IF(AND(OR($B$4="Clinical Lecturer / Medical Research Fellow",$B$4="Clinical Consultant - Old Contract (GP)"),$B168&lt;&gt;""),$C168*Thresholds_Rates!$F$15,IF(OR($B$4="APM Level 7",$B$4="R&amp;T Level 7"),$C168*Thresholds_Rates!$F$15,IF(SUMIF(Grades!$A:$A,$B$4,Grades!$BO:$BO)=1,$C168*Thresholds_Rates!$F$15,""))))))))</f>
        <v/>
      </c>
      <c r="F168" s="25" t="str">
        <f ca="1">IF(B168="","",IF($B$4="Salary Points 1 to 57","-",IF(SUMIF(Grades!$A:$A,$B$4,Grades!$BP:$BP)=0,"-",IF(AND(OR($B$4="New Consultant Contract"),$B168&lt;&gt;""),$C168*Thresholds_Rates!$F$16,IF(AND(OR($B$4="Clinical Lecturer / Medical Research Fellow",$B$4="Clinical Consultant - Old Contract (GP)"),$B168&lt;&gt;""),$C168*Thresholds_Rates!$F$16,IF(AND(OR($B$4="APM Level 7",$B$4="R&amp;T Level 7"),E168&lt;&gt;""),$C168*Thresholds_Rates!$F$16,IF(SUMIF(Grades!$A:$A,$B$4,Grades!$BP:$BP)=1,$C168*Thresholds_Rates!$F$16,"")))))))</f>
        <v/>
      </c>
      <c r="G168" s="25" t="str">
        <f ca="1">IF(B168="","",IF(SUMIF(Grades!$A:$A,$B$4,Grades!$BQ:$BQ)=0,"-",IF(AND($B$4="Salary Points 1 to 57",B168&gt;Thresholds_Rates!$C$17),"-",IF(AND($B$4="Salary Points 1 to 57",B168&lt;=Thresholds_Rates!$C$17),$C168*Thresholds_Rates!$F$17,IF(AND(OR($B$4="New Consultant Contract"),$B168&lt;&gt;""),$C168*Thresholds_Rates!$F$17,IF(AND(OR($B$4="Clinical Lecturer / Medical Research Fellow",$B$4="Clinical Consultant - Old Contract (GP)"),$B168&lt;&gt;""),$C168*Thresholds_Rates!$F$17,IF(AND(OR($B$4="APM Level 7",$B$4="R&amp;T Level 7"),F168&lt;&gt;""),$C168*Thresholds_Rates!$F$17,IF(SUMIF(Grades!$A:$A,$B$4,Grades!$BQ:$BQ)=1,$C168*Thresholds_Rates!$F$17,""))))))))</f>
        <v/>
      </c>
      <c r="H168" s="25"/>
      <c r="I168" s="25" t="str">
        <f ca="1">IF(B168="","",(C168*Thresholds_Rates!$C$12))</f>
        <v/>
      </c>
      <c r="J168" s="25"/>
      <c r="K168" s="4"/>
      <c r="L168" s="25" t="str">
        <f t="shared" ca="1" si="13"/>
        <v/>
      </c>
      <c r="M168" s="25" t="str">
        <f t="shared" ca="1" si="14"/>
        <v/>
      </c>
      <c r="N168" s="25" t="str">
        <f t="shared" ca="1" si="15"/>
        <v/>
      </c>
      <c r="O168" s="25" t="str">
        <f t="shared" ca="1" si="16"/>
        <v/>
      </c>
      <c r="P168" s="25" t="str">
        <f t="shared" ca="1" si="17"/>
        <v/>
      </c>
      <c r="R168" s="28"/>
      <c r="S168" s="29"/>
      <c r="T168" s="28"/>
      <c r="U168" s="29"/>
    </row>
    <row r="169" spans="2:21" x14ac:dyDescent="0.25">
      <c r="B169" s="4" t="str">
        <f ca="1">IFERROR(INDEX(Points_Lookup!$A:$A,MATCH($Z171,Points_Lookup!$AE:$AE,0)),"")</f>
        <v/>
      </c>
      <c r="C169" s="25" t="str">
        <f ca="1">IF(B169="","",IF($B$4="Apprenticeship",SUMIF(Points_Lookup!$AA:$AA,B169,Points_Lookup!$AC:$AC),IF(AND(OR($B$4="New Consultant Contract"),$B169&lt;&gt;""),INDEX(Points_Lookup!$K:$K,MATCH($B169,Points_Lookup!$J:$J,0)),IF(AND(OR($B$4="Clinical Lecturer / Medical Research Fellow",$B$4="Clinical Consultant - Old Contract (GP)"),$B169&lt;&gt;""),INDEX(Points_Lookup!$H:$H,MATCH($B169,Points_Lookup!$G:$G,0)),IF(AND(OR($B$4="APM Level 7",$B$4="R&amp;T Level 7",$B$4="APM Level 8"),B169&lt;&gt;""),INDEX(Points_Lookup!$E:$E,MATCH($Z169,Points_Lookup!$AE:$AE,0)),IF($B$4="R&amp;T Level 5 - Clinical Lecturers (Vet School)",SUMIF(Points_Lookup!$M:$M,$B169,Points_Lookup!$P:$P),IF($B$4="R&amp;T Level 6 - Clinical Associate Professors and Clinical Readers (Vet School)",SUMIF(Points_Lookup!$T:$T,$B169,Points_Lookup!$W:$W),IFERROR(INDEX(Points_Lookup!$B:$B,MATCH($Z169,Points_Lookup!$AE:$AE,0)),""))))))))</f>
        <v/>
      </c>
      <c r="D169" s="36"/>
      <c r="E169" s="25" t="str">
        <f ca="1">IF($B169="","",IF(AND($B$4="Salary Points 3 to 57",B169&lt;Thresholds_Rates!$C$16),"-",IF(SUMIF(Grades!$A:$A,$B$4,Grades!$BO:$BO)=0,"-",IF(AND($B$4="Salary Points 3 to 57",B169&gt;=Thresholds_Rates!$C$16),$C169*Thresholds_Rates!$F$15,IF(AND(OR($B$4="New Consultant Contract"),$B169&lt;&gt;""),$C169*Thresholds_Rates!$F$15,IF(AND(OR($B$4="Clinical Lecturer / Medical Research Fellow",$B$4="Clinical Consultant - Old Contract (GP)"),$B169&lt;&gt;""),$C169*Thresholds_Rates!$F$15,IF(OR($B$4="APM Level 7",$B$4="R&amp;T Level 7"),$C169*Thresholds_Rates!$F$15,IF(SUMIF(Grades!$A:$A,$B$4,Grades!$BO:$BO)=1,$C169*Thresholds_Rates!$F$15,""))))))))</f>
        <v/>
      </c>
      <c r="F169" s="25" t="str">
        <f ca="1">IF(B169="","",IF($B$4="Salary Points 1 to 57","-",IF(SUMIF(Grades!$A:$A,$B$4,Grades!$BP:$BP)=0,"-",IF(AND(OR($B$4="New Consultant Contract"),$B169&lt;&gt;""),$C169*Thresholds_Rates!$F$16,IF(AND(OR($B$4="Clinical Lecturer / Medical Research Fellow",$B$4="Clinical Consultant - Old Contract (GP)"),$B169&lt;&gt;""),$C169*Thresholds_Rates!$F$16,IF(AND(OR($B$4="APM Level 7",$B$4="R&amp;T Level 7"),E169&lt;&gt;""),$C169*Thresholds_Rates!$F$16,IF(SUMIF(Grades!$A:$A,$B$4,Grades!$BP:$BP)=1,$C169*Thresholds_Rates!$F$16,"")))))))</f>
        <v/>
      </c>
      <c r="G169" s="25" t="str">
        <f ca="1">IF(B169="","",IF(SUMIF(Grades!$A:$A,$B$4,Grades!$BQ:$BQ)=0,"-",IF(AND($B$4="Salary Points 1 to 57",B169&gt;Thresholds_Rates!$C$17),"-",IF(AND($B$4="Salary Points 1 to 57",B169&lt;=Thresholds_Rates!$C$17),$C169*Thresholds_Rates!$F$17,IF(AND(OR($B$4="New Consultant Contract"),$B169&lt;&gt;""),$C169*Thresholds_Rates!$F$17,IF(AND(OR($B$4="Clinical Lecturer / Medical Research Fellow",$B$4="Clinical Consultant - Old Contract (GP)"),$B169&lt;&gt;""),$C169*Thresholds_Rates!$F$17,IF(AND(OR($B$4="APM Level 7",$B$4="R&amp;T Level 7"),F169&lt;&gt;""),$C169*Thresholds_Rates!$F$17,IF(SUMIF(Grades!$A:$A,$B$4,Grades!$BQ:$BQ)=1,$C169*Thresholds_Rates!$F$17,""))))))))</f>
        <v/>
      </c>
      <c r="H169" s="25"/>
      <c r="I169" s="25" t="str">
        <f ca="1">IF(B169="","",(C169*Thresholds_Rates!$C$12))</f>
        <v/>
      </c>
      <c r="J169" s="25"/>
      <c r="K169" s="4"/>
      <c r="L169" s="25" t="str">
        <f t="shared" ca="1" si="13"/>
        <v/>
      </c>
      <c r="M169" s="25" t="str">
        <f t="shared" ca="1" si="14"/>
        <v/>
      </c>
      <c r="N169" s="25" t="str">
        <f t="shared" ca="1" si="15"/>
        <v/>
      </c>
      <c r="O169" s="25" t="str">
        <f t="shared" ca="1" si="16"/>
        <v/>
      </c>
      <c r="P169" s="25" t="str">
        <f t="shared" ca="1" si="17"/>
        <v/>
      </c>
      <c r="R169" s="28"/>
      <c r="S169" s="29"/>
      <c r="T169" s="28"/>
      <c r="U169" s="29"/>
    </row>
    <row r="170" spans="2:21" x14ac:dyDescent="0.25">
      <c r="B170" s="4" t="str">
        <f ca="1">IFERROR(INDEX(Points_Lookup!$A:$A,MATCH($Z172,Points_Lookup!$AE:$AE,0)),"")</f>
        <v/>
      </c>
      <c r="C170" s="25" t="str">
        <f ca="1">IF(B170="","",IF($B$4="Apprenticeship",SUMIF(Points_Lookup!$AA:$AA,B170,Points_Lookup!$AC:$AC),IF(AND(OR($B$4="New Consultant Contract"),$B170&lt;&gt;""),INDEX(Points_Lookup!$K:$K,MATCH($B170,Points_Lookup!$J:$J,0)),IF(AND(OR($B$4="Clinical Lecturer / Medical Research Fellow",$B$4="Clinical Consultant - Old Contract (GP)"),$B170&lt;&gt;""),INDEX(Points_Lookup!$H:$H,MATCH($B170,Points_Lookup!$G:$G,0)),IF(AND(OR($B$4="APM Level 7",$B$4="R&amp;T Level 7",$B$4="APM Level 8"),B170&lt;&gt;""),INDEX(Points_Lookup!$E:$E,MATCH($Z170,Points_Lookup!$AE:$AE,0)),IF($B$4="R&amp;T Level 5 - Clinical Lecturers (Vet School)",SUMIF(Points_Lookup!$M:$M,$B170,Points_Lookup!$P:$P),IF($B$4="R&amp;T Level 6 - Clinical Associate Professors and Clinical Readers (Vet School)",SUMIF(Points_Lookup!$T:$T,$B170,Points_Lookup!$W:$W),IFERROR(INDEX(Points_Lookup!$B:$B,MATCH($Z170,Points_Lookup!$AE:$AE,0)),""))))))))</f>
        <v/>
      </c>
      <c r="D170" s="36"/>
      <c r="E170" s="25" t="str">
        <f ca="1">IF($B170="","",IF(AND($B$4="Salary Points 3 to 57",B170&lt;Thresholds_Rates!$C$16),"-",IF(SUMIF(Grades!$A:$A,$B$4,Grades!$BO:$BO)=0,"-",IF(AND($B$4="Salary Points 3 to 57",B170&gt;=Thresholds_Rates!$C$16),$C170*Thresholds_Rates!$F$15,IF(AND(OR($B$4="New Consultant Contract"),$B170&lt;&gt;""),$C170*Thresholds_Rates!$F$15,IF(AND(OR($B$4="Clinical Lecturer / Medical Research Fellow",$B$4="Clinical Consultant - Old Contract (GP)"),$B170&lt;&gt;""),$C170*Thresholds_Rates!$F$15,IF(OR($B$4="APM Level 7",$B$4="R&amp;T Level 7"),$C170*Thresholds_Rates!$F$15,IF(SUMIF(Grades!$A:$A,$B$4,Grades!$BO:$BO)=1,$C170*Thresholds_Rates!$F$15,""))))))))</f>
        <v/>
      </c>
      <c r="F170" s="25" t="str">
        <f ca="1">IF(B170="","",IF($B$4="Salary Points 1 to 57","-",IF(SUMIF(Grades!$A:$A,$B$4,Grades!$BP:$BP)=0,"-",IF(AND(OR($B$4="New Consultant Contract"),$B170&lt;&gt;""),$C170*Thresholds_Rates!$F$16,IF(AND(OR($B$4="Clinical Lecturer / Medical Research Fellow",$B$4="Clinical Consultant - Old Contract (GP)"),$B170&lt;&gt;""),$C170*Thresholds_Rates!$F$16,IF(AND(OR($B$4="APM Level 7",$B$4="R&amp;T Level 7"),E170&lt;&gt;""),$C170*Thresholds_Rates!$F$16,IF(SUMIF(Grades!$A:$A,$B$4,Grades!$BP:$BP)=1,$C170*Thresholds_Rates!$F$16,"")))))))</f>
        <v/>
      </c>
      <c r="G170" s="25" t="str">
        <f ca="1">IF(B170="","",IF(SUMIF(Grades!$A:$A,$B$4,Grades!$BQ:$BQ)=0,"-",IF(AND($B$4="Salary Points 1 to 57",B170&gt;Thresholds_Rates!$C$17),"-",IF(AND($B$4="Salary Points 1 to 57",B170&lt;=Thresholds_Rates!$C$17),$C170*Thresholds_Rates!$F$17,IF(AND(OR($B$4="New Consultant Contract"),$B170&lt;&gt;""),$C170*Thresholds_Rates!$F$17,IF(AND(OR($B$4="Clinical Lecturer / Medical Research Fellow",$B$4="Clinical Consultant - Old Contract (GP)"),$B170&lt;&gt;""),$C170*Thresholds_Rates!$F$17,IF(AND(OR($B$4="APM Level 7",$B$4="R&amp;T Level 7"),F170&lt;&gt;""),$C170*Thresholds_Rates!$F$17,IF(SUMIF(Grades!$A:$A,$B$4,Grades!$BQ:$BQ)=1,$C170*Thresholds_Rates!$F$17,""))))))))</f>
        <v/>
      </c>
      <c r="H170" s="25"/>
      <c r="I170" s="25" t="str">
        <f ca="1">IF(B170="","",(C170*Thresholds_Rates!$C$12))</f>
        <v/>
      </c>
      <c r="J170" s="25"/>
      <c r="K170" s="4"/>
      <c r="L170" s="25" t="str">
        <f t="shared" ca="1" si="13"/>
        <v/>
      </c>
      <c r="M170" s="25" t="str">
        <f t="shared" ca="1" si="14"/>
        <v/>
      </c>
      <c r="N170" s="25" t="str">
        <f t="shared" ca="1" si="15"/>
        <v/>
      </c>
      <c r="O170" s="25" t="str">
        <f t="shared" ca="1" si="16"/>
        <v/>
      </c>
      <c r="P170" s="25" t="str">
        <f t="shared" ca="1" si="17"/>
        <v/>
      </c>
      <c r="R170" s="28"/>
      <c r="S170" s="29"/>
      <c r="T170" s="28"/>
      <c r="U170" s="29"/>
    </row>
    <row r="171" spans="2:21" x14ac:dyDescent="0.25">
      <c r="B171" s="4" t="str">
        <f ca="1">IFERROR(INDEX(Points_Lookup!$A:$A,MATCH($Z173,Points_Lookup!$AE:$AE,0)),"")</f>
        <v/>
      </c>
      <c r="C171" s="25" t="str">
        <f ca="1">IF(B171="","",IF($B$4="Apprenticeship",SUMIF(Points_Lookup!$AA:$AA,B171,Points_Lookup!$AC:$AC),IF(AND(OR($B$4="New Consultant Contract"),$B171&lt;&gt;""),INDEX(Points_Lookup!$K:$K,MATCH($B171,Points_Lookup!$J:$J,0)),IF(AND(OR($B$4="Clinical Lecturer / Medical Research Fellow",$B$4="Clinical Consultant - Old Contract (GP)"),$B171&lt;&gt;""),INDEX(Points_Lookup!$H:$H,MATCH($B171,Points_Lookup!$G:$G,0)),IF(AND(OR($B$4="APM Level 7",$B$4="R&amp;T Level 7",$B$4="APM Level 8"),B171&lt;&gt;""),INDEX(Points_Lookup!$E:$E,MATCH($Z171,Points_Lookup!$AE:$AE,0)),IF($B$4="R&amp;T Level 5 - Clinical Lecturers (Vet School)",SUMIF(Points_Lookup!$M:$M,$B171,Points_Lookup!$P:$P),IF($B$4="R&amp;T Level 6 - Clinical Associate Professors and Clinical Readers (Vet School)",SUMIF(Points_Lookup!$T:$T,$B171,Points_Lookup!$W:$W),IFERROR(INDEX(Points_Lookup!$B:$B,MATCH($Z171,Points_Lookup!$AE:$AE,0)),""))))))))</f>
        <v/>
      </c>
      <c r="D171" s="36"/>
      <c r="E171" s="25" t="str">
        <f ca="1">IF($B171="","",IF(AND($B$4="Salary Points 3 to 57",B171&lt;Thresholds_Rates!$C$16),"-",IF(SUMIF(Grades!$A:$A,$B$4,Grades!$BO:$BO)=0,"-",IF(AND($B$4="Salary Points 3 to 57",B171&gt;=Thresholds_Rates!$C$16),$C171*Thresholds_Rates!$F$15,IF(AND(OR($B$4="New Consultant Contract"),$B171&lt;&gt;""),$C171*Thresholds_Rates!$F$15,IF(AND(OR($B$4="Clinical Lecturer / Medical Research Fellow",$B$4="Clinical Consultant - Old Contract (GP)"),$B171&lt;&gt;""),$C171*Thresholds_Rates!$F$15,IF(OR($B$4="APM Level 7",$B$4="R&amp;T Level 7"),$C171*Thresholds_Rates!$F$15,IF(SUMIF(Grades!$A:$A,$B$4,Grades!$BO:$BO)=1,$C171*Thresholds_Rates!$F$15,""))))))))</f>
        <v/>
      </c>
      <c r="F171" s="25" t="str">
        <f ca="1">IF(B171="","",IF($B$4="Salary Points 1 to 57","-",IF(SUMIF(Grades!$A:$A,$B$4,Grades!$BP:$BP)=0,"-",IF(AND(OR($B$4="New Consultant Contract"),$B171&lt;&gt;""),$C171*Thresholds_Rates!$F$16,IF(AND(OR($B$4="Clinical Lecturer / Medical Research Fellow",$B$4="Clinical Consultant - Old Contract (GP)"),$B171&lt;&gt;""),$C171*Thresholds_Rates!$F$16,IF(AND(OR($B$4="APM Level 7",$B$4="R&amp;T Level 7"),E171&lt;&gt;""),$C171*Thresholds_Rates!$F$16,IF(SUMIF(Grades!$A:$A,$B$4,Grades!$BP:$BP)=1,$C171*Thresholds_Rates!$F$16,"")))))))</f>
        <v/>
      </c>
      <c r="G171" s="25" t="str">
        <f ca="1">IF(B171="","",IF(SUMIF(Grades!$A:$A,$B$4,Grades!$BQ:$BQ)=0,"-",IF(AND($B$4="Salary Points 1 to 57",B171&gt;Thresholds_Rates!$C$17),"-",IF(AND($B$4="Salary Points 1 to 57",B171&lt;=Thresholds_Rates!$C$17),$C171*Thresholds_Rates!$F$17,IF(AND(OR($B$4="New Consultant Contract"),$B171&lt;&gt;""),$C171*Thresholds_Rates!$F$17,IF(AND(OR($B$4="Clinical Lecturer / Medical Research Fellow",$B$4="Clinical Consultant - Old Contract (GP)"),$B171&lt;&gt;""),$C171*Thresholds_Rates!$F$17,IF(AND(OR($B$4="APM Level 7",$B$4="R&amp;T Level 7"),F171&lt;&gt;""),$C171*Thresholds_Rates!$F$17,IF(SUMIF(Grades!$A:$A,$B$4,Grades!$BQ:$BQ)=1,$C171*Thresholds_Rates!$F$17,""))))))))</f>
        <v/>
      </c>
      <c r="H171" s="25"/>
      <c r="I171" s="25" t="str">
        <f ca="1">IF(B171="","",(C171*Thresholds_Rates!$C$12))</f>
        <v/>
      </c>
      <c r="J171" s="25"/>
      <c r="K171" s="4"/>
      <c r="L171" s="25" t="str">
        <f t="shared" ca="1" si="13"/>
        <v/>
      </c>
      <c r="M171" s="25" t="str">
        <f t="shared" ca="1" si="14"/>
        <v/>
      </c>
      <c r="N171" s="25" t="str">
        <f t="shared" ca="1" si="15"/>
        <v/>
      </c>
      <c r="O171" s="25" t="str">
        <f t="shared" ca="1" si="16"/>
        <v/>
      </c>
      <c r="P171" s="25" t="str">
        <f t="shared" ca="1" si="17"/>
        <v/>
      </c>
      <c r="R171" s="28"/>
      <c r="S171" s="29"/>
      <c r="T171" s="28"/>
      <c r="U171" s="29"/>
    </row>
    <row r="172" spans="2:21" x14ac:dyDescent="0.25">
      <c r="B172" s="4" t="str">
        <f ca="1">IFERROR(INDEX(Points_Lookup!$A:$A,MATCH($Z174,Points_Lookup!$AE:$AE,0)),"")</f>
        <v/>
      </c>
      <c r="C172" s="25" t="str">
        <f ca="1">IF(B172="","",IF($B$4="Apprenticeship",SUMIF(Points_Lookup!$AA:$AA,B172,Points_Lookup!$AC:$AC),IF(AND(OR($B$4="New Consultant Contract"),$B172&lt;&gt;""),INDEX(Points_Lookup!$K:$K,MATCH($B172,Points_Lookup!$J:$J,0)),IF(AND(OR($B$4="Clinical Lecturer / Medical Research Fellow",$B$4="Clinical Consultant - Old Contract (GP)"),$B172&lt;&gt;""),INDEX(Points_Lookup!$H:$H,MATCH($B172,Points_Lookup!$G:$G,0)),IF(AND(OR($B$4="APM Level 7",$B$4="R&amp;T Level 7",$B$4="APM Level 8"),B172&lt;&gt;""),INDEX(Points_Lookup!$E:$E,MATCH($Z172,Points_Lookup!$AE:$AE,0)),IF($B$4="R&amp;T Level 5 - Clinical Lecturers (Vet School)",SUMIF(Points_Lookup!$M:$M,$B172,Points_Lookup!$P:$P),IF($B$4="R&amp;T Level 6 - Clinical Associate Professors and Clinical Readers (Vet School)",SUMIF(Points_Lookup!$T:$T,$B172,Points_Lookup!$W:$W),IFERROR(INDEX(Points_Lookup!$B:$B,MATCH($Z172,Points_Lookup!$AE:$AE,0)),""))))))))</f>
        <v/>
      </c>
      <c r="D172" s="36"/>
      <c r="E172" s="25" t="str">
        <f ca="1">IF($B172="","",IF(AND($B$4="Salary Points 3 to 57",B172&lt;Thresholds_Rates!$C$16),"-",IF(SUMIF(Grades!$A:$A,$B$4,Grades!$BO:$BO)=0,"-",IF(AND($B$4="Salary Points 3 to 57",B172&gt;=Thresholds_Rates!$C$16),$C172*Thresholds_Rates!$F$15,IF(AND(OR($B$4="New Consultant Contract"),$B172&lt;&gt;""),$C172*Thresholds_Rates!$F$15,IF(AND(OR($B$4="Clinical Lecturer / Medical Research Fellow",$B$4="Clinical Consultant - Old Contract (GP)"),$B172&lt;&gt;""),$C172*Thresholds_Rates!$F$15,IF(OR($B$4="APM Level 7",$B$4="R&amp;T Level 7"),$C172*Thresholds_Rates!$F$15,IF(SUMIF(Grades!$A:$A,$B$4,Grades!$BO:$BO)=1,$C172*Thresholds_Rates!$F$15,""))))))))</f>
        <v/>
      </c>
      <c r="F172" s="25" t="str">
        <f ca="1">IF(B172="","",IF($B$4="Salary Points 1 to 57","-",IF(SUMIF(Grades!$A:$A,$B$4,Grades!$BP:$BP)=0,"-",IF(AND(OR($B$4="New Consultant Contract"),$B172&lt;&gt;""),$C172*Thresholds_Rates!$F$16,IF(AND(OR($B$4="Clinical Lecturer / Medical Research Fellow",$B$4="Clinical Consultant - Old Contract (GP)"),$B172&lt;&gt;""),$C172*Thresholds_Rates!$F$16,IF(AND(OR($B$4="APM Level 7",$B$4="R&amp;T Level 7"),E172&lt;&gt;""),$C172*Thresholds_Rates!$F$16,IF(SUMIF(Grades!$A:$A,$B$4,Grades!$BP:$BP)=1,$C172*Thresholds_Rates!$F$16,"")))))))</f>
        <v/>
      </c>
      <c r="G172" s="25" t="str">
        <f ca="1">IF(B172="","",IF(SUMIF(Grades!$A:$A,$B$4,Grades!$BQ:$BQ)=0,"-",IF(AND($B$4="Salary Points 1 to 57",B172&gt;Thresholds_Rates!$C$17),"-",IF(AND($B$4="Salary Points 1 to 57",B172&lt;=Thresholds_Rates!$C$17),$C172*Thresholds_Rates!$F$17,IF(AND(OR($B$4="New Consultant Contract"),$B172&lt;&gt;""),$C172*Thresholds_Rates!$F$17,IF(AND(OR($B$4="Clinical Lecturer / Medical Research Fellow",$B$4="Clinical Consultant - Old Contract (GP)"),$B172&lt;&gt;""),$C172*Thresholds_Rates!$F$17,IF(AND(OR($B$4="APM Level 7",$B$4="R&amp;T Level 7"),F172&lt;&gt;""),$C172*Thresholds_Rates!$F$17,IF(SUMIF(Grades!$A:$A,$B$4,Grades!$BQ:$BQ)=1,$C172*Thresholds_Rates!$F$17,""))))))))</f>
        <v/>
      </c>
      <c r="H172" s="25"/>
      <c r="I172" s="25" t="str">
        <f ca="1">IF(B172="","",(C172*Thresholds_Rates!$C$12))</f>
        <v/>
      </c>
      <c r="J172" s="25"/>
      <c r="K172" s="4"/>
      <c r="L172" s="25" t="str">
        <f t="shared" ca="1" si="13"/>
        <v/>
      </c>
      <c r="M172" s="25" t="str">
        <f t="shared" ca="1" si="14"/>
        <v/>
      </c>
      <c r="N172" s="25" t="str">
        <f t="shared" ca="1" si="15"/>
        <v/>
      </c>
      <c r="O172" s="25" t="str">
        <f t="shared" ca="1" si="16"/>
        <v/>
      </c>
      <c r="P172" s="25" t="str">
        <f t="shared" ca="1" si="17"/>
        <v/>
      </c>
      <c r="R172" s="28"/>
      <c r="S172" s="29"/>
      <c r="T172" s="28"/>
      <c r="U172" s="29"/>
    </row>
    <row r="173" spans="2:21" x14ac:dyDescent="0.25">
      <c r="B173" s="4" t="str">
        <f ca="1">IFERROR(INDEX(Points_Lookup!$A:$A,MATCH($Z175,Points_Lookup!$AE:$AE,0)),"")</f>
        <v/>
      </c>
      <c r="C173" s="25" t="str">
        <f ca="1">IF(B173="","",IF($B$4="Apprenticeship",SUMIF(Points_Lookup!$AA:$AA,B173,Points_Lookup!$AC:$AC),IF(AND(OR($B$4="New Consultant Contract"),$B173&lt;&gt;""),INDEX(Points_Lookup!$K:$K,MATCH($B173,Points_Lookup!$J:$J,0)),IF(AND(OR($B$4="Clinical Lecturer / Medical Research Fellow",$B$4="Clinical Consultant - Old Contract (GP)"),$B173&lt;&gt;""),INDEX(Points_Lookup!$H:$H,MATCH($B173,Points_Lookup!$G:$G,0)),IF(AND(OR($B$4="APM Level 7",$B$4="R&amp;T Level 7",$B$4="APM Level 8"),B173&lt;&gt;""),INDEX(Points_Lookup!$E:$E,MATCH($Z173,Points_Lookup!$AE:$AE,0)),IF($B$4="R&amp;T Level 5 - Clinical Lecturers (Vet School)",SUMIF(Points_Lookup!$M:$M,$B173,Points_Lookup!$P:$P),IF($B$4="R&amp;T Level 6 - Clinical Associate Professors and Clinical Readers (Vet School)",SUMIF(Points_Lookup!$T:$T,$B173,Points_Lookup!$W:$W),IFERROR(INDEX(Points_Lookup!$B:$B,MATCH($Z173,Points_Lookup!$AE:$AE,0)),""))))))))</f>
        <v/>
      </c>
      <c r="D173" s="36"/>
      <c r="E173" s="25" t="str">
        <f ca="1">IF($B173="","",IF(AND($B$4="Salary Points 3 to 57",B173&lt;Thresholds_Rates!$C$16),"-",IF(SUMIF(Grades!$A:$A,$B$4,Grades!$BO:$BO)=0,"-",IF(AND($B$4="Salary Points 3 to 57",B173&gt;=Thresholds_Rates!$C$16),$C173*Thresholds_Rates!$F$15,IF(AND(OR($B$4="New Consultant Contract"),$B173&lt;&gt;""),$C173*Thresholds_Rates!$F$15,IF(AND(OR($B$4="Clinical Lecturer / Medical Research Fellow",$B$4="Clinical Consultant - Old Contract (GP)"),$B173&lt;&gt;""),$C173*Thresholds_Rates!$F$15,IF(OR($B$4="APM Level 7",$B$4="R&amp;T Level 7"),$C173*Thresholds_Rates!$F$15,IF(SUMIF(Grades!$A:$A,$B$4,Grades!$BO:$BO)=1,$C173*Thresholds_Rates!$F$15,""))))))))</f>
        <v/>
      </c>
      <c r="F173" s="25" t="str">
        <f ca="1">IF(B173="","",IF($B$4="Salary Points 1 to 57","-",IF(SUMIF(Grades!$A:$A,$B$4,Grades!$BP:$BP)=0,"-",IF(AND(OR($B$4="New Consultant Contract"),$B173&lt;&gt;""),$C173*Thresholds_Rates!$F$16,IF(AND(OR($B$4="Clinical Lecturer / Medical Research Fellow",$B$4="Clinical Consultant - Old Contract (GP)"),$B173&lt;&gt;""),$C173*Thresholds_Rates!$F$16,IF(AND(OR($B$4="APM Level 7",$B$4="R&amp;T Level 7"),E173&lt;&gt;""),$C173*Thresholds_Rates!$F$16,IF(SUMIF(Grades!$A:$A,$B$4,Grades!$BP:$BP)=1,$C173*Thresholds_Rates!$F$16,"")))))))</f>
        <v/>
      </c>
      <c r="G173" s="25" t="str">
        <f ca="1">IF(B173="","",IF(SUMIF(Grades!$A:$A,$B$4,Grades!$BQ:$BQ)=0,"-",IF(AND($B$4="Salary Points 1 to 57",B173&gt;Thresholds_Rates!$C$17),"-",IF(AND($B$4="Salary Points 1 to 57",B173&lt;=Thresholds_Rates!$C$17),$C173*Thresholds_Rates!$F$17,IF(AND(OR($B$4="New Consultant Contract"),$B173&lt;&gt;""),$C173*Thresholds_Rates!$F$17,IF(AND(OR($B$4="Clinical Lecturer / Medical Research Fellow",$B$4="Clinical Consultant - Old Contract (GP)"),$B173&lt;&gt;""),$C173*Thresholds_Rates!$F$17,IF(AND(OR($B$4="APM Level 7",$B$4="R&amp;T Level 7"),F173&lt;&gt;""),$C173*Thresholds_Rates!$F$17,IF(SUMIF(Grades!$A:$A,$B$4,Grades!$BQ:$BQ)=1,$C173*Thresholds_Rates!$F$17,""))))))))</f>
        <v/>
      </c>
      <c r="H173" s="25"/>
      <c r="I173" s="25" t="str">
        <f ca="1">IF(B173="","",(C173*Thresholds_Rates!$C$12))</f>
        <v/>
      </c>
      <c r="J173" s="25"/>
      <c r="K173" s="4"/>
      <c r="L173" s="25" t="str">
        <f t="shared" ca="1" si="13"/>
        <v/>
      </c>
      <c r="M173" s="25" t="str">
        <f t="shared" ca="1" si="14"/>
        <v/>
      </c>
      <c r="N173" s="25" t="str">
        <f t="shared" ca="1" si="15"/>
        <v/>
      </c>
      <c r="O173" s="25" t="str">
        <f t="shared" ca="1" si="16"/>
        <v/>
      </c>
      <c r="P173" s="25" t="str">
        <f t="shared" ca="1" si="17"/>
        <v/>
      </c>
      <c r="R173" s="28"/>
      <c r="S173" s="29"/>
      <c r="T173" s="28"/>
      <c r="U173" s="29"/>
    </row>
    <row r="174" spans="2:21" x14ac:dyDescent="0.25">
      <c r="E174" s="25" t="str">
        <f>IF($B174="","",IF(AND($B$4="Salary Points 3 to 57",B174&lt;Thresholds_Rates!$C$16),"-",IF(SUMIF(Grades!$A:$A,$B$4,Grades!$BO:$BO)=0,"-",IF(AND($B$4="Salary Points 3 to 57",B174&gt;=Thresholds_Rates!$C$16),$C174*Thresholds_Rates!$F$15,IF(AND(OR($B$4="New Consultant Contract"),$B174&lt;&gt;""),$C174*Thresholds_Rates!$F$15,IF(AND(OR($B$4="Clinical Lecturer / Medical Research Fellow",$B$4="Clinical Consultant - Old Contract (GP)"),$B174&lt;&gt;""),$C174*Thresholds_Rates!$F$15,IF(OR($B$4="APM Level 7",$B$4="R&amp;T Level 7"),$C174*Thresholds_Rates!$F$15,IF(SUMIF(Grades!$A:$A,$B$4,Grades!$BO:$BO)=1,$C174*Thresholds_Rates!$F$15,""))))))))</f>
        <v/>
      </c>
      <c r="L174" s="25" t="str">
        <f t="shared" ref="L174:L200" si="18">IF(B174="","",IF(E174="-","-",$C174+$H174+E174))</f>
        <v/>
      </c>
      <c r="M174" s="25" t="str">
        <f>IF(B174="","",IF(F174="-","-",$C174+$H174+F174))</f>
        <v/>
      </c>
      <c r="N174" s="25" t="str">
        <f>IF(B174="","",IF(G174="-","-",$C174+$H174+G174))</f>
        <v/>
      </c>
      <c r="O174" s="25" t="str">
        <f t="shared" ref="O174:O200" si="19">IF(B174="","",IF(J174="-","-",$C174+$H174+J174))</f>
        <v/>
      </c>
      <c r="P174" s="25" t="str">
        <f t="shared" ref="P174:P200" si="20">IF(B174="","",C174+H174)</f>
        <v/>
      </c>
    </row>
    <row r="175" spans="2:21" x14ac:dyDescent="0.25">
      <c r="E175" s="25" t="str">
        <f>IF($B175="","",IF(AND($B$4="Salary Points 3 to 57",B175&lt;Thresholds_Rates!$C$16),"-",IF(SUMIF(Grades!$A:$A,$B$4,Grades!$BO:$BO)=0,"-",IF(AND($B$4="Salary Points 3 to 57",B175&gt;=Thresholds_Rates!$C$16),$C175*Thresholds_Rates!$F$15,IF(AND(OR($B$4="New Consultant Contract"),$B175&lt;&gt;""),$C175*Thresholds_Rates!$F$15,IF(AND(OR($B$4="Clinical Lecturer / Medical Research Fellow",$B$4="Clinical Consultant - Old Contract (GP)"),$B175&lt;&gt;""),$C175*Thresholds_Rates!$F$15,IF(OR($B$4="APM Level 7",$B$4="R&amp;T Level 7"),$C175*Thresholds_Rates!$F$15,IF(SUMIF(Grades!$A:$A,$B$4,Grades!$BO:$BO)=1,$C175*Thresholds_Rates!$F$15,""))))))))</f>
        <v/>
      </c>
      <c r="L175" s="25" t="str">
        <f t="shared" si="18"/>
        <v/>
      </c>
      <c r="M175" s="25" t="str">
        <f t="shared" ref="M175:M200" si="21">IF(B175="","",IF(F175="-","-",$C175+$H175+F175))</f>
        <v/>
      </c>
      <c r="N175" s="25" t="str">
        <f t="shared" ref="N175:N200" si="22">IF(B175="","",IF(G175="-","-",$C175+$H175+G175))</f>
        <v/>
      </c>
      <c r="O175" s="25" t="str">
        <f t="shared" si="19"/>
        <v/>
      </c>
      <c r="P175" s="25" t="str">
        <f t="shared" si="20"/>
        <v/>
      </c>
    </row>
    <row r="176" spans="2:21" x14ac:dyDescent="0.25">
      <c r="E176" s="25" t="str">
        <f>IF($B176="","",IF(AND($B$4="Salary Points 3 to 57",B176&lt;Thresholds_Rates!$C$16),"-",IF(SUMIF(Grades!$A:$A,$B$4,Grades!$BO:$BO)=0,"-",IF(AND($B$4="Salary Points 3 to 57",B176&gt;=Thresholds_Rates!$C$16),$C176*Thresholds_Rates!$F$15,IF(AND(OR($B$4="New Consultant Contract"),$B176&lt;&gt;""),$C176*Thresholds_Rates!$F$15,IF(AND(OR($B$4="Clinical Lecturer / Medical Research Fellow",$B$4="Clinical Consultant - Old Contract (GP)"),$B176&lt;&gt;""),$C176*Thresholds_Rates!$F$15,IF(OR($B$4="APM Level 7",$B$4="R&amp;T Level 7"),$C176*Thresholds_Rates!$F$15,IF(SUMIF(Grades!$A:$A,$B$4,Grades!$BO:$BO)=1,$C176*Thresholds_Rates!$F$15,""))))))))</f>
        <v/>
      </c>
      <c r="L176" s="25" t="str">
        <f t="shared" si="18"/>
        <v/>
      </c>
      <c r="M176" s="25" t="str">
        <f t="shared" si="21"/>
        <v/>
      </c>
      <c r="N176" s="25" t="str">
        <f t="shared" si="22"/>
        <v/>
      </c>
      <c r="O176" s="25" t="str">
        <f t="shared" si="19"/>
        <v/>
      </c>
      <c r="P176" s="25" t="str">
        <f t="shared" si="20"/>
        <v/>
      </c>
    </row>
    <row r="177" spans="5:16" x14ac:dyDescent="0.25">
      <c r="E177" s="25" t="str">
        <f>IF($B177="","",IF(AND($B$4="Salary Points 3 to 57",B177&lt;Thresholds_Rates!$C$16),"-",IF(SUMIF(Grades!$A:$A,$B$4,Grades!$BO:$BO)=0,"-",IF(AND($B$4="Salary Points 3 to 57",B177&gt;=Thresholds_Rates!$C$16),$C177*Thresholds_Rates!$F$15,IF(AND(OR($B$4="New Consultant Contract"),$B177&lt;&gt;""),$C177*Thresholds_Rates!$F$15,IF(AND(OR($B$4="Clinical Lecturer / Medical Research Fellow",$B$4="Clinical Consultant - Old Contract (GP)"),$B177&lt;&gt;""),$C177*Thresholds_Rates!$F$15,IF(OR($B$4="APM Level 7",$B$4="R&amp;T Level 7"),$C177*Thresholds_Rates!$F$15,IF(SUMIF(Grades!$A:$A,$B$4,Grades!$BO:$BO)=1,$C177*Thresholds_Rates!$F$15,""))))))))</f>
        <v/>
      </c>
      <c r="L177" s="25" t="str">
        <f t="shared" si="18"/>
        <v/>
      </c>
      <c r="M177" s="25" t="str">
        <f t="shared" si="21"/>
        <v/>
      </c>
      <c r="N177" s="25" t="str">
        <f t="shared" si="22"/>
        <v/>
      </c>
      <c r="O177" s="25" t="str">
        <f t="shared" si="19"/>
        <v/>
      </c>
      <c r="P177" s="25" t="str">
        <f t="shared" si="20"/>
        <v/>
      </c>
    </row>
    <row r="178" spans="5:16" x14ac:dyDescent="0.25">
      <c r="E178" s="25" t="str">
        <f>IF($B178="","",IF(AND($B$4="Salary Points 3 to 57",B178&lt;Thresholds_Rates!$C$16),"-",IF(SUMIF(Grades!$A:$A,$B$4,Grades!$BO:$BO)=0,"-",IF(AND($B$4="Salary Points 3 to 57",B178&gt;=Thresholds_Rates!$C$16),$C178*Thresholds_Rates!$F$15,IF(AND(OR($B$4="New Consultant Contract"),$B178&lt;&gt;""),$C178*Thresholds_Rates!$F$15,IF(AND(OR($B$4="Clinical Lecturer / Medical Research Fellow",$B$4="Clinical Consultant - Old Contract (GP)"),$B178&lt;&gt;""),$C178*Thresholds_Rates!$F$15,IF(OR($B$4="APM Level 7",$B$4="R&amp;T Level 7"),$C178*Thresholds_Rates!$F$15,IF(SUMIF(Grades!$A:$A,$B$4,Grades!$BO:$BO)=1,$C178*Thresholds_Rates!$F$15,""))))))))</f>
        <v/>
      </c>
      <c r="L178" s="25" t="str">
        <f t="shared" si="18"/>
        <v/>
      </c>
      <c r="M178" s="25" t="str">
        <f t="shared" si="21"/>
        <v/>
      </c>
      <c r="N178" s="25" t="str">
        <f t="shared" si="22"/>
        <v/>
      </c>
      <c r="O178" s="25" t="str">
        <f t="shared" si="19"/>
        <v/>
      </c>
      <c r="P178" s="25" t="str">
        <f t="shared" si="20"/>
        <v/>
      </c>
    </row>
    <row r="179" spans="5:16" x14ac:dyDescent="0.25">
      <c r="E179" s="25" t="str">
        <f>IF($B179="","",IF(AND($B$4="Salary Points 3 to 57",B179&lt;Thresholds_Rates!$C$16),"-",IF(SUMIF(Grades!$A:$A,$B$4,Grades!$BO:$BO)=0,"-",IF(AND($B$4="Salary Points 3 to 57",B179&gt;=Thresholds_Rates!$C$16),$C179*Thresholds_Rates!$F$15,IF(AND(OR($B$4="New Consultant Contract"),$B179&lt;&gt;""),$C179*Thresholds_Rates!$F$15,IF(AND(OR($B$4="Clinical Lecturer / Medical Research Fellow",$B$4="Clinical Consultant - Old Contract (GP)"),$B179&lt;&gt;""),$C179*Thresholds_Rates!$F$15,IF(OR($B$4="APM Level 7",$B$4="R&amp;T Level 7"),$C179*Thresholds_Rates!$F$15,IF(SUMIF(Grades!$A:$A,$B$4,Grades!$BO:$BO)=1,$C179*Thresholds_Rates!$F$15,""))))))))</f>
        <v/>
      </c>
      <c r="L179" s="25" t="str">
        <f t="shared" si="18"/>
        <v/>
      </c>
      <c r="M179" s="25" t="str">
        <f t="shared" si="21"/>
        <v/>
      </c>
      <c r="N179" s="25" t="str">
        <f t="shared" si="22"/>
        <v/>
      </c>
      <c r="O179" s="25" t="str">
        <f t="shared" si="19"/>
        <v/>
      </c>
      <c r="P179" s="25" t="str">
        <f t="shared" si="20"/>
        <v/>
      </c>
    </row>
    <row r="180" spans="5:16" x14ac:dyDescent="0.25">
      <c r="E180" s="25" t="str">
        <f>IF($B180="","",IF(AND($B$4="Salary Points 3 to 57",B180&lt;Thresholds_Rates!$C$16),"-",IF(SUMIF(Grades!$A:$A,$B$4,Grades!$BO:$BO)=0,"-",IF(AND($B$4="Salary Points 3 to 57",B180&gt;=Thresholds_Rates!$C$16),$C180*Thresholds_Rates!$F$15,IF(AND(OR($B$4="New Consultant Contract"),$B180&lt;&gt;""),$C180*Thresholds_Rates!$F$15,IF(AND(OR($B$4="Clinical Lecturer / Medical Research Fellow",$B$4="Clinical Consultant - Old Contract (GP)"),$B180&lt;&gt;""),$C180*Thresholds_Rates!$F$15,IF(OR($B$4="APM Level 7",$B$4="R&amp;T Level 7"),$C180*Thresholds_Rates!$F$15,IF(SUMIF(Grades!$A:$A,$B$4,Grades!$BO:$BO)=1,$C180*Thresholds_Rates!$F$15,""))))))))</f>
        <v/>
      </c>
      <c r="L180" s="25" t="str">
        <f t="shared" si="18"/>
        <v/>
      </c>
      <c r="M180" s="25" t="str">
        <f t="shared" si="21"/>
        <v/>
      </c>
      <c r="N180" s="25" t="str">
        <f t="shared" si="22"/>
        <v/>
      </c>
      <c r="O180" s="25" t="str">
        <f t="shared" si="19"/>
        <v/>
      </c>
      <c r="P180" s="25" t="str">
        <f t="shared" si="20"/>
        <v/>
      </c>
    </row>
    <row r="181" spans="5:16" x14ac:dyDescent="0.25">
      <c r="E181" s="25" t="str">
        <f>IF($B181="","",IF(AND($B$4="Salary Points 3 to 57",B181&lt;Thresholds_Rates!$C$16),"-",IF(SUMIF(Grades!$A:$A,$B$4,Grades!$BO:$BO)=0,"-",IF(AND($B$4="Salary Points 3 to 57",B181&gt;=Thresholds_Rates!$C$16),$C181*Thresholds_Rates!$F$15,IF(AND(OR($B$4="New Consultant Contract"),$B181&lt;&gt;""),$C181*Thresholds_Rates!$F$15,IF(AND(OR($B$4="Clinical Lecturer / Medical Research Fellow",$B$4="Clinical Consultant - Old Contract (GP)"),$B181&lt;&gt;""),$C181*Thresholds_Rates!$F$15,IF(OR($B$4="APM Level 7",$B$4="R&amp;T Level 7"),$C181*Thresholds_Rates!$F$15,IF(SUMIF(Grades!$A:$A,$B$4,Grades!$BO:$BO)=1,$C181*Thresholds_Rates!$F$15,""))))))))</f>
        <v/>
      </c>
      <c r="L181" s="25" t="str">
        <f t="shared" si="18"/>
        <v/>
      </c>
      <c r="M181" s="25" t="str">
        <f t="shared" si="21"/>
        <v/>
      </c>
      <c r="N181" s="25" t="str">
        <f t="shared" si="22"/>
        <v/>
      </c>
      <c r="O181" s="25" t="str">
        <f t="shared" si="19"/>
        <v/>
      </c>
      <c r="P181" s="25" t="str">
        <f t="shared" si="20"/>
        <v/>
      </c>
    </row>
    <row r="182" spans="5:16" x14ac:dyDescent="0.25">
      <c r="E182" s="25" t="str">
        <f>IF($B182="","",IF(AND($B$4="Salary Points 3 to 57",B182&lt;Thresholds_Rates!$C$16),"-",IF(SUMIF(Grades!$A:$A,$B$4,Grades!$BO:$BO)=0,"-",IF(AND($B$4="Salary Points 3 to 57",B182&gt;=Thresholds_Rates!$C$16),$C182*Thresholds_Rates!$F$15,IF(AND(OR($B$4="New Consultant Contract"),$B182&lt;&gt;""),$C182*Thresholds_Rates!$F$15,IF(AND(OR($B$4="Clinical Lecturer / Medical Research Fellow",$B$4="Clinical Consultant - Old Contract (GP)"),$B182&lt;&gt;""),$C182*Thresholds_Rates!$F$15,IF(OR($B$4="APM Level 7",$B$4="R&amp;T Level 7"),$C182*Thresholds_Rates!$F$15,IF(SUMIF(Grades!$A:$A,$B$4,Grades!$BO:$BO)=1,$C182*Thresholds_Rates!$F$15,""))))))))</f>
        <v/>
      </c>
      <c r="L182" s="25" t="str">
        <f t="shared" si="18"/>
        <v/>
      </c>
      <c r="M182" s="25" t="str">
        <f t="shared" si="21"/>
        <v/>
      </c>
      <c r="N182" s="25" t="str">
        <f t="shared" si="22"/>
        <v/>
      </c>
      <c r="O182" s="25" t="str">
        <f t="shared" si="19"/>
        <v/>
      </c>
      <c r="P182" s="25" t="str">
        <f t="shared" si="20"/>
        <v/>
      </c>
    </row>
    <row r="183" spans="5:16" x14ac:dyDescent="0.25">
      <c r="E183" s="25" t="str">
        <f>IF($B183="","",IF(AND($B$4="Salary Points 3 to 57",B183&lt;Thresholds_Rates!$C$16),"-",IF(SUMIF(Grades!$A:$A,$B$4,Grades!$BO:$BO)=0,"-",IF(AND($B$4="Salary Points 3 to 57",B183&gt;=Thresholds_Rates!$C$16),$C183*Thresholds_Rates!$F$15,IF(AND(OR($B$4="New Consultant Contract"),$B183&lt;&gt;""),$C183*Thresholds_Rates!$F$15,IF(AND(OR($B$4="Clinical Lecturer / Medical Research Fellow",$B$4="Clinical Consultant - Old Contract (GP)"),$B183&lt;&gt;""),$C183*Thresholds_Rates!$F$15,IF(OR($B$4="APM Level 7",$B$4="R&amp;T Level 7"),$C183*Thresholds_Rates!$F$15,IF(SUMIF(Grades!$A:$A,$B$4,Grades!$BO:$BO)=1,$C183*Thresholds_Rates!$F$15,""))))))))</f>
        <v/>
      </c>
      <c r="L183" s="25" t="str">
        <f t="shared" si="18"/>
        <v/>
      </c>
      <c r="M183" s="25" t="str">
        <f t="shared" si="21"/>
        <v/>
      </c>
      <c r="N183" s="25" t="str">
        <f t="shared" si="22"/>
        <v/>
      </c>
      <c r="O183" s="25" t="str">
        <f t="shared" si="19"/>
        <v/>
      </c>
      <c r="P183" s="25" t="str">
        <f t="shared" si="20"/>
        <v/>
      </c>
    </row>
    <row r="184" spans="5:16" x14ac:dyDescent="0.25">
      <c r="E184" s="25" t="str">
        <f>IF($B184="","",IF(AND($B$4="Salary Points 3 to 57",B184&lt;Thresholds_Rates!$C$16),"-",IF(SUMIF(Grades!$A:$A,$B$4,Grades!$BO:$BO)=0,"-",IF(AND($B$4="Salary Points 3 to 57",B184&gt;=Thresholds_Rates!$C$16),$C184*Thresholds_Rates!$F$15,IF(AND(OR($B$4="New Consultant Contract"),$B184&lt;&gt;""),$C184*Thresholds_Rates!$F$15,IF(AND(OR($B$4="Clinical Lecturer / Medical Research Fellow",$B$4="Clinical Consultant - Old Contract (GP)"),$B184&lt;&gt;""),$C184*Thresholds_Rates!$F$15,IF(OR($B$4="APM Level 7",$B$4="R&amp;T Level 7"),$C184*Thresholds_Rates!$F$15,IF(SUMIF(Grades!$A:$A,$B$4,Grades!$BO:$BO)=1,$C184*Thresholds_Rates!$F$15,""))))))))</f>
        <v/>
      </c>
      <c r="L184" s="25" t="str">
        <f t="shared" si="18"/>
        <v/>
      </c>
      <c r="M184" s="25" t="str">
        <f t="shared" si="21"/>
        <v/>
      </c>
      <c r="N184" s="25" t="str">
        <f t="shared" si="22"/>
        <v/>
      </c>
      <c r="O184" s="25" t="str">
        <f t="shared" si="19"/>
        <v/>
      </c>
      <c r="P184" s="25" t="str">
        <f t="shared" si="20"/>
        <v/>
      </c>
    </row>
    <row r="185" spans="5:16" x14ac:dyDescent="0.25">
      <c r="E185" s="25" t="str">
        <f>IF($B185="","",IF(AND($B$4="Salary Points 3 to 57",B185&lt;Thresholds_Rates!$C$16),"-",IF(SUMIF(Grades!$A:$A,$B$4,Grades!$BO:$BO)=0,"-",IF(AND($B$4="Salary Points 3 to 57",B185&gt;=Thresholds_Rates!$C$16),$C185*Thresholds_Rates!$F$15,IF(AND(OR($B$4="New Consultant Contract"),$B185&lt;&gt;""),$C185*Thresholds_Rates!$F$15,IF(AND(OR($B$4="Clinical Lecturer / Medical Research Fellow",$B$4="Clinical Consultant - Old Contract (GP)"),$B185&lt;&gt;""),$C185*Thresholds_Rates!$F$15,IF(OR($B$4="APM Level 7",$B$4="R&amp;T Level 7"),$C185*Thresholds_Rates!$F$15,IF(SUMIF(Grades!$A:$A,$B$4,Grades!$BO:$BO)=1,$C185*Thresholds_Rates!$F$15,""))))))))</f>
        <v/>
      </c>
      <c r="L185" s="25" t="str">
        <f t="shared" si="18"/>
        <v/>
      </c>
      <c r="M185" s="25" t="str">
        <f t="shared" si="21"/>
        <v/>
      </c>
      <c r="N185" s="25" t="str">
        <f t="shared" si="22"/>
        <v/>
      </c>
      <c r="O185" s="25" t="str">
        <f t="shared" si="19"/>
        <v/>
      </c>
      <c r="P185" s="25" t="str">
        <f t="shared" si="20"/>
        <v/>
      </c>
    </row>
    <row r="186" spans="5:16" x14ac:dyDescent="0.25">
      <c r="E186" s="25" t="str">
        <f>IF($B186="","",IF(AND($B$4="Salary Points 3 to 57",B186&lt;Thresholds_Rates!$C$16),"-",IF(SUMIF(Grades!$A:$A,$B$4,Grades!$BO:$BO)=0,"-",IF(AND($B$4="Salary Points 3 to 57",B186&gt;=Thresholds_Rates!$C$16),$C186*Thresholds_Rates!$F$15,IF(AND(OR($B$4="New Consultant Contract"),$B186&lt;&gt;""),$C186*Thresholds_Rates!$F$15,IF(AND(OR($B$4="Clinical Lecturer / Medical Research Fellow",$B$4="Clinical Consultant - Old Contract (GP)"),$B186&lt;&gt;""),$C186*Thresholds_Rates!$F$15,IF(OR($B$4="APM Level 7",$B$4="R&amp;T Level 7"),$C186*Thresholds_Rates!$F$15,IF(SUMIF(Grades!$A:$A,$B$4,Grades!$BO:$BO)=1,$C186*Thresholds_Rates!$F$15,""))))))))</f>
        <v/>
      </c>
      <c r="L186" s="25" t="str">
        <f t="shared" si="18"/>
        <v/>
      </c>
      <c r="M186" s="25" t="str">
        <f t="shared" si="21"/>
        <v/>
      </c>
      <c r="N186" s="25" t="str">
        <f t="shared" si="22"/>
        <v/>
      </c>
      <c r="O186" s="25" t="str">
        <f t="shared" si="19"/>
        <v/>
      </c>
      <c r="P186" s="25" t="str">
        <f t="shared" si="20"/>
        <v/>
      </c>
    </row>
    <row r="187" spans="5:16" x14ac:dyDescent="0.25">
      <c r="E187" s="25" t="str">
        <f>IF($B187="","",IF(AND($B$4="Salary Points 3 to 57",B187&lt;Thresholds_Rates!$C$16),"-",IF(SUMIF(Grades!$A:$A,$B$4,Grades!$BO:$BO)=0,"-",IF(AND($B$4="Salary Points 3 to 57",B187&gt;=Thresholds_Rates!$C$16),$C187*Thresholds_Rates!$F$15,IF(AND(OR($B$4="New Consultant Contract"),$B187&lt;&gt;""),$C187*Thresholds_Rates!$F$15,IF(AND(OR($B$4="Clinical Lecturer / Medical Research Fellow",$B$4="Clinical Consultant - Old Contract (GP)"),$B187&lt;&gt;""),$C187*Thresholds_Rates!$F$15,IF(OR($B$4="APM Level 7",$B$4="R&amp;T Level 7"),$C187*Thresholds_Rates!$F$15,IF(SUMIF(Grades!$A:$A,$B$4,Grades!$BO:$BO)=1,$C187*Thresholds_Rates!$F$15,""))))))))</f>
        <v/>
      </c>
      <c r="L187" s="25" t="str">
        <f t="shared" si="18"/>
        <v/>
      </c>
      <c r="M187" s="25" t="str">
        <f t="shared" si="21"/>
        <v/>
      </c>
      <c r="N187" s="25" t="str">
        <f t="shared" si="22"/>
        <v/>
      </c>
      <c r="O187" s="25" t="str">
        <f t="shared" si="19"/>
        <v/>
      </c>
      <c r="P187" s="25" t="str">
        <f t="shared" si="20"/>
        <v/>
      </c>
    </row>
    <row r="188" spans="5:16" x14ac:dyDescent="0.25">
      <c r="E188" s="25" t="str">
        <f>IF($B188="","",IF(AND($B$4="Salary Points 3 to 57",B188&lt;Thresholds_Rates!$C$16),"-",IF(SUMIF(Grades!$A:$A,$B$4,Grades!$BO:$BO)=0,"-",IF(AND($B$4="Salary Points 3 to 57",B188&gt;=Thresholds_Rates!$C$16),$C188*Thresholds_Rates!$F$15,IF(AND(OR($B$4="New Consultant Contract"),$B188&lt;&gt;""),$C188*Thresholds_Rates!$F$15,IF(AND(OR($B$4="Clinical Lecturer / Medical Research Fellow",$B$4="Clinical Consultant - Old Contract (GP)"),$B188&lt;&gt;""),$C188*Thresholds_Rates!$F$15,IF(OR($B$4="APM Level 7",$B$4="R&amp;T Level 7"),$C188*Thresholds_Rates!$F$15,IF(SUMIF(Grades!$A:$A,$B$4,Grades!$BO:$BO)=1,$C188*Thresholds_Rates!$F$15,""))))))))</f>
        <v/>
      </c>
      <c r="L188" s="25" t="str">
        <f t="shared" si="18"/>
        <v/>
      </c>
      <c r="M188" s="25" t="str">
        <f t="shared" si="21"/>
        <v/>
      </c>
      <c r="N188" s="25" t="str">
        <f t="shared" si="22"/>
        <v/>
      </c>
      <c r="O188" s="25" t="str">
        <f t="shared" si="19"/>
        <v/>
      </c>
      <c r="P188" s="25" t="str">
        <f t="shared" si="20"/>
        <v/>
      </c>
    </row>
    <row r="189" spans="5:16" x14ac:dyDescent="0.25">
      <c r="E189" s="25" t="str">
        <f>IF($B189="","",IF(AND($B$4="Salary Points 3 to 57",B189&lt;Thresholds_Rates!$C$16),"-",IF(SUMIF(Grades!$A:$A,$B$4,Grades!$BO:$BO)=0,"-",IF(AND($B$4="Salary Points 3 to 57",B189&gt;=Thresholds_Rates!$C$16),$C189*Thresholds_Rates!$F$15,IF(AND(OR($B$4="New Consultant Contract"),$B189&lt;&gt;""),$C189*Thresholds_Rates!$F$15,IF(AND(OR($B$4="Clinical Lecturer / Medical Research Fellow",$B$4="Clinical Consultant - Old Contract (GP)"),$B189&lt;&gt;""),$C189*Thresholds_Rates!$F$15,IF(OR($B$4="APM Level 7",$B$4="R&amp;T Level 7"),$C189*Thresholds_Rates!$F$15,IF(SUMIF(Grades!$A:$A,$B$4,Grades!$BO:$BO)=1,$C189*Thresholds_Rates!$F$15,""))))))))</f>
        <v/>
      </c>
      <c r="L189" s="25" t="str">
        <f t="shared" si="18"/>
        <v/>
      </c>
      <c r="M189" s="25" t="str">
        <f t="shared" si="21"/>
        <v/>
      </c>
      <c r="N189" s="25" t="str">
        <f t="shared" si="22"/>
        <v/>
      </c>
      <c r="O189" s="25" t="str">
        <f t="shared" si="19"/>
        <v/>
      </c>
      <c r="P189" s="25" t="str">
        <f t="shared" si="20"/>
        <v/>
      </c>
    </row>
    <row r="190" spans="5:16" x14ac:dyDescent="0.25">
      <c r="E190" s="25" t="str">
        <f>IF($B190="","",IF(AND($B$4="Salary Points 3 to 57",B190&lt;Thresholds_Rates!$C$16),"-",IF(SUMIF(Grades!$A:$A,$B$4,Grades!$BO:$BO)=0,"-",IF(AND($B$4="Salary Points 3 to 57",B190&gt;=Thresholds_Rates!$C$16),$C190*Thresholds_Rates!$F$15,IF(AND(OR($B$4="New Consultant Contract"),$B190&lt;&gt;""),$C190*Thresholds_Rates!$F$15,IF(AND(OR($B$4="Clinical Lecturer / Medical Research Fellow",$B$4="Clinical Consultant - Old Contract (GP)"),$B190&lt;&gt;""),$C190*Thresholds_Rates!$F$15,IF(OR($B$4="APM Level 7",$B$4="R&amp;T Level 7"),$C190*Thresholds_Rates!$F$15,IF(SUMIF(Grades!$A:$A,$B$4,Grades!$BO:$BO)=1,$C190*Thresholds_Rates!$F$15,""))))))))</f>
        <v/>
      </c>
      <c r="L190" s="25" t="str">
        <f t="shared" si="18"/>
        <v/>
      </c>
      <c r="M190" s="25" t="str">
        <f t="shared" si="21"/>
        <v/>
      </c>
      <c r="N190" s="25" t="str">
        <f t="shared" si="22"/>
        <v/>
      </c>
      <c r="O190" s="25" t="str">
        <f t="shared" si="19"/>
        <v/>
      </c>
      <c r="P190" s="25" t="str">
        <f t="shared" si="20"/>
        <v/>
      </c>
    </row>
    <row r="191" spans="5:16" x14ac:dyDescent="0.25">
      <c r="E191" s="25" t="str">
        <f>IF($B191="","",IF(AND($B$4="Salary Points 3 to 57",B191&lt;Thresholds_Rates!$C$16),"-",IF(SUMIF(Grades!$A:$A,$B$4,Grades!$BO:$BO)=0,"-",IF(AND($B$4="Salary Points 3 to 57",B191&gt;=Thresholds_Rates!$C$16),$C191*Thresholds_Rates!$F$15,IF(AND(OR($B$4="New Consultant Contract"),$B191&lt;&gt;""),$C191*Thresholds_Rates!$F$15,IF(AND(OR($B$4="Clinical Lecturer / Medical Research Fellow",$B$4="Clinical Consultant - Old Contract (GP)"),$B191&lt;&gt;""),$C191*Thresholds_Rates!$F$15,IF(OR($B$4="APM Level 7",$B$4="R&amp;T Level 7"),$C191*Thresholds_Rates!$F$15,IF(SUMIF(Grades!$A:$A,$B$4,Grades!$BO:$BO)=1,$C191*Thresholds_Rates!$F$15,""))))))))</f>
        <v/>
      </c>
      <c r="L191" s="25" t="str">
        <f t="shared" si="18"/>
        <v/>
      </c>
      <c r="M191" s="25" t="str">
        <f t="shared" si="21"/>
        <v/>
      </c>
      <c r="N191" s="25" t="str">
        <f t="shared" si="22"/>
        <v/>
      </c>
      <c r="O191" s="25" t="str">
        <f t="shared" si="19"/>
        <v/>
      </c>
      <c r="P191" s="25" t="str">
        <f t="shared" si="20"/>
        <v/>
      </c>
    </row>
    <row r="192" spans="5:16" x14ac:dyDescent="0.25">
      <c r="E192" s="25" t="str">
        <f>IF($B192="","",IF(AND($B$4="Salary Points 3 to 57",B192&lt;Thresholds_Rates!$C$16),"-",IF(SUMIF(Grades!$A:$A,$B$4,Grades!$BO:$BO)=0,"-",IF(AND($B$4="Salary Points 3 to 57",B192&gt;=Thresholds_Rates!$C$16),$C192*Thresholds_Rates!$F$15,IF(AND(OR($B$4="New Consultant Contract"),$B192&lt;&gt;""),$C192*Thresholds_Rates!$F$15,IF(AND(OR($B$4="Clinical Lecturer / Medical Research Fellow",$B$4="Clinical Consultant - Old Contract (GP)"),$B192&lt;&gt;""),$C192*Thresholds_Rates!$F$15,IF(OR($B$4="APM Level 7",$B$4="R&amp;T Level 7"),$C192*Thresholds_Rates!$F$15,IF(SUMIF(Grades!$A:$A,$B$4,Grades!$BO:$BO)=1,$C192*Thresholds_Rates!$F$15,""))))))))</f>
        <v/>
      </c>
      <c r="L192" s="25" t="str">
        <f t="shared" si="18"/>
        <v/>
      </c>
      <c r="M192" s="25" t="str">
        <f t="shared" si="21"/>
        <v/>
      </c>
      <c r="N192" s="25" t="str">
        <f t="shared" si="22"/>
        <v/>
      </c>
      <c r="O192" s="25" t="str">
        <f t="shared" si="19"/>
        <v/>
      </c>
      <c r="P192" s="25" t="str">
        <f t="shared" si="20"/>
        <v/>
      </c>
    </row>
    <row r="193" spans="5:16" x14ac:dyDescent="0.25">
      <c r="E193" s="25" t="str">
        <f>IF($B193="","",IF(AND($B$4="Salary Points 3 to 57",B193&lt;Thresholds_Rates!$C$16),"-",IF(SUMIF(Grades!$A:$A,$B$4,Grades!$BO:$BO)=0,"-",IF(AND($B$4="Salary Points 3 to 57",B193&gt;=Thresholds_Rates!$C$16),$C193*Thresholds_Rates!$F$15,IF(AND(OR($B$4="New Consultant Contract"),$B193&lt;&gt;""),$C193*Thresholds_Rates!$F$15,IF(AND(OR($B$4="Clinical Lecturer / Medical Research Fellow",$B$4="Clinical Consultant - Old Contract (GP)"),$B193&lt;&gt;""),$C193*Thresholds_Rates!$F$15,IF(OR($B$4="APM Level 7",$B$4="R&amp;T Level 7"),$C193*Thresholds_Rates!$F$15,IF(SUMIF(Grades!$A:$A,$B$4,Grades!$BO:$BO)=1,$C193*Thresholds_Rates!$F$15,""))))))))</f>
        <v/>
      </c>
      <c r="L193" s="25" t="str">
        <f t="shared" si="18"/>
        <v/>
      </c>
      <c r="M193" s="25" t="str">
        <f t="shared" si="21"/>
        <v/>
      </c>
      <c r="N193" s="25" t="str">
        <f t="shared" si="22"/>
        <v/>
      </c>
      <c r="O193" s="25" t="str">
        <f t="shared" si="19"/>
        <v/>
      </c>
      <c r="P193" s="25" t="str">
        <f t="shared" si="20"/>
        <v/>
      </c>
    </row>
    <row r="194" spans="5:16" x14ac:dyDescent="0.25">
      <c r="E194" s="25" t="str">
        <f>IF($B194="","",IF(AND($B$4="Salary Points 3 to 57",B194&lt;Thresholds_Rates!$C$16),"-",IF(SUMIF(Grades!$A:$A,$B$4,Grades!$BO:$BO)=0,"-",IF(AND($B$4="Salary Points 3 to 57",B194&gt;=Thresholds_Rates!$C$16),$C194*Thresholds_Rates!$F$15,IF(AND(OR($B$4="New Consultant Contract"),$B194&lt;&gt;""),$C194*Thresholds_Rates!$F$15,IF(AND(OR($B$4="Clinical Lecturer / Medical Research Fellow",$B$4="Clinical Consultant - Old Contract (GP)"),$B194&lt;&gt;""),$C194*Thresholds_Rates!$F$15,IF(OR($B$4="APM Level 7",$B$4="R&amp;T Level 7"),$C194*Thresholds_Rates!$F$15,IF(SUMIF(Grades!$A:$A,$B$4,Grades!$BO:$BO)=1,$C194*Thresholds_Rates!$F$15,""))))))))</f>
        <v/>
      </c>
      <c r="L194" s="25" t="str">
        <f t="shared" si="18"/>
        <v/>
      </c>
      <c r="M194" s="25" t="str">
        <f t="shared" si="21"/>
        <v/>
      </c>
      <c r="N194" s="25" t="str">
        <f t="shared" si="22"/>
        <v/>
      </c>
      <c r="O194" s="25" t="str">
        <f t="shared" si="19"/>
        <v/>
      </c>
      <c r="P194" s="25" t="str">
        <f t="shared" si="20"/>
        <v/>
      </c>
    </row>
    <row r="195" spans="5:16" x14ac:dyDescent="0.25">
      <c r="E195" s="25" t="str">
        <f>IF($B195="","",IF(AND($B$4="Salary Points 3 to 57",B195&lt;Thresholds_Rates!$C$16),"-",IF(SUMIF(Grades!$A:$A,$B$4,Grades!$BO:$BO)=0,"-",IF(AND($B$4="Salary Points 3 to 57",B195&gt;=Thresholds_Rates!$C$16),$C195*Thresholds_Rates!$F$15,IF(AND(OR($B$4="New Consultant Contract"),$B195&lt;&gt;""),$C195*Thresholds_Rates!$F$15,IF(AND(OR($B$4="Clinical Lecturer / Medical Research Fellow",$B$4="Clinical Consultant - Old Contract (GP)"),$B195&lt;&gt;""),$C195*Thresholds_Rates!$F$15,IF(OR($B$4="APM Level 7",$B$4="R&amp;T Level 7"),$C195*Thresholds_Rates!$F$15,IF(SUMIF(Grades!$A:$A,$B$4,Grades!$BO:$BO)=1,$C195*Thresholds_Rates!$F$15,""))))))))</f>
        <v/>
      </c>
      <c r="L195" s="25" t="str">
        <f t="shared" si="18"/>
        <v/>
      </c>
      <c r="M195" s="25" t="str">
        <f t="shared" si="21"/>
        <v/>
      </c>
      <c r="N195" s="25" t="str">
        <f t="shared" si="22"/>
        <v/>
      </c>
      <c r="O195" s="25" t="str">
        <f t="shared" si="19"/>
        <v/>
      </c>
      <c r="P195" s="25" t="str">
        <f t="shared" si="20"/>
        <v/>
      </c>
    </row>
    <row r="196" spans="5:16" x14ac:dyDescent="0.25">
      <c r="E196" s="25" t="str">
        <f>IF($B196="","",IF(AND($B$4="Salary Points 3 to 57",B196&lt;Thresholds_Rates!$C$16),"-",IF(SUMIF(Grades!$A:$A,$B$4,Grades!$BO:$BO)=0,"-",IF(AND($B$4="Salary Points 3 to 57",B196&gt;=Thresholds_Rates!$C$16),$C196*Thresholds_Rates!$F$15,IF(AND(OR($B$4="New Consultant Contract"),$B196&lt;&gt;""),$C196*Thresholds_Rates!$F$15,IF(AND(OR($B$4="Clinical Lecturer / Medical Research Fellow",$B$4="Clinical Consultant - Old Contract (GP)"),$B196&lt;&gt;""),$C196*Thresholds_Rates!$F$15,IF(OR($B$4="APM Level 7",$B$4="R&amp;T Level 7"),$C196*Thresholds_Rates!$F$15,IF(SUMIF(Grades!$A:$A,$B$4,Grades!$BO:$BO)=1,$C196*Thresholds_Rates!$F$15,""))))))))</f>
        <v/>
      </c>
      <c r="L196" s="25" t="str">
        <f t="shared" si="18"/>
        <v/>
      </c>
      <c r="M196" s="25" t="str">
        <f t="shared" si="21"/>
        <v/>
      </c>
      <c r="N196" s="25" t="str">
        <f t="shared" si="22"/>
        <v/>
      </c>
      <c r="O196" s="25" t="str">
        <f t="shared" si="19"/>
        <v/>
      </c>
      <c r="P196" s="25" t="str">
        <f t="shared" si="20"/>
        <v/>
      </c>
    </row>
    <row r="197" spans="5:16" x14ac:dyDescent="0.25">
      <c r="E197" s="25" t="str">
        <f>IF($B197="","",IF(AND($B$4="Salary Points 3 to 57",B197&lt;Thresholds_Rates!$C$16),"-",IF(SUMIF(Grades!$A:$A,$B$4,Grades!$BO:$BO)=0,"-",IF(AND($B$4="Salary Points 3 to 57",B197&gt;=Thresholds_Rates!$C$16),$C197*Thresholds_Rates!$F$15,IF(AND(OR($B$4="New Consultant Contract"),$B197&lt;&gt;""),$C197*Thresholds_Rates!$F$15,IF(AND(OR($B$4="Clinical Lecturer / Medical Research Fellow",$B$4="Clinical Consultant - Old Contract (GP)"),$B197&lt;&gt;""),$C197*Thresholds_Rates!$F$15,IF(OR($B$4="APM Level 7",$B$4="R&amp;T Level 7"),$C197*Thresholds_Rates!$F$15,IF(SUMIF(Grades!$A:$A,$B$4,Grades!$BO:$BO)=1,$C197*Thresholds_Rates!$F$15,""))))))))</f>
        <v/>
      </c>
      <c r="L197" s="25" t="str">
        <f t="shared" si="18"/>
        <v/>
      </c>
      <c r="M197" s="25" t="str">
        <f t="shared" si="21"/>
        <v/>
      </c>
      <c r="N197" s="25" t="str">
        <f t="shared" si="22"/>
        <v/>
      </c>
      <c r="O197" s="25" t="str">
        <f t="shared" si="19"/>
        <v/>
      </c>
      <c r="P197" s="25" t="str">
        <f t="shared" si="20"/>
        <v/>
      </c>
    </row>
    <row r="198" spans="5:16" x14ac:dyDescent="0.25">
      <c r="E198" s="25" t="str">
        <f>IF($B198="","",IF(AND($B$4="Salary Points 3 to 57",B198&lt;Thresholds_Rates!$C$16),"-",IF(SUMIF(Grades!$A:$A,$B$4,Grades!$BO:$BO)=0,"-",IF(AND($B$4="Salary Points 3 to 57",B198&gt;=Thresholds_Rates!$C$16),$C198*Thresholds_Rates!$F$15,IF(AND(OR($B$4="New Consultant Contract"),$B198&lt;&gt;""),$C198*Thresholds_Rates!$F$15,IF(AND(OR($B$4="Clinical Lecturer / Medical Research Fellow",$B$4="Clinical Consultant - Old Contract (GP)"),$B198&lt;&gt;""),$C198*Thresholds_Rates!$F$15,IF(OR($B$4="APM Level 7",$B$4="R&amp;T Level 7"),$C198*Thresholds_Rates!$F$15,IF(SUMIF(Grades!$A:$A,$B$4,Grades!$BO:$BO)=1,$C198*Thresholds_Rates!$F$15,""))))))))</f>
        <v/>
      </c>
      <c r="L198" s="25" t="str">
        <f t="shared" si="18"/>
        <v/>
      </c>
      <c r="M198" s="25" t="str">
        <f t="shared" si="21"/>
        <v/>
      </c>
      <c r="N198" s="25" t="str">
        <f t="shared" si="22"/>
        <v/>
      </c>
      <c r="O198" s="25" t="str">
        <f t="shared" si="19"/>
        <v/>
      </c>
      <c r="P198" s="25" t="str">
        <f t="shared" si="20"/>
        <v/>
      </c>
    </row>
    <row r="199" spans="5:16" x14ac:dyDescent="0.25">
      <c r="E199" s="25" t="str">
        <f>IF($B199="","",IF(AND($B$4="Salary Points 3 to 57",B199&lt;Thresholds_Rates!$C$16),"-",IF(SUMIF(Grades!$A:$A,$B$4,Grades!$BO:$BO)=0,"-",IF(AND($B$4="Salary Points 3 to 57",B199&gt;=Thresholds_Rates!$C$16),$C199*Thresholds_Rates!$F$15,IF(AND(OR($B$4="New Consultant Contract"),$B199&lt;&gt;""),$C199*Thresholds_Rates!$F$15,IF(AND(OR($B$4="Clinical Lecturer / Medical Research Fellow",$B$4="Clinical Consultant - Old Contract (GP)"),$B199&lt;&gt;""),$C199*Thresholds_Rates!$F$15,IF(OR($B$4="APM Level 7",$B$4="R&amp;T Level 7"),$C199*Thresholds_Rates!$F$15,IF(SUMIF(Grades!$A:$A,$B$4,Grades!$BO:$BO)=1,$C199*Thresholds_Rates!$F$15,""))))))))</f>
        <v/>
      </c>
      <c r="L199" s="25" t="str">
        <f t="shared" si="18"/>
        <v/>
      </c>
      <c r="M199" s="25" t="str">
        <f t="shared" si="21"/>
        <v/>
      </c>
      <c r="N199" s="25" t="str">
        <f t="shared" si="22"/>
        <v/>
      </c>
      <c r="O199" s="25" t="str">
        <f t="shared" si="19"/>
        <v/>
      </c>
      <c r="P199" s="25" t="str">
        <f t="shared" si="20"/>
        <v/>
      </c>
    </row>
    <row r="200" spans="5:16" x14ac:dyDescent="0.25">
      <c r="E200" s="25" t="str">
        <f>IF($B200="","",IF(AND($B$4="Salary Points 3 to 57",B200&lt;Thresholds_Rates!$C$16),"-",IF(SUMIF(Grades!$A:$A,$B$4,Grades!$BO:$BO)=0,"-",IF(AND($B$4="Salary Points 3 to 57",B200&gt;=Thresholds_Rates!$C$16),$C200*Thresholds_Rates!$F$15,IF(AND(OR($B$4="New Consultant Contract"),$B200&lt;&gt;""),$C200*Thresholds_Rates!$F$15,IF(AND(OR($B$4="Clinical Lecturer / Medical Research Fellow",$B$4="Clinical Consultant - Old Contract (GP)"),$B200&lt;&gt;""),$C200*Thresholds_Rates!$F$15,IF(OR($B$4="APM Level 7",$B$4="R&amp;T Level 7"),$C200*Thresholds_Rates!$F$15,IF(SUMIF(Grades!$A:$A,$B$4,Grades!$BO:$BO)=1,$C200*Thresholds_Rates!$F$15,""))))))))</f>
        <v/>
      </c>
      <c r="L200" s="25" t="str">
        <f t="shared" si="18"/>
        <v/>
      </c>
      <c r="M200" s="25" t="str">
        <f t="shared" si="21"/>
        <v/>
      </c>
      <c r="N200" s="25" t="str">
        <f t="shared" si="22"/>
        <v/>
      </c>
      <c r="O200" s="25" t="str">
        <f t="shared" si="19"/>
        <v/>
      </c>
      <c r="P200" s="25" t="str">
        <f t="shared" si="20"/>
        <v/>
      </c>
    </row>
    <row r="201" spans="5:16" x14ac:dyDescent="0.25">
      <c r="E201" s="25" t="str">
        <f>IF($B201="","",IF(AND($B$4="Salary Points 3 to 57",B201&lt;Thresholds_Rates!$C$16),"-",IF(SUMIF(Grades!$A:$A,$B$4,Grades!$BO:$BO)=0,"-",IF(AND($B$4="Salary Points 3 to 57",B201&gt;=Thresholds_Rates!$C$16),$C201*Thresholds_Rates!$F$15,IF(AND(OR($B$4="New Consultant Contract"),$B201&lt;&gt;""),$C201*Thresholds_Rates!$F$15,IF(AND(OR($B$4="Clinical Lecturer / Medical Research Fellow",$B$4="Clinical Consultant - Old Contract (GP)"),$B201&lt;&gt;""),$C201*Thresholds_Rates!$F$15,IF(OR($B$4="APM Level 7",$B$4="R&amp;T Level 7"),$C201*Thresholds_Rates!$F$15,IF(SUMIF(Grades!$A:$A,$B$4,Grades!$BO:$BO)=1,$C201*Thresholds_Rates!$F$15,""))))))))</f>
        <v/>
      </c>
      <c r="L201" s="25" t="str">
        <f t="shared" ref="L201:L264" si="23">IF(B201="","",IF(E201="-","-",$C201+$H201+E201))</f>
        <v/>
      </c>
      <c r="M201" s="25" t="str">
        <f t="shared" ref="M201:M264" si="24">IF(B201="","",IF(F201="-","-",$C201+$H201+F201))</f>
        <v/>
      </c>
      <c r="N201" s="25" t="str">
        <f t="shared" ref="N201:N264" si="25">IF(B201="","",IF(G201="-","-",$C201+$H201+G201))</f>
        <v/>
      </c>
      <c r="O201" s="25" t="str">
        <f t="shared" ref="O201:O264" si="26">IF(B201="","",IF(J201="-","-",$C201+$H201+J201))</f>
        <v/>
      </c>
      <c r="P201" s="25" t="str">
        <f t="shared" ref="P201:P264" si="27">IF(B201="","",C201+H201)</f>
        <v/>
      </c>
    </row>
    <row r="202" spans="5:16" x14ac:dyDescent="0.25">
      <c r="E202" s="25" t="str">
        <f>IF($B202="","",IF(AND($B$4="Salary Points 3 to 57",B202&lt;Thresholds_Rates!$C$16),"-",IF(SUMIF(Grades!$A:$A,$B$4,Grades!$BO:$BO)=0,"-",IF(AND($B$4="Salary Points 3 to 57",B202&gt;=Thresholds_Rates!$C$16),$C202*Thresholds_Rates!$F$15,IF(AND(OR($B$4="New Consultant Contract"),$B202&lt;&gt;""),$C202*Thresholds_Rates!$F$15,IF(AND(OR($B$4="Clinical Lecturer / Medical Research Fellow",$B$4="Clinical Consultant - Old Contract (GP)"),$B202&lt;&gt;""),$C202*Thresholds_Rates!$F$15,IF(OR($B$4="APM Level 7",$B$4="R&amp;T Level 7"),$C202*Thresholds_Rates!$F$15,IF(SUMIF(Grades!$A:$A,$B$4,Grades!$BO:$BO)=1,$C202*Thresholds_Rates!$F$15,""))))))))</f>
        <v/>
      </c>
      <c r="L202" s="25" t="str">
        <f t="shared" si="23"/>
        <v/>
      </c>
      <c r="M202" s="25" t="str">
        <f t="shared" si="24"/>
        <v/>
      </c>
      <c r="N202" s="25" t="str">
        <f t="shared" si="25"/>
        <v/>
      </c>
      <c r="O202" s="25" t="str">
        <f t="shared" si="26"/>
        <v/>
      </c>
      <c r="P202" s="25" t="str">
        <f t="shared" si="27"/>
        <v/>
      </c>
    </row>
    <row r="203" spans="5:16" x14ac:dyDescent="0.25">
      <c r="E203" s="25" t="str">
        <f>IF($B203="","",IF(AND($B$4="Salary Points 3 to 57",B203&lt;Thresholds_Rates!$C$16),"-",IF(SUMIF(Grades!$A:$A,$B$4,Grades!$BO:$BO)=0,"-",IF(AND($B$4="Salary Points 3 to 57",B203&gt;=Thresholds_Rates!$C$16),$C203*Thresholds_Rates!$F$15,IF(AND(OR($B$4="New Consultant Contract"),$B203&lt;&gt;""),$C203*Thresholds_Rates!$F$15,IF(AND(OR($B$4="Clinical Lecturer / Medical Research Fellow",$B$4="Clinical Consultant - Old Contract (GP)"),$B203&lt;&gt;""),$C203*Thresholds_Rates!$F$15,IF(OR($B$4="APM Level 7",$B$4="R&amp;T Level 7"),$C203*Thresholds_Rates!$F$15,IF(SUMIF(Grades!$A:$A,$B$4,Grades!$BO:$BO)=1,$C203*Thresholds_Rates!$F$15,""))))))))</f>
        <v/>
      </c>
      <c r="L203" s="25" t="str">
        <f t="shared" si="23"/>
        <v/>
      </c>
      <c r="M203" s="25" t="str">
        <f t="shared" si="24"/>
        <v/>
      </c>
      <c r="N203" s="25" t="str">
        <f t="shared" si="25"/>
        <v/>
      </c>
      <c r="O203" s="25" t="str">
        <f t="shared" si="26"/>
        <v/>
      </c>
      <c r="P203" s="25" t="str">
        <f t="shared" si="27"/>
        <v/>
      </c>
    </row>
    <row r="204" spans="5:16" x14ac:dyDescent="0.25">
      <c r="E204" s="25" t="str">
        <f>IF($B204="","",IF(AND($B$4="Salary Points 3 to 57",B204&lt;Thresholds_Rates!$C$16),"-",IF(SUMIF(Grades!$A:$A,$B$4,Grades!$BO:$BO)=0,"-",IF(AND($B$4="Salary Points 3 to 57",B204&gt;=Thresholds_Rates!$C$16),$C204*Thresholds_Rates!$F$15,IF(AND(OR($B$4="New Consultant Contract"),$B204&lt;&gt;""),$C204*Thresholds_Rates!$F$15,IF(AND(OR($B$4="Clinical Lecturer / Medical Research Fellow",$B$4="Clinical Consultant - Old Contract (GP)"),$B204&lt;&gt;""),$C204*Thresholds_Rates!$F$15,IF(OR($B$4="APM Level 7",$B$4="R&amp;T Level 7"),$C204*Thresholds_Rates!$F$15,IF(SUMIF(Grades!$A:$A,$B$4,Grades!$BO:$BO)=1,$C204*Thresholds_Rates!$F$15,""))))))))</f>
        <v/>
      </c>
      <c r="L204" s="25" t="str">
        <f t="shared" si="23"/>
        <v/>
      </c>
      <c r="M204" s="25" t="str">
        <f t="shared" si="24"/>
        <v/>
      </c>
      <c r="N204" s="25" t="str">
        <f t="shared" si="25"/>
        <v/>
      </c>
      <c r="O204" s="25" t="str">
        <f t="shared" si="26"/>
        <v/>
      </c>
      <c r="P204" s="25" t="str">
        <f t="shared" si="27"/>
        <v/>
      </c>
    </row>
    <row r="205" spans="5:16" x14ac:dyDescent="0.25">
      <c r="E205" s="25" t="str">
        <f>IF($B205="","",IF(AND($B$4="Salary Points 3 to 57",B205&lt;Thresholds_Rates!$C$16),"-",IF(SUMIF(Grades!$A:$A,$B$4,Grades!$BO:$BO)=0,"-",IF(AND($B$4="Salary Points 3 to 57",B205&gt;=Thresholds_Rates!$C$16),$C205*Thresholds_Rates!$F$15,IF(AND(OR($B$4="New Consultant Contract"),$B205&lt;&gt;""),$C205*Thresholds_Rates!$F$15,IF(AND(OR($B$4="Clinical Lecturer / Medical Research Fellow",$B$4="Clinical Consultant - Old Contract (GP)"),$B205&lt;&gt;""),$C205*Thresholds_Rates!$F$15,IF(OR($B$4="APM Level 7",$B$4="R&amp;T Level 7"),$C205*Thresholds_Rates!$F$15,IF(SUMIF(Grades!$A:$A,$B$4,Grades!$BO:$BO)=1,$C205*Thresholds_Rates!$F$15,""))))))))</f>
        <v/>
      </c>
      <c r="L205" s="25" t="str">
        <f t="shared" si="23"/>
        <v/>
      </c>
      <c r="M205" s="25" t="str">
        <f t="shared" si="24"/>
        <v/>
      </c>
      <c r="N205" s="25" t="str">
        <f t="shared" si="25"/>
        <v/>
      </c>
      <c r="O205" s="25" t="str">
        <f t="shared" si="26"/>
        <v/>
      </c>
      <c r="P205" s="25" t="str">
        <f t="shared" si="27"/>
        <v/>
      </c>
    </row>
    <row r="206" spans="5:16" x14ac:dyDescent="0.25">
      <c r="E206" s="25" t="str">
        <f>IF($B206="","",IF(AND($B$4="Salary Points 3 to 57",B206&lt;Thresholds_Rates!$C$16),"-",IF(SUMIF(Grades!$A:$A,$B$4,Grades!$BO:$BO)=0,"-",IF(AND($B$4="Salary Points 3 to 57",B206&gt;=Thresholds_Rates!$C$16),$C206*Thresholds_Rates!$F$15,IF(AND(OR($B$4="New Consultant Contract"),$B206&lt;&gt;""),$C206*Thresholds_Rates!$F$15,IF(AND(OR($B$4="Clinical Lecturer / Medical Research Fellow",$B$4="Clinical Consultant - Old Contract (GP)"),$B206&lt;&gt;""),$C206*Thresholds_Rates!$F$15,IF(OR($B$4="APM Level 7",$B$4="R&amp;T Level 7"),$C206*Thresholds_Rates!$F$15,IF(SUMIF(Grades!$A:$A,$B$4,Grades!$BO:$BO)=1,$C206*Thresholds_Rates!$F$15,""))))))))</f>
        <v/>
      </c>
      <c r="L206" s="25" t="str">
        <f t="shared" si="23"/>
        <v/>
      </c>
      <c r="M206" s="25" t="str">
        <f t="shared" si="24"/>
        <v/>
      </c>
      <c r="N206" s="25" t="str">
        <f t="shared" si="25"/>
        <v/>
      </c>
      <c r="O206" s="25" t="str">
        <f t="shared" si="26"/>
        <v/>
      </c>
      <c r="P206" s="25" t="str">
        <f t="shared" si="27"/>
        <v/>
      </c>
    </row>
    <row r="207" spans="5:16" x14ac:dyDescent="0.25">
      <c r="E207" s="25" t="str">
        <f>IF($B207="","",IF(AND($B$4="Salary Points 3 to 57",B207&lt;Thresholds_Rates!$C$16),"-",IF(SUMIF(Grades!$A:$A,$B$4,Grades!$BO:$BO)=0,"-",IF(AND($B$4="Salary Points 3 to 57",B207&gt;=Thresholds_Rates!$C$16),$C207*Thresholds_Rates!$F$15,IF(AND(OR($B$4="New Consultant Contract"),$B207&lt;&gt;""),$C207*Thresholds_Rates!$F$15,IF(AND(OR($B$4="Clinical Lecturer / Medical Research Fellow",$B$4="Clinical Consultant - Old Contract (GP)"),$B207&lt;&gt;""),$C207*Thresholds_Rates!$F$15,IF(OR($B$4="APM Level 7",$B$4="R&amp;T Level 7"),$C207*Thresholds_Rates!$F$15,IF(SUMIF(Grades!$A:$A,$B$4,Grades!$BO:$BO)=1,$C207*Thresholds_Rates!$F$15,""))))))))</f>
        <v/>
      </c>
      <c r="L207" s="25" t="str">
        <f t="shared" si="23"/>
        <v/>
      </c>
      <c r="M207" s="25" t="str">
        <f t="shared" si="24"/>
        <v/>
      </c>
      <c r="N207" s="25" t="str">
        <f t="shared" si="25"/>
        <v/>
      </c>
      <c r="O207" s="25" t="str">
        <f t="shared" si="26"/>
        <v/>
      </c>
      <c r="P207" s="25" t="str">
        <f t="shared" si="27"/>
        <v/>
      </c>
    </row>
    <row r="208" spans="5:16" x14ac:dyDescent="0.25">
      <c r="E208" s="25" t="str">
        <f>IF($B208="","",IF(AND($B$4="Salary Points 3 to 57",B208&lt;Thresholds_Rates!$C$16),"-",IF(SUMIF(Grades!$A:$A,$B$4,Grades!$BO:$BO)=0,"-",IF(AND($B$4="Salary Points 3 to 57",B208&gt;=Thresholds_Rates!$C$16),$C208*Thresholds_Rates!$F$15,IF(AND(OR($B$4="New Consultant Contract"),$B208&lt;&gt;""),$C208*Thresholds_Rates!$F$15,IF(AND(OR($B$4="Clinical Lecturer / Medical Research Fellow",$B$4="Clinical Consultant - Old Contract (GP)"),$B208&lt;&gt;""),$C208*Thresholds_Rates!$F$15,IF(OR($B$4="APM Level 7",$B$4="R&amp;T Level 7"),$C208*Thresholds_Rates!$F$15,IF(SUMIF(Grades!$A:$A,$B$4,Grades!$BO:$BO)=1,$C208*Thresholds_Rates!$F$15,""))))))))</f>
        <v/>
      </c>
      <c r="L208" s="25" t="str">
        <f t="shared" si="23"/>
        <v/>
      </c>
      <c r="M208" s="25" t="str">
        <f t="shared" si="24"/>
        <v/>
      </c>
      <c r="N208" s="25" t="str">
        <f t="shared" si="25"/>
        <v/>
      </c>
      <c r="O208" s="25" t="str">
        <f t="shared" si="26"/>
        <v/>
      </c>
      <c r="P208" s="25" t="str">
        <f t="shared" si="27"/>
        <v/>
      </c>
    </row>
    <row r="209" spans="5:16" x14ac:dyDescent="0.25">
      <c r="E209" s="25" t="str">
        <f>IF($B209="","",IF(AND($B$4="Salary Points 3 to 57",B209&lt;Thresholds_Rates!$C$16),"-",IF(SUMIF(Grades!$A:$A,$B$4,Grades!$BO:$BO)=0,"-",IF(AND($B$4="Salary Points 3 to 57",B209&gt;=Thresholds_Rates!$C$16),$C209*Thresholds_Rates!$F$15,IF(AND(OR($B$4="New Consultant Contract"),$B209&lt;&gt;""),$C209*Thresholds_Rates!$F$15,IF(AND(OR($B$4="Clinical Lecturer / Medical Research Fellow",$B$4="Clinical Consultant - Old Contract (GP)"),$B209&lt;&gt;""),$C209*Thresholds_Rates!$F$15,IF(OR($B$4="APM Level 7",$B$4="R&amp;T Level 7"),$C209*Thresholds_Rates!$F$15,IF(SUMIF(Grades!$A:$A,$B$4,Grades!$BO:$BO)=1,$C209*Thresholds_Rates!$F$15,""))))))))</f>
        <v/>
      </c>
      <c r="L209" s="25" t="str">
        <f t="shared" si="23"/>
        <v/>
      </c>
      <c r="M209" s="25" t="str">
        <f t="shared" si="24"/>
        <v/>
      </c>
      <c r="N209" s="25" t="str">
        <f t="shared" si="25"/>
        <v/>
      </c>
      <c r="O209" s="25" t="str">
        <f t="shared" si="26"/>
        <v/>
      </c>
      <c r="P209" s="25" t="str">
        <f t="shared" si="27"/>
        <v/>
      </c>
    </row>
    <row r="210" spans="5:16" x14ac:dyDescent="0.25">
      <c r="E210" s="25" t="str">
        <f>IF($B210="","",IF(AND($B$4="Salary Points 3 to 57",B210&lt;Thresholds_Rates!$C$16),"-",IF(SUMIF(Grades!$A:$A,$B$4,Grades!$BO:$BO)=0,"-",IF(AND($B$4="Salary Points 3 to 57",B210&gt;=Thresholds_Rates!$C$16),$C210*Thresholds_Rates!$F$15,IF(AND(OR($B$4="New Consultant Contract"),$B210&lt;&gt;""),$C210*Thresholds_Rates!$F$15,IF(AND(OR($B$4="Clinical Lecturer / Medical Research Fellow",$B$4="Clinical Consultant - Old Contract (GP)"),$B210&lt;&gt;""),$C210*Thresholds_Rates!$F$15,IF(OR($B$4="APM Level 7",$B$4="R&amp;T Level 7"),$C210*Thresholds_Rates!$F$15,IF(SUMIF(Grades!$A:$A,$B$4,Grades!$BO:$BO)=1,$C210*Thresholds_Rates!$F$15,""))))))))</f>
        <v/>
      </c>
      <c r="L210" s="25" t="str">
        <f t="shared" si="23"/>
        <v/>
      </c>
      <c r="M210" s="25" t="str">
        <f t="shared" si="24"/>
        <v/>
      </c>
      <c r="N210" s="25" t="str">
        <f t="shared" si="25"/>
        <v/>
      </c>
      <c r="O210" s="25" t="str">
        <f t="shared" si="26"/>
        <v/>
      </c>
      <c r="P210" s="25" t="str">
        <f t="shared" si="27"/>
        <v/>
      </c>
    </row>
    <row r="211" spans="5:16" x14ac:dyDescent="0.25">
      <c r="E211" s="25" t="str">
        <f>IF($B211="","",IF(AND($B$4="Salary Points 3 to 57",B211&lt;Thresholds_Rates!$C$16),"-",IF(SUMIF(Grades!$A:$A,$B$4,Grades!$BO:$BO)=0,"-",IF(AND($B$4="Salary Points 3 to 57",B211&gt;=Thresholds_Rates!$C$16),$C211*Thresholds_Rates!$F$15,IF(AND(OR($B$4="New Consultant Contract"),$B211&lt;&gt;""),$C211*Thresholds_Rates!$F$15,IF(AND(OR($B$4="Clinical Lecturer / Medical Research Fellow",$B$4="Clinical Consultant - Old Contract (GP)"),$B211&lt;&gt;""),$C211*Thresholds_Rates!$F$15,IF(OR($B$4="APM Level 7",$B$4="R&amp;T Level 7"),$C211*Thresholds_Rates!$F$15,IF(SUMIF(Grades!$A:$A,$B$4,Grades!$BO:$BO)=1,$C211*Thresholds_Rates!$F$15,""))))))))</f>
        <v/>
      </c>
      <c r="L211" s="25" t="str">
        <f t="shared" si="23"/>
        <v/>
      </c>
      <c r="M211" s="25" t="str">
        <f t="shared" si="24"/>
        <v/>
      </c>
      <c r="N211" s="25" t="str">
        <f t="shared" si="25"/>
        <v/>
      </c>
      <c r="O211" s="25" t="str">
        <f t="shared" si="26"/>
        <v/>
      </c>
      <c r="P211" s="25" t="str">
        <f t="shared" si="27"/>
        <v/>
      </c>
    </row>
    <row r="212" spans="5:16" x14ac:dyDescent="0.25">
      <c r="E212" s="25" t="str">
        <f>IF($B212="","",IF(AND($B$4="Salary Points 3 to 57",B212&lt;Thresholds_Rates!$C$16),"-",IF(SUMIF(Grades!$A:$A,$B$4,Grades!$BO:$BO)=0,"-",IF(AND($B$4="Salary Points 3 to 57",B212&gt;=Thresholds_Rates!$C$16),$C212*Thresholds_Rates!$F$15,IF(AND(OR($B$4="New Consultant Contract"),$B212&lt;&gt;""),$C212*Thresholds_Rates!$F$15,IF(AND(OR($B$4="Clinical Lecturer / Medical Research Fellow",$B$4="Clinical Consultant - Old Contract (GP)"),$B212&lt;&gt;""),$C212*Thresholds_Rates!$F$15,IF(OR($B$4="APM Level 7",$B$4="R&amp;T Level 7"),$C212*Thresholds_Rates!$F$15,IF(SUMIF(Grades!$A:$A,$B$4,Grades!$BO:$BO)=1,$C212*Thresholds_Rates!$F$15,""))))))))</f>
        <v/>
      </c>
      <c r="L212" s="25" t="str">
        <f t="shared" si="23"/>
        <v/>
      </c>
      <c r="M212" s="25" t="str">
        <f t="shared" si="24"/>
        <v/>
      </c>
      <c r="N212" s="25" t="str">
        <f t="shared" si="25"/>
        <v/>
      </c>
      <c r="O212" s="25" t="str">
        <f t="shared" si="26"/>
        <v/>
      </c>
      <c r="P212" s="25" t="str">
        <f t="shared" si="27"/>
        <v/>
      </c>
    </row>
    <row r="213" spans="5:16" x14ac:dyDescent="0.25">
      <c r="E213" s="25" t="str">
        <f>IF($B213="","",IF(AND($B$4="Salary Points 3 to 57",B213&lt;Thresholds_Rates!$C$16),"-",IF(SUMIF(Grades!$A:$A,$B$4,Grades!$BO:$BO)=0,"-",IF(AND($B$4="Salary Points 3 to 57",B213&gt;=Thresholds_Rates!$C$16),$C213*Thresholds_Rates!$F$15,IF(AND(OR($B$4="New Consultant Contract"),$B213&lt;&gt;""),$C213*Thresholds_Rates!$F$15,IF(AND(OR($B$4="Clinical Lecturer / Medical Research Fellow",$B$4="Clinical Consultant - Old Contract (GP)"),$B213&lt;&gt;""),$C213*Thresholds_Rates!$F$15,IF(OR($B$4="APM Level 7",$B$4="R&amp;T Level 7"),$C213*Thresholds_Rates!$F$15,IF(SUMIF(Grades!$A:$A,$B$4,Grades!$BO:$BO)=1,$C213*Thresholds_Rates!$F$15,""))))))))</f>
        <v/>
      </c>
      <c r="L213" s="25" t="str">
        <f t="shared" si="23"/>
        <v/>
      </c>
      <c r="M213" s="25" t="str">
        <f t="shared" si="24"/>
        <v/>
      </c>
      <c r="N213" s="25" t="str">
        <f t="shared" si="25"/>
        <v/>
      </c>
      <c r="O213" s="25" t="str">
        <f t="shared" si="26"/>
        <v/>
      </c>
      <c r="P213" s="25" t="str">
        <f t="shared" si="27"/>
        <v/>
      </c>
    </row>
    <row r="214" spans="5:16" x14ac:dyDescent="0.25">
      <c r="E214" s="25" t="str">
        <f>IF($B214="","",IF(AND($B$4="Salary Points 3 to 57",B214&lt;Thresholds_Rates!$C$16),"-",IF(SUMIF(Grades!$A:$A,$B$4,Grades!$BO:$BO)=0,"-",IF(AND($B$4="Salary Points 3 to 57",B214&gt;=Thresholds_Rates!$C$16),$C214*Thresholds_Rates!$F$15,IF(AND(OR($B$4="New Consultant Contract"),$B214&lt;&gt;""),$C214*Thresholds_Rates!$F$15,IF(AND(OR($B$4="Clinical Lecturer / Medical Research Fellow",$B$4="Clinical Consultant - Old Contract (GP)"),$B214&lt;&gt;""),$C214*Thresholds_Rates!$F$15,IF(OR($B$4="APM Level 7",$B$4="R&amp;T Level 7"),$C214*Thresholds_Rates!$F$15,IF(SUMIF(Grades!$A:$A,$B$4,Grades!$BO:$BO)=1,$C214*Thresholds_Rates!$F$15,""))))))))</f>
        <v/>
      </c>
      <c r="L214" s="25" t="str">
        <f t="shared" si="23"/>
        <v/>
      </c>
      <c r="M214" s="25" t="str">
        <f t="shared" si="24"/>
        <v/>
      </c>
      <c r="N214" s="25" t="str">
        <f t="shared" si="25"/>
        <v/>
      </c>
      <c r="O214" s="25" t="str">
        <f t="shared" si="26"/>
        <v/>
      </c>
      <c r="P214" s="25" t="str">
        <f t="shared" si="27"/>
        <v/>
      </c>
    </row>
    <row r="215" spans="5:16" x14ac:dyDescent="0.25">
      <c r="E215" s="25" t="str">
        <f>IF($B215="","",IF(AND($B$4="Salary Points 3 to 57",B215&lt;Thresholds_Rates!$C$16),"-",IF(SUMIF(Grades!$A:$A,$B$4,Grades!$BO:$BO)=0,"-",IF(AND($B$4="Salary Points 3 to 57",B215&gt;=Thresholds_Rates!$C$16),$C215*Thresholds_Rates!$F$15,IF(AND(OR($B$4="New Consultant Contract"),$B215&lt;&gt;""),$C215*Thresholds_Rates!$F$15,IF(AND(OR($B$4="Clinical Lecturer / Medical Research Fellow",$B$4="Clinical Consultant - Old Contract (GP)"),$B215&lt;&gt;""),$C215*Thresholds_Rates!$F$15,IF(OR($B$4="APM Level 7",$B$4="R&amp;T Level 7"),$C215*Thresholds_Rates!$F$15,IF(SUMIF(Grades!$A:$A,$B$4,Grades!$BO:$BO)=1,$C215*Thresholds_Rates!$F$15,""))))))))</f>
        <v/>
      </c>
      <c r="L215" s="25" t="str">
        <f t="shared" si="23"/>
        <v/>
      </c>
      <c r="M215" s="25" t="str">
        <f t="shared" si="24"/>
        <v/>
      </c>
      <c r="N215" s="25" t="str">
        <f t="shared" si="25"/>
        <v/>
      </c>
      <c r="O215" s="25" t="str">
        <f t="shared" si="26"/>
        <v/>
      </c>
      <c r="P215" s="25" t="str">
        <f t="shared" si="27"/>
        <v/>
      </c>
    </row>
    <row r="216" spans="5:16" x14ac:dyDescent="0.25">
      <c r="E216" s="25" t="str">
        <f>IF($B216="","",IF(AND($B$4="Salary Points 3 to 57",B216&lt;Thresholds_Rates!$C$16),"-",IF(SUMIF(Grades!$A:$A,$B$4,Grades!$BO:$BO)=0,"-",IF(AND($B$4="Salary Points 3 to 57",B216&gt;=Thresholds_Rates!$C$16),$C216*Thresholds_Rates!$F$15,IF(AND(OR($B$4="New Consultant Contract"),$B216&lt;&gt;""),$C216*Thresholds_Rates!$F$15,IF(AND(OR($B$4="Clinical Lecturer / Medical Research Fellow",$B$4="Clinical Consultant - Old Contract (GP)"),$B216&lt;&gt;""),$C216*Thresholds_Rates!$F$15,IF(OR($B$4="APM Level 7",$B$4="R&amp;T Level 7"),$C216*Thresholds_Rates!$F$15,IF(SUMIF(Grades!$A:$A,$B$4,Grades!$BO:$BO)=1,$C216*Thresholds_Rates!$F$15,""))))))))</f>
        <v/>
      </c>
      <c r="L216" s="25" t="str">
        <f t="shared" si="23"/>
        <v/>
      </c>
      <c r="M216" s="25" t="str">
        <f t="shared" si="24"/>
        <v/>
      </c>
      <c r="N216" s="25" t="str">
        <f t="shared" si="25"/>
        <v/>
      </c>
      <c r="O216" s="25" t="str">
        <f t="shared" si="26"/>
        <v/>
      </c>
      <c r="P216" s="25" t="str">
        <f t="shared" si="27"/>
        <v/>
      </c>
    </row>
    <row r="217" spans="5:16" x14ac:dyDescent="0.25">
      <c r="E217" s="25" t="str">
        <f>IF($B217="","",IF(AND($B$4="Salary Points 3 to 57",B217&lt;Thresholds_Rates!$C$16),"-",IF(SUMIF(Grades!$A:$A,$B$4,Grades!$BO:$BO)=0,"-",IF(AND($B$4="Salary Points 3 to 57",B217&gt;=Thresholds_Rates!$C$16),$C217*Thresholds_Rates!$F$15,IF(AND(OR($B$4="New Consultant Contract"),$B217&lt;&gt;""),$C217*Thresholds_Rates!$F$15,IF(AND(OR($B$4="Clinical Lecturer / Medical Research Fellow",$B$4="Clinical Consultant - Old Contract (GP)"),$B217&lt;&gt;""),$C217*Thresholds_Rates!$F$15,IF(OR($B$4="APM Level 7",$B$4="R&amp;T Level 7"),$C217*Thresholds_Rates!$F$15,IF(SUMIF(Grades!$A:$A,$B$4,Grades!$BO:$BO)=1,$C217*Thresholds_Rates!$F$15,""))))))))</f>
        <v/>
      </c>
      <c r="L217" s="25" t="str">
        <f t="shared" si="23"/>
        <v/>
      </c>
      <c r="M217" s="25" t="str">
        <f t="shared" si="24"/>
        <v/>
      </c>
      <c r="N217" s="25" t="str">
        <f t="shared" si="25"/>
        <v/>
      </c>
      <c r="O217" s="25" t="str">
        <f t="shared" si="26"/>
        <v/>
      </c>
      <c r="P217" s="25" t="str">
        <f t="shared" si="27"/>
        <v/>
      </c>
    </row>
    <row r="218" spans="5:16" x14ac:dyDescent="0.25">
      <c r="E218" s="25" t="str">
        <f>IF($B218="","",IF(AND($B$4="Salary Points 3 to 57",B218&lt;Thresholds_Rates!$C$16),"-",IF(SUMIF(Grades!$A:$A,$B$4,Grades!$BO:$BO)=0,"-",IF(AND($B$4="Salary Points 3 to 57",B218&gt;=Thresholds_Rates!$C$16),$C218*Thresholds_Rates!$F$15,IF(AND(OR($B$4="New Consultant Contract"),$B218&lt;&gt;""),$C218*Thresholds_Rates!$F$15,IF(AND(OR($B$4="Clinical Lecturer / Medical Research Fellow",$B$4="Clinical Consultant - Old Contract (GP)"),$B218&lt;&gt;""),$C218*Thresholds_Rates!$F$15,IF(OR($B$4="APM Level 7",$B$4="R&amp;T Level 7"),$C218*Thresholds_Rates!$F$15,IF(SUMIF(Grades!$A:$A,$B$4,Grades!$BO:$BO)=1,$C218*Thresholds_Rates!$F$15,""))))))))</f>
        <v/>
      </c>
      <c r="L218" s="25" t="str">
        <f t="shared" si="23"/>
        <v/>
      </c>
      <c r="M218" s="25" t="str">
        <f t="shared" si="24"/>
        <v/>
      </c>
      <c r="N218" s="25" t="str">
        <f t="shared" si="25"/>
        <v/>
      </c>
      <c r="O218" s="25" t="str">
        <f t="shared" si="26"/>
        <v/>
      </c>
      <c r="P218" s="25" t="str">
        <f t="shared" si="27"/>
        <v/>
      </c>
    </row>
    <row r="219" spans="5:16" x14ac:dyDescent="0.25">
      <c r="E219" s="25" t="str">
        <f>IF($B219="","",IF(AND($B$4="Salary Points 3 to 57",B219&lt;Thresholds_Rates!$C$16),"-",IF(SUMIF(Grades!$A:$A,$B$4,Grades!$BO:$BO)=0,"-",IF(AND($B$4="Salary Points 3 to 57",B219&gt;=Thresholds_Rates!$C$16),$C219*Thresholds_Rates!$F$15,IF(AND(OR($B$4="New Consultant Contract"),$B219&lt;&gt;""),$C219*Thresholds_Rates!$F$15,IF(AND(OR($B$4="Clinical Lecturer / Medical Research Fellow",$B$4="Clinical Consultant - Old Contract (GP)"),$B219&lt;&gt;""),$C219*Thresholds_Rates!$F$15,IF(OR($B$4="APM Level 7",$B$4="R&amp;T Level 7"),$C219*Thresholds_Rates!$F$15,IF(SUMIF(Grades!$A:$A,$B$4,Grades!$BO:$BO)=1,$C219*Thresholds_Rates!$F$15,""))))))))</f>
        <v/>
      </c>
      <c r="L219" s="25" t="str">
        <f t="shared" si="23"/>
        <v/>
      </c>
      <c r="M219" s="25" t="str">
        <f t="shared" si="24"/>
        <v/>
      </c>
      <c r="N219" s="25" t="str">
        <f t="shared" si="25"/>
        <v/>
      </c>
      <c r="O219" s="25" t="str">
        <f t="shared" si="26"/>
        <v/>
      </c>
      <c r="P219" s="25" t="str">
        <f t="shared" si="27"/>
        <v/>
      </c>
    </row>
    <row r="220" spans="5:16" x14ac:dyDescent="0.25">
      <c r="E220" s="25" t="str">
        <f>IF($B220="","",IF(AND($B$4="Salary Points 3 to 57",B220&lt;Thresholds_Rates!$C$16),"-",IF(SUMIF(Grades!$A:$A,$B$4,Grades!$BO:$BO)=0,"-",IF(AND($B$4="Salary Points 3 to 57",B220&gt;=Thresholds_Rates!$C$16),$C220*Thresholds_Rates!$F$15,IF(AND(OR($B$4="New Consultant Contract"),$B220&lt;&gt;""),$C220*Thresholds_Rates!$F$15,IF(AND(OR($B$4="Clinical Lecturer / Medical Research Fellow",$B$4="Clinical Consultant - Old Contract (GP)"),$B220&lt;&gt;""),$C220*Thresholds_Rates!$F$15,IF(OR($B$4="APM Level 7",$B$4="R&amp;T Level 7"),$C220*Thresholds_Rates!$F$15,IF(SUMIF(Grades!$A:$A,$B$4,Grades!$BO:$BO)=1,$C220*Thresholds_Rates!$F$15,""))))))))</f>
        <v/>
      </c>
      <c r="L220" s="25" t="str">
        <f t="shared" si="23"/>
        <v/>
      </c>
      <c r="M220" s="25" t="str">
        <f t="shared" si="24"/>
        <v/>
      </c>
      <c r="N220" s="25" t="str">
        <f t="shared" si="25"/>
        <v/>
      </c>
      <c r="O220" s="25" t="str">
        <f t="shared" si="26"/>
        <v/>
      </c>
      <c r="P220" s="25" t="str">
        <f t="shared" si="27"/>
        <v/>
      </c>
    </row>
    <row r="221" spans="5:16" x14ac:dyDescent="0.25">
      <c r="E221" s="25" t="str">
        <f>IF($B221="","",IF(AND($B$4="Salary Points 3 to 57",B221&lt;Thresholds_Rates!$C$16),"-",IF(SUMIF(Grades!$A:$A,$B$4,Grades!$BO:$BO)=0,"-",IF(AND($B$4="Salary Points 3 to 57",B221&gt;=Thresholds_Rates!$C$16),$C221*Thresholds_Rates!$F$15,IF(AND(OR($B$4="New Consultant Contract"),$B221&lt;&gt;""),$C221*Thresholds_Rates!$F$15,IF(AND(OR($B$4="Clinical Lecturer / Medical Research Fellow",$B$4="Clinical Consultant - Old Contract (GP)"),$B221&lt;&gt;""),$C221*Thresholds_Rates!$F$15,IF(OR($B$4="APM Level 7",$B$4="R&amp;T Level 7"),$C221*Thresholds_Rates!$F$15,IF(SUMIF(Grades!$A:$A,$B$4,Grades!$BO:$BO)=1,$C221*Thresholds_Rates!$F$15,""))))))))</f>
        <v/>
      </c>
      <c r="L221" s="25" t="str">
        <f t="shared" si="23"/>
        <v/>
      </c>
      <c r="M221" s="25" t="str">
        <f t="shared" si="24"/>
        <v/>
      </c>
      <c r="N221" s="25" t="str">
        <f t="shared" si="25"/>
        <v/>
      </c>
      <c r="O221" s="25" t="str">
        <f t="shared" si="26"/>
        <v/>
      </c>
      <c r="P221" s="25" t="str">
        <f t="shared" si="27"/>
        <v/>
      </c>
    </row>
    <row r="222" spans="5:16" x14ac:dyDescent="0.25">
      <c r="E222" s="25" t="str">
        <f>IF($B222="","",IF(AND($B$4="Salary Points 3 to 57",B222&lt;Thresholds_Rates!$C$16),"-",IF(SUMIF(Grades!$A:$A,$B$4,Grades!$BO:$BO)=0,"-",IF(AND($B$4="Salary Points 3 to 57",B222&gt;=Thresholds_Rates!$C$16),$C222*Thresholds_Rates!$F$15,IF(AND(OR($B$4="New Consultant Contract"),$B222&lt;&gt;""),$C222*Thresholds_Rates!$F$15,IF(AND(OR($B$4="Clinical Lecturer / Medical Research Fellow",$B$4="Clinical Consultant - Old Contract (GP)"),$B222&lt;&gt;""),$C222*Thresholds_Rates!$F$15,IF(OR($B$4="APM Level 7",$B$4="R&amp;T Level 7"),$C222*Thresholds_Rates!$F$15,IF(SUMIF(Grades!$A:$A,$B$4,Grades!$BO:$BO)=1,$C222*Thresholds_Rates!$F$15,""))))))))</f>
        <v/>
      </c>
      <c r="L222" s="25" t="str">
        <f t="shared" si="23"/>
        <v/>
      </c>
      <c r="M222" s="25" t="str">
        <f t="shared" si="24"/>
        <v/>
      </c>
      <c r="N222" s="25" t="str">
        <f t="shared" si="25"/>
        <v/>
      </c>
      <c r="O222" s="25" t="str">
        <f t="shared" si="26"/>
        <v/>
      </c>
      <c r="P222" s="25" t="str">
        <f t="shared" si="27"/>
        <v/>
      </c>
    </row>
    <row r="223" spans="5:16" x14ac:dyDescent="0.25">
      <c r="E223" s="25" t="str">
        <f>IF($B223="","",IF(AND($B$4="Salary Points 3 to 57",B223&lt;Thresholds_Rates!$C$16),"-",IF(SUMIF(Grades!$A:$A,$B$4,Grades!$BO:$BO)=0,"-",IF(AND($B$4="Salary Points 3 to 57",B223&gt;=Thresholds_Rates!$C$16),$C223*Thresholds_Rates!$F$15,IF(AND(OR($B$4="New Consultant Contract"),$B223&lt;&gt;""),$C223*Thresholds_Rates!$F$15,IF(AND(OR($B$4="Clinical Lecturer / Medical Research Fellow",$B$4="Clinical Consultant - Old Contract (GP)"),$B223&lt;&gt;""),$C223*Thresholds_Rates!$F$15,IF(OR($B$4="APM Level 7",$B$4="R&amp;T Level 7"),$C223*Thresholds_Rates!$F$15,IF(SUMIF(Grades!$A:$A,$B$4,Grades!$BO:$BO)=1,$C223*Thresholds_Rates!$F$15,""))))))))</f>
        <v/>
      </c>
      <c r="L223" s="25" t="str">
        <f t="shared" si="23"/>
        <v/>
      </c>
      <c r="M223" s="25" t="str">
        <f t="shared" si="24"/>
        <v/>
      </c>
      <c r="N223" s="25" t="str">
        <f t="shared" si="25"/>
        <v/>
      </c>
      <c r="O223" s="25" t="str">
        <f t="shared" si="26"/>
        <v/>
      </c>
      <c r="P223" s="25" t="str">
        <f t="shared" si="27"/>
        <v/>
      </c>
    </row>
    <row r="224" spans="5:16" x14ac:dyDescent="0.25">
      <c r="E224" s="25" t="str">
        <f>IF($B224="","",IF(AND($B$4="Salary Points 3 to 57",B224&lt;Thresholds_Rates!$C$16),"-",IF(SUMIF(Grades!$A:$A,$B$4,Grades!$BO:$BO)=0,"-",IF(AND($B$4="Salary Points 3 to 57",B224&gt;=Thresholds_Rates!$C$16),$C224*Thresholds_Rates!$F$15,IF(AND(OR($B$4="New Consultant Contract"),$B224&lt;&gt;""),$C224*Thresholds_Rates!$F$15,IF(AND(OR($B$4="Clinical Lecturer / Medical Research Fellow",$B$4="Clinical Consultant - Old Contract (GP)"),$B224&lt;&gt;""),$C224*Thresholds_Rates!$F$15,IF(OR($B$4="APM Level 7",$B$4="R&amp;T Level 7"),$C224*Thresholds_Rates!$F$15,IF(SUMIF(Grades!$A:$A,$B$4,Grades!$BO:$BO)=1,$C224*Thresholds_Rates!$F$15,""))))))))</f>
        <v/>
      </c>
      <c r="L224" s="25" t="str">
        <f t="shared" si="23"/>
        <v/>
      </c>
      <c r="M224" s="25" t="str">
        <f t="shared" si="24"/>
        <v/>
      </c>
      <c r="N224" s="25" t="str">
        <f t="shared" si="25"/>
        <v/>
      </c>
      <c r="O224" s="25" t="str">
        <f t="shared" si="26"/>
        <v/>
      </c>
      <c r="P224" s="25" t="str">
        <f t="shared" si="27"/>
        <v/>
      </c>
    </row>
    <row r="225" spans="5:16" x14ac:dyDescent="0.25">
      <c r="E225" s="25" t="str">
        <f>IF($B225="","",IF(AND($B$4="Salary Points 3 to 57",B225&lt;Thresholds_Rates!$C$16),"-",IF(SUMIF(Grades!$A:$A,$B$4,Grades!$BO:$BO)=0,"-",IF(AND($B$4="Salary Points 3 to 57",B225&gt;=Thresholds_Rates!$C$16),$C225*Thresholds_Rates!$F$15,IF(AND(OR($B$4="New Consultant Contract"),$B225&lt;&gt;""),$C225*Thresholds_Rates!$F$15,IF(AND(OR($B$4="Clinical Lecturer / Medical Research Fellow",$B$4="Clinical Consultant - Old Contract (GP)"),$B225&lt;&gt;""),$C225*Thresholds_Rates!$F$15,IF(OR($B$4="APM Level 7",$B$4="R&amp;T Level 7"),$C225*Thresholds_Rates!$F$15,IF(SUMIF(Grades!$A:$A,$B$4,Grades!$BO:$BO)=1,$C225*Thresholds_Rates!$F$15,""))))))))</f>
        <v/>
      </c>
      <c r="L225" s="25" t="str">
        <f t="shared" si="23"/>
        <v/>
      </c>
      <c r="M225" s="25" t="str">
        <f t="shared" si="24"/>
        <v/>
      </c>
      <c r="N225" s="25" t="str">
        <f t="shared" si="25"/>
        <v/>
      </c>
      <c r="O225" s="25" t="str">
        <f t="shared" si="26"/>
        <v/>
      </c>
      <c r="P225" s="25" t="str">
        <f t="shared" si="27"/>
        <v/>
      </c>
    </row>
    <row r="226" spans="5:16" x14ac:dyDescent="0.25">
      <c r="E226" s="25" t="str">
        <f>IF($B226="","",IF(AND($B$4="Salary Points 3 to 57",B226&lt;Thresholds_Rates!$C$16),"-",IF(SUMIF(Grades!$A:$A,$B$4,Grades!$BO:$BO)=0,"-",IF(AND($B$4="Salary Points 3 to 57",B226&gt;=Thresholds_Rates!$C$16),$C226*Thresholds_Rates!$F$15,IF(AND(OR($B$4="New Consultant Contract"),$B226&lt;&gt;""),$C226*Thresholds_Rates!$F$15,IF(AND(OR($B$4="Clinical Lecturer / Medical Research Fellow",$B$4="Clinical Consultant - Old Contract (GP)"),$B226&lt;&gt;""),$C226*Thresholds_Rates!$F$15,IF(OR($B$4="APM Level 7",$B$4="R&amp;T Level 7"),$C226*Thresholds_Rates!$F$15,IF(SUMIF(Grades!$A:$A,$B$4,Grades!$BO:$BO)=1,$C226*Thresholds_Rates!$F$15,""))))))))</f>
        <v/>
      </c>
      <c r="L226" s="25" t="str">
        <f t="shared" si="23"/>
        <v/>
      </c>
      <c r="M226" s="25" t="str">
        <f t="shared" si="24"/>
        <v/>
      </c>
      <c r="N226" s="25" t="str">
        <f t="shared" si="25"/>
        <v/>
      </c>
      <c r="O226" s="25" t="str">
        <f t="shared" si="26"/>
        <v/>
      </c>
      <c r="P226" s="25" t="str">
        <f t="shared" si="27"/>
        <v/>
      </c>
    </row>
    <row r="227" spans="5:16" x14ac:dyDescent="0.25">
      <c r="E227" s="25" t="str">
        <f>IF($B227="","",IF(AND($B$4="Salary Points 3 to 57",B227&lt;Thresholds_Rates!$C$16),"-",IF(SUMIF(Grades!$A:$A,$B$4,Grades!$BO:$BO)=0,"-",IF(AND($B$4="Salary Points 3 to 57",B227&gt;=Thresholds_Rates!$C$16),$C227*Thresholds_Rates!$F$15,IF(AND(OR($B$4="New Consultant Contract"),$B227&lt;&gt;""),$C227*Thresholds_Rates!$F$15,IF(AND(OR($B$4="Clinical Lecturer / Medical Research Fellow",$B$4="Clinical Consultant - Old Contract (GP)"),$B227&lt;&gt;""),$C227*Thresholds_Rates!$F$15,IF(OR($B$4="APM Level 7",$B$4="R&amp;T Level 7"),$C227*Thresholds_Rates!$F$15,IF(SUMIF(Grades!$A:$A,$B$4,Grades!$BO:$BO)=1,$C227*Thresholds_Rates!$F$15,""))))))))</f>
        <v/>
      </c>
      <c r="L227" s="25" t="str">
        <f t="shared" si="23"/>
        <v/>
      </c>
      <c r="M227" s="25" t="str">
        <f t="shared" si="24"/>
        <v/>
      </c>
      <c r="N227" s="25" t="str">
        <f t="shared" si="25"/>
        <v/>
      </c>
      <c r="O227" s="25" t="str">
        <f t="shared" si="26"/>
        <v/>
      </c>
      <c r="P227" s="25" t="str">
        <f t="shared" si="27"/>
        <v/>
      </c>
    </row>
    <row r="228" spans="5:16" x14ac:dyDescent="0.25">
      <c r="E228" s="25" t="str">
        <f>IF($B228="","",IF(AND($B$4="Salary Points 3 to 57",B228&lt;Thresholds_Rates!$C$16),"-",IF(SUMIF(Grades!$A:$A,$B$4,Grades!$BO:$BO)=0,"-",IF(AND($B$4="Salary Points 3 to 57",B228&gt;=Thresholds_Rates!$C$16),$C228*Thresholds_Rates!$F$15,IF(AND(OR($B$4="New Consultant Contract"),$B228&lt;&gt;""),$C228*Thresholds_Rates!$F$15,IF(AND(OR($B$4="Clinical Lecturer / Medical Research Fellow",$B$4="Clinical Consultant - Old Contract (GP)"),$B228&lt;&gt;""),$C228*Thresholds_Rates!$F$15,IF(OR($B$4="APM Level 7",$B$4="R&amp;T Level 7"),$C228*Thresholds_Rates!$F$15,IF(SUMIF(Grades!$A:$A,$B$4,Grades!$BO:$BO)=1,$C228*Thresholds_Rates!$F$15,""))))))))</f>
        <v/>
      </c>
      <c r="L228" s="25" t="str">
        <f t="shared" si="23"/>
        <v/>
      </c>
      <c r="M228" s="25" t="str">
        <f t="shared" si="24"/>
        <v/>
      </c>
      <c r="N228" s="25" t="str">
        <f t="shared" si="25"/>
        <v/>
      </c>
      <c r="O228" s="25" t="str">
        <f t="shared" si="26"/>
        <v/>
      </c>
      <c r="P228" s="25" t="str">
        <f t="shared" si="27"/>
        <v/>
      </c>
    </row>
    <row r="229" spans="5:16" x14ac:dyDescent="0.25">
      <c r="E229" s="25" t="str">
        <f>IF($B229="","",IF(AND($B$4="Salary Points 3 to 57",B229&lt;Thresholds_Rates!$C$16),"-",IF(SUMIF(Grades!$A:$A,$B$4,Grades!$BO:$BO)=0,"-",IF(AND($B$4="Salary Points 3 to 57",B229&gt;=Thresholds_Rates!$C$16),$C229*Thresholds_Rates!$F$15,IF(AND(OR($B$4="New Consultant Contract"),$B229&lt;&gt;""),$C229*Thresholds_Rates!$F$15,IF(AND(OR($B$4="Clinical Lecturer / Medical Research Fellow",$B$4="Clinical Consultant - Old Contract (GP)"),$B229&lt;&gt;""),$C229*Thresholds_Rates!$F$15,IF(OR($B$4="APM Level 7",$B$4="R&amp;T Level 7"),$C229*Thresholds_Rates!$F$15,IF(SUMIF(Grades!$A:$A,$B$4,Grades!$BO:$BO)=1,$C229*Thresholds_Rates!$F$15,""))))))))</f>
        <v/>
      </c>
      <c r="L229" s="25" t="str">
        <f t="shared" si="23"/>
        <v/>
      </c>
      <c r="M229" s="25" t="str">
        <f t="shared" si="24"/>
        <v/>
      </c>
      <c r="N229" s="25" t="str">
        <f t="shared" si="25"/>
        <v/>
      </c>
      <c r="O229" s="25" t="str">
        <f t="shared" si="26"/>
        <v/>
      </c>
      <c r="P229" s="25" t="str">
        <f t="shared" si="27"/>
        <v/>
      </c>
    </row>
    <row r="230" spans="5:16" x14ac:dyDescent="0.25">
      <c r="E230" s="25" t="str">
        <f>IF($B230="","",IF(AND($B$4="Salary Points 3 to 57",B230&lt;Thresholds_Rates!$C$16),"-",IF(SUMIF(Grades!$A:$A,$B$4,Grades!$BO:$BO)=0,"-",IF(AND($B$4="Salary Points 3 to 57",B230&gt;=Thresholds_Rates!$C$16),$C230*Thresholds_Rates!$F$15,IF(AND(OR($B$4="New Consultant Contract"),$B230&lt;&gt;""),$C230*Thresholds_Rates!$F$15,IF(AND(OR($B$4="Clinical Lecturer / Medical Research Fellow",$B$4="Clinical Consultant - Old Contract (GP)"),$B230&lt;&gt;""),$C230*Thresholds_Rates!$F$15,IF(OR($B$4="APM Level 7",$B$4="R&amp;T Level 7"),$C230*Thresholds_Rates!$F$15,IF(SUMIF(Grades!$A:$A,$B$4,Grades!$BO:$BO)=1,$C230*Thresholds_Rates!$F$15,""))))))))</f>
        <v/>
      </c>
      <c r="L230" s="25" t="str">
        <f t="shared" si="23"/>
        <v/>
      </c>
      <c r="M230" s="25" t="str">
        <f t="shared" si="24"/>
        <v/>
      </c>
      <c r="N230" s="25" t="str">
        <f t="shared" si="25"/>
        <v/>
      </c>
      <c r="O230" s="25" t="str">
        <f t="shared" si="26"/>
        <v/>
      </c>
      <c r="P230" s="25" t="str">
        <f t="shared" si="27"/>
        <v/>
      </c>
    </row>
    <row r="231" spans="5:16" x14ac:dyDescent="0.25">
      <c r="E231" s="25" t="str">
        <f>IF($B231="","",IF(AND($B$4="Salary Points 3 to 57",B231&lt;Thresholds_Rates!$C$16),"-",IF(SUMIF(Grades!$A:$A,$B$4,Grades!$BO:$BO)=0,"-",IF(AND($B$4="Salary Points 3 to 57",B231&gt;=Thresholds_Rates!$C$16),$C231*Thresholds_Rates!$F$15,IF(AND(OR($B$4="New Consultant Contract"),$B231&lt;&gt;""),$C231*Thresholds_Rates!$F$15,IF(AND(OR($B$4="Clinical Lecturer / Medical Research Fellow",$B$4="Clinical Consultant - Old Contract (GP)"),$B231&lt;&gt;""),$C231*Thresholds_Rates!$F$15,IF(OR($B$4="APM Level 7",$B$4="R&amp;T Level 7"),$C231*Thresholds_Rates!$F$15,IF(SUMIF(Grades!$A:$A,$B$4,Grades!$BO:$BO)=1,$C231*Thresholds_Rates!$F$15,""))))))))</f>
        <v/>
      </c>
      <c r="L231" s="25" t="str">
        <f t="shared" si="23"/>
        <v/>
      </c>
      <c r="M231" s="25" t="str">
        <f t="shared" si="24"/>
        <v/>
      </c>
      <c r="N231" s="25" t="str">
        <f t="shared" si="25"/>
        <v/>
      </c>
      <c r="O231" s="25" t="str">
        <f t="shared" si="26"/>
        <v/>
      </c>
      <c r="P231" s="25" t="str">
        <f t="shared" si="27"/>
        <v/>
      </c>
    </row>
    <row r="232" spans="5:16" x14ac:dyDescent="0.25">
      <c r="E232" s="25" t="str">
        <f>IF($B232="","",IF(AND($B$4="Salary Points 3 to 57",B232&lt;Thresholds_Rates!$C$16),"-",IF(SUMIF(Grades!$A:$A,$B$4,Grades!$BO:$BO)=0,"-",IF(AND($B$4="Salary Points 3 to 57",B232&gt;=Thresholds_Rates!$C$16),$C232*Thresholds_Rates!$F$15,IF(AND(OR($B$4="New Consultant Contract"),$B232&lt;&gt;""),$C232*Thresholds_Rates!$F$15,IF(AND(OR($B$4="Clinical Lecturer / Medical Research Fellow",$B$4="Clinical Consultant - Old Contract (GP)"),$B232&lt;&gt;""),$C232*Thresholds_Rates!$F$15,IF(OR($B$4="APM Level 7",$B$4="R&amp;T Level 7"),$C232*Thresholds_Rates!$F$15,IF(SUMIF(Grades!$A:$A,$B$4,Grades!$BO:$BO)=1,$C232*Thresholds_Rates!$F$15,""))))))))</f>
        <v/>
      </c>
      <c r="L232" s="25" t="str">
        <f t="shared" si="23"/>
        <v/>
      </c>
      <c r="M232" s="25" t="str">
        <f t="shared" si="24"/>
        <v/>
      </c>
      <c r="N232" s="25" t="str">
        <f t="shared" si="25"/>
        <v/>
      </c>
      <c r="O232" s="25" t="str">
        <f t="shared" si="26"/>
        <v/>
      </c>
      <c r="P232" s="25" t="str">
        <f t="shared" si="27"/>
        <v/>
      </c>
    </row>
    <row r="233" spans="5:16" x14ac:dyDescent="0.25">
      <c r="E233" s="25" t="str">
        <f>IF($B233="","",IF(AND($B$4="Salary Points 3 to 57",B233&lt;Thresholds_Rates!$C$16),"-",IF(SUMIF(Grades!$A:$A,$B$4,Grades!$BO:$BO)=0,"-",IF(AND($B$4="Salary Points 3 to 57",B233&gt;=Thresholds_Rates!$C$16),$C233*Thresholds_Rates!$F$15,IF(AND(OR($B$4="New Consultant Contract"),$B233&lt;&gt;""),$C233*Thresholds_Rates!$F$15,IF(AND(OR($B$4="Clinical Lecturer / Medical Research Fellow",$B$4="Clinical Consultant - Old Contract (GP)"),$B233&lt;&gt;""),$C233*Thresholds_Rates!$F$15,IF(OR($B$4="APM Level 7",$B$4="R&amp;T Level 7"),$C233*Thresholds_Rates!$F$15,IF(SUMIF(Grades!$A:$A,$B$4,Grades!$BO:$BO)=1,$C233*Thresholds_Rates!$F$15,""))))))))</f>
        <v/>
      </c>
      <c r="L233" s="25" t="str">
        <f t="shared" si="23"/>
        <v/>
      </c>
      <c r="M233" s="25" t="str">
        <f t="shared" si="24"/>
        <v/>
      </c>
      <c r="N233" s="25" t="str">
        <f t="shared" si="25"/>
        <v/>
      </c>
      <c r="O233" s="25" t="str">
        <f t="shared" si="26"/>
        <v/>
      </c>
      <c r="P233" s="25" t="str">
        <f t="shared" si="27"/>
        <v/>
      </c>
    </row>
    <row r="234" spans="5:16" x14ac:dyDescent="0.25">
      <c r="E234" s="25" t="str">
        <f>IF($B234="","",IF(AND($B$4="Salary Points 3 to 57",B234&lt;Thresholds_Rates!$C$16),"-",IF(SUMIF(Grades!$A:$A,$B$4,Grades!$BO:$BO)=0,"-",IF(AND($B$4="Salary Points 3 to 57",B234&gt;=Thresholds_Rates!$C$16),$C234*Thresholds_Rates!$F$15,IF(AND(OR($B$4="New Consultant Contract"),$B234&lt;&gt;""),$C234*Thresholds_Rates!$F$15,IF(AND(OR($B$4="Clinical Lecturer / Medical Research Fellow",$B$4="Clinical Consultant - Old Contract (GP)"),$B234&lt;&gt;""),$C234*Thresholds_Rates!$F$15,IF(OR($B$4="APM Level 7",$B$4="R&amp;T Level 7"),$C234*Thresholds_Rates!$F$15,IF(SUMIF(Grades!$A:$A,$B$4,Grades!$BO:$BO)=1,$C234*Thresholds_Rates!$F$15,""))))))))</f>
        <v/>
      </c>
      <c r="L234" s="25" t="str">
        <f t="shared" si="23"/>
        <v/>
      </c>
      <c r="M234" s="25" t="str">
        <f t="shared" si="24"/>
        <v/>
      </c>
      <c r="N234" s="25" t="str">
        <f t="shared" si="25"/>
        <v/>
      </c>
      <c r="O234" s="25" t="str">
        <f t="shared" si="26"/>
        <v/>
      </c>
      <c r="P234" s="25" t="str">
        <f t="shared" si="27"/>
        <v/>
      </c>
    </row>
    <row r="235" spans="5:16" x14ac:dyDescent="0.25">
      <c r="E235" s="25" t="str">
        <f>IF($B235="","",IF(AND($B$4="Salary Points 3 to 57",B235&lt;Thresholds_Rates!$C$16),"-",IF(SUMIF(Grades!$A:$A,$B$4,Grades!$BO:$BO)=0,"-",IF(AND($B$4="Salary Points 3 to 57",B235&gt;=Thresholds_Rates!$C$16),$C235*Thresholds_Rates!$F$15,IF(AND(OR($B$4="New Consultant Contract"),$B235&lt;&gt;""),$C235*Thresholds_Rates!$F$15,IF(AND(OR($B$4="Clinical Lecturer / Medical Research Fellow",$B$4="Clinical Consultant - Old Contract (GP)"),$B235&lt;&gt;""),$C235*Thresholds_Rates!$F$15,IF(OR($B$4="APM Level 7",$B$4="R&amp;T Level 7"),$C235*Thresholds_Rates!$F$15,IF(SUMIF(Grades!$A:$A,$B$4,Grades!$BO:$BO)=1,$C235*Thresholds_Rates!$F$15,""))))))))</f>
        <v/>
      </c>
      <c r="L235" s="25" t="str">
        <f t="shared" si="23"/>
        <v/>
      </c>
      <c r="M235" s="25" t="str">
        <f t="shared" si="24"/>
        <v/>
      </c>
      <c r="N235" s="25" t="str">
        <f t="shared" si="25"/>
        <v/>
      </c>
      <c r="O235" s="25" t="str">
        <f t="shared" si="26"/>
        <v/>
      </c>
      <c r="P235" s="25" t="str">
        <f t="shared" si="27"/>
        <v/>
      </c>
    </row>
    <row r="236" spans="5:16" x14ac:dyDescent="0.25">
      <c r="E236" s="25" t="str">
        <f>IF($B236="","",IF(AND($B$4="Salary Points 3 to 57",B236&lt;Thresholds_Rates!$C$16),"-",IF(SUMIF(Grades!$A:$A,$B$4,Grades!$BO:$BO)=0,"-",IF(AND($B$4="Salary Points 3 to 57",B236&gt;=Thresholds_Rates!$C$16),$C236*Thresholds_Rates!$F$15,IF(AND(OR($B$4="New Consultant Contract"),$B236&lt;&gt;""),$C236*Thresholds_Rates!$F$15,IF(AND(OR($B$4="Clinical Lecturer / Medical Research Fellow",$B$4="Clinical Consultant - Old Contract (GP)"),$B236&lt;&gt;""),$C236*Thresholds_Rates!$F$15,IF(OR($B$4="APM Level 7",$B$4="R&amp;T Level 7"),$C236*Thresholds_Rates!$F$15,IF(SUMIF(Grades!$A:$A,$B$4,Grades!$BO:$BO)=1,$C236*Thresholds_Rates!$F$15,""))))))))</f>
        <v/>
      </c>
      <c r="L236" s="25" t="str">
        <f t="shared" si="23"/>
        <v/>
      </c>
      <c r="M236" s="25" t="str">
        <f t="shared" si="24"/>
        <v/>
      </c>
      <c r="N236" s="25" t="str">
        <f t="shared" si="25"/>
        <v/>
      </c>
      <c r="O236" s="25" t="str">
        <f t="shared" si="26"/>
        <v/>
      </c>
      <c r="P236" s="25" t="str">
        <f t="shared" si="27"/>
        <v/>
      </c>
    </row>
    <row r="237" spans="5:16" x14ac:dyDescent="0.25">
      <c r="E237" s="25" t="str">
        <f>IF($B237="","",IF(AND($B$4="Salary Points 3 to 57",B237&lt;Thresholds_Rates!$C$16),"-",IF(SUMIF(Grades!$A:$A,$B$4,Grades!$BO:$BO)=0,"-",IF(AND($B$4="Salary Points 3 to 57",B237&gt;=Thresholds_Rates!$C$16),$C237*Thresholds_Rates!$F$15,IF(AND(OR($B$4="New Consultant Contract"),$B237&lt;&gt;""),$C237*Thresholds_Rates!$F$15,IF(AND(OR($B$4="Clinical Lecturer / Medical Research Fellow",$B$4="Clinical Consultant - Old Contract (GP)"),$B237&lt;&gt;""),$C237*Thresholds_Rates!$F$15,IF(OR($B$4="APM Level 7",$B$4="R&amp;T Level 7"),$C237*Thresholds_Rates!$F$15,IF(SUMIF(Grades!$A:$A,$B$4,Grades!$BO:$BO)=1,$C237*Thresholds_Rates!$F$15,""))))))))</f>
        <v/>
      </c>
      <c r="L237" s="25" t="str">
        <f t="shared" si="23"/>
        <v/>
      </c>
      <c r="M237" s="25" t="str">
        <f t="shared" si="24"/>
        <v/>
      </c>
      <c r="N237" s="25" t="str">
        <f t="shared" si="25"/>
        <v/>
      </c>
      <c r="O237" s="25" t="str">
        <f t="shared" si="26"/>
        <v/>
      </c>
      <c r="P237" s="25" t="str">
        <f t="shared" si="27"/>
        <v/>
      </c>
    </row>
    <row r="238" spans="5:16" x14ac:dyDescent="0.25">
      <c r="E238" s="25" t="str">
        <f>IF($B238="","",IF(AND($B$4="Salary Points 3 to 57",B238&lt;Thresholds_Rates!$C$16),"-",IF(SUMIF(Grades!$A:$A,$B$4,Grades!$BO:$BO)=0,"-",IF(AND($B$4="Salary Points 3 to 57",B238&gt;=Thresholds_Rates!$C$16),$C238*Thresholds_Rates!$F$15,IF(AND(OR($B$4="New Consultant Contract"),$B238&lt;&gt;""),$C238*Thresholds_Rates!$F$15,IF(AND(OR($B$4="Clinical Lecturer / Medical Research Fellow",$B$4="Clinical Consultant - Old Contract (GP)"),$B238&lt;&gt;""),$C238*Thresholds_Rates!$F$15,IF(OR($B$4="APM Level 7",$B$4="R&amp;T Level 7"),$C238*Thresholds_Rates!$F$15,IF(SUMIF(Grades!$A:$A,$B$4,Grades!$BO:$BO)=1,$C238*Thresholds_Rates!$F$15,""))))))))</f>
        <v/>
      </c>
      <c r="L238" s="25" t="str">
        <f t="shared" si="23"/>
        <v/>
      </c>
      <c r="M238" s="25" t="str">
        <f t="shared" si="24"/>
        <v/>
      </c>
      <c r="N238" s="25" t="str">
        <f t="shared" si="25"/>
        <v/>
      </c>
      <c r="O238" s="25" t="str">
        <f t="shared" si="26"/>
        <v/>
      </c>
      <c r="P238" s="25" t="str">
        <f t="shared" si="27"/>
        <v/>
      </c>
    </row>
    <row r="239" spans="5:16" x14ac:dyDescent="0.25">
      <c r="E239" s="25" t="str">
        <f>IF($B239="","",IF(AND($B$4="Salary Points 3 to 57",B239&lt;Thresholds_Rates!$C$16),"-",IF(SUMIF(Grades!$A:$A,$B$4,Grades!$BO:$BO)=0,"-",IF(AND($B$4="Salary Points 3 to 57",B239&gt;=Thresholds_Rates!$C$16),$C239*Thresholds_Rates!$F$15,IF(AND(OR($B$4="New Consultant Contract"),$B239&lt;&gt;""),$C239*Thresholds_Rates!$F$15,IF(AND(OR($B$4="Clinical Lecturer / Medical Research Fellow",$B$4="Clinical Consultant - Old Contract (GP)"),$B239&lt;&gt;""),$C239*Thresholds_Rates!$F$15,IF(OR($B$4="APM Level 7",$B$4="R&amp;T Level 7"),$C239*Thresholds_Rates!$F$15,IF(SUMIF(Grades!$A:$A,$B$4,Grades!$BO:$BO)=1,$C239*Thresholds_Rates!$F$15,""))))))))</f>
        <v/>
      </c>
      <c r="L239" s="25" t="str">
        <f t="shared" si="23"/>
        <v/>
      </c>
      <c r="M239" s="25" t="str">
        <f t="shared" si="24"/>
        <v/>
      </c>
      <c r="N239" s="25" t="str">
        <f t="shared" si="25"/>
        <v/>
      </c>
      <c r="O239" s="25" t="str">
        <f t="shared" si="26"/>
        <v/>
      </c>
      <c r="P239" s="25" t="str">
        <f t="shared" si="27"/>
        <v/>
      </c>
    </row>
    <row r="240" spans="5:16" x14ac:dyDescent="0.25">
      <c r="E240" s="25" t="str">
        <f>IF($B240="","",IF(AND($B$4="Salary Points 3 to 57",B240&lt;Thresholds_Rates!$C$16),"-",IF(SUMIF(Grades!$A:$A,$B$4,Grades!$BO:$BO)=0,"-",IF(AND($B$4="Salary Points 3 to 57",B240&gt;=Thresholds_Rates!$C$16),$C240*Thresholds_Rates!$F$15,IF(AND(OR($B$4="New Consultant Contract"),$B240&lt;&gt;""),$C240*Thresholds_Rates!$F$15,IF(AND(OR($B$4="Clinical Lecturer / Medical Research Fellow",$B$4="Clinical Consultant - Old Contract (GP)"),$B240&lt;&gt;""),$C240*Thresholds_Rates!$F$15,IF(OR($B$4="APM Level 7",$B$4="R&amp;T Level 7"),$C240*Thresholds_Rates!$F$15,IF(SUMIF(Grades!$A:$A,$B$4,Grades!$BO:$BO)=1,$C240*Thresholds_Rates!$F$15,""))))))))</f>
        <v/>
      </c>
      <c r="L240" s="25" t="str">
        <f t="shared" si="23"/>
        <v/>
      </c>
      <c r="M240" s="25" t="str">
        <f t="shared" si="24"/>
        <v/>
      </c>
      <c r="N240" s="25" t="str">
        <f t="shared" si="25"/>
        <v/>
      </c>
      <c r="O240" s="25" t="str">
        <f t="shared" si="26"/>
        <v/>
      </c>
      <c r="P240" s="25" t="str">
        <f t="shared" si="27"/>
        <v/>
      </c>
    </row>
    <row r="241" spans="5:16" x14ac:dyDescent="0.25">
      <c r="E241" s="25" t="str">
        <f>IF($B241="","",IF(AND($B$4="Salary Points 3 to 57",B241&lt;Thresholds_Rates!$C$16),"-",IF(SUMIF(Grades!$A:$A,$B$4,Grades!$BO:$BO)=0,"-",IF(AND($B$4="Salary Points 3 to 57",B241&gt;=Thresholds_Rates!$C$16),$C241*Thresholds_Rates!$F$15,IF(AND(OR($B$4="New Consultant Contract"),$B241&lt;&gt;""),$C241*Thresholds_Rates!$F$15,IF(AND(OR($B$4="Clinical Lecturer / Medical Research Fellow",$B$4="Clinical Consultant - Old Contract (GP)"),$B241&lt;&gt;""),$C241*Thresholds_Rates!$F$15,IF(OR($B$4="APM Level 7",$B$4="R&amp;T Level 7"),$C241*Thresholds_Rates!$F$15,IF(SUMIF(Grades!$A:$A,$B$4,Grades!$BO:$BO)=1,$C241*Thresholds_Rates!$F$15,""))))))))</f>
        <v/>
      </c>
      <c r="L241" s="25" t="str">
        <f t="shared" si="23"/>
        <v/>
      </c>
      <c r="M241" s="25" t="str">
        <f t="shared" si="24"/>
        <v/>
      </c>
      <c r="N241" s="25" t="str">
        <f t="shared" si="25"/>
        <v/>
      </c>
      <c r="O241" s="25" t="str">
        <f t="shared" si="26"/>
        <v/>
      </c>
      <c r="P241" s="25" t="str">
        <f t="shared" si="27"/>
        <v/>
      </c>
    </row>
    <row r="242" spans="5:16" x14ac:dyDescent="0.25">
      <c r="E242" s="25" t="str">
        <f>IF($B242="","",IF(AND($B$4="Salary Points 3 to 57",B242&lt;Thresholds_Rates!$C$16),"-",IF(SUMIF(Grades!$A:$A,$B$4,Grades!$BO:$BO)=0,"-",IF(AND($B$4="Salary Points 3 to 57",B242&gt;=Thresholds_Rates!$C$16),$C242*Thresholds_Rates!$F$15,IF(AND(OR($B$4="New Consultant Contract"),$B242&lt;&gt;""),$C242*Thresholds_Rates!$F$15,IF(AND(OR($B$4="Clinical Lecturer / Medical Research Fellow",$B$4="Clinical Consultant - Old Contract (GP)"),$B242&lt;&gt;""),$C242*Thresholds_Rates!$F$15,IF(OR($B$4="APM Level 7",$B$4="R&amp;T Level 7"),$C242*Thresholds_Rates!$F$15,IF(SUMIF(Grades!$A:$A,$B$4,Grades!$BO:$BO)=1,$C242*Thresholds_Rates!$F$15,""))))))))</f>
        <v/>
      </c>
      <c r="L242" s="25" t="str">
        <f t="shared" si="23"/>
        <v/>
      </c>
      <c r="M242" s="25" t="str">
        <f t="shared" si="24"/>
        <v/>
      </c>
      <c r="N242" s="25" t="str">
        <f t="shared" si="25"/>
        <v/>
      </c>
      <c r="O242" s="25" t="str">
        <f t="shared" si="26"/>
        <v/>
      </c>
      <c r="P242" s="25" t="str">
        <f t="shared" si="27"/>
        <v/>
      </c>
    </row>
    <row r="243" spans="5:16" x14ac:dyDescent="0.25">
      <c r="E243" s="25" t="str">
        <f>IF($B243="","",IF(AND($B$4="Salary Points 3 to 57",B243&lt;Thresholds_Rates!$C$16),"-",IF(SUMIF(Grades!$A:$A,$B$4,Grades!$BO:$BO)=0,"-",IF(AND($B$4="Salary Points 3 to 57",B243&gt;=Thresholds_Rates!$C$16),$C243*Thresholds_Rates!$F$15,IF(AND(OR($B$4="New Consultant Contract"),$B243&lt;&gt;""),$C243*Thresholds_Rates!$F$15,IF(AND(OR($B$4="Clinical Lecturer / Medical Research Fellow",$B$4="Clinical Consultant - Old Contract (GP)"),$B243&lt;&gt;""),$C243*Thresholds_Rates!$F$15,IF(OR($B$4="APM Level 7",$B$4="R&amp;T Level 7"),$C243*Thresholds_Rates!$F$15,IF(SUMIF(Grades!$A:$A,$B$4,Grades!$BO:$BO)=1,$C243*Thresholds_Rates!$F$15,""))))))))</f>
        <v/>
      </c>
      <c r="L243" s="25" t="str">
        <f t="shared" si="23"/>
        <v/>
      </c>
      <c r="M243" s="25" t="str">
        <f t="shared" si="24"/>
        <v/>
      </c>
      <c r="N243" s="25" t="str">
        <f t="shared" si="25"/>
        <v/>
      </c>
      <c r="O243" s="25" t="str">
        <f t="shared" si="26"/>
        <v/>
      </c>
      <c r="P243" s="25" t="str">
        <f t="shared" si="27"/>
        <v/>
      </c>
    </row>
    <row r="244" spans="5:16" x14ac:dyDescent="0.25">
      <c r="E244" s="25" t="str">
        <f>IF($B244="","",IF(AND($B$4="Salary Points 3 to 57",B244&lt;Thresholds_Rates!$C$16),"-",IF(SUMIF(Grades!$A:$A,$B$4,Grades!$BO:$BO)=0,"-",IF(AND($B$4="Salary Points 3 to 57",B244&gt;=Thresholds_Rates!$C$16),$C244*Thresholds_Rates!$F$15,IF(AND(OR($B$4="New Consultant Contract"),$B244&lt;&gt;""),$C244*Thresholds_Rates!$F$15,IF(AND(OR($B$4="Clinical Lecturer / Medical Research Fellow",$B$4="Clinical Consultant - Old Contract (GP)"),$B244&lt;&gt;""),$C244*Thresholds_Rates!$F$15,IF(OR($B$4="APM Level 7",$B$4="R&amp;T Level 7"),$C244*Thresholds_Rates!$F$15,IF(SUMIF(Grades!$A:$A,$B$4,Grades!$BO:$BO)=1,$C244*Thresholds_Rates!$F$15,""))))))))</f>
        <v/>
      </c>
      <c r="L244" s="25" t="str">
        <f t="shared" si="23"/>
        <v/>
      </c>
      <c r="M244" s="25" t="str">
        <f t="shared" si="24"/>
        <v/>
      </c>
      <c r="N244" s="25" t="str">
        <f t="shared" si="25"/>
        <v/>
      </c>
      <c r="O244" s="25" t="str">
        <f t="shared" si="26"/>
        <v/>
      </c>
      <c r="P244" s="25" t="str">
        <f t="shared" si="27"/>
        <v/>
      </c>
    </row>
    <row r="245" spans="5:16" x14ac:dyDescent="0.25">
      <c r="E245" s="25" t="str">
        <f>IF($B245="","",IF(AND($B$4="Salary Points 3 to 57",B245&lt;Thresholds_Rates!$C$16),"-",IF(SUMIF(Grades!$A:$A,$B$4,Grades!$BO:$BO)=0,"-",IF(AND($B$4="Salary Points 3 to 57",B245&gt;=Thresholds_Rates!$C$16),$C245*Thresholds_Rates!$F$15,IF(AND(OR($B$4="New Consultant Contract"),$B245&lt;&gt;""),$C245*Thresholds_Rates!$F$15,IF(AND(OR($B$4="Clinical Lecturer / Medical Research Fellow",$B$4="Clinical Consultant - Old Contract (GP)"),$B245&lt;&gt;""),$C245*Thresholds_Rates!$F$15,IF(OR($B$4="APM Level 7",$B$4="R&amp;T Level 7"),$C245*Thresholds_Rates!$F$15,IF(SUMIF(Grades!$A:$A,$B$4,Grades!$BO:$BO)=1,$C245*Thresholds_Rates!$F$15,""))))))))</f>
        <v/>
      </c>
      <c r="L245" s="25" t="str">
        <f t="shared" si="23"/>
        <v/>
      </c>
      <c r="M245" s="25" t="str">
        <f t="shared" si="24"/>
        <v/>
      </c>
      <c r="N245" s="25" t="str">
        <f t="shared" si="25"/>
        <v/>
      </c>
      <c r="O245" s="25" t="str">
        <f t="shared" si="26"/>
        <v/>
      </c>
      <c r="P245" s="25" t="str">
        <f t="shared" si="27"/>
        <v/>
      </c>
    </row>
    <row r="246" spans="5:16" x14ac:dyDescent="0.25">
      <c r="E246" s="25" t="str">
        <f>IF($B246="","",IF(AND($B$4="Salary Points 3 to 57",B246&lt;Thresholds_Rates!$C$16),"-",IF(SUMIF(Grades!$A:$A,$B$4,Grades!$BO:$BO)=0,"-",IF(AND($B$4="Salary Points 3 to 57",B246&gt;=Thresholds_Rates!$C$16),$C246*Thresholds_Rates!$F$15,IF(AND(OR($B$4="New Consultant Contract"),$B246&lt;&gt;""),$C246*Thresholds_Rates!$F$15,IF(AND(OR($B$4="Clinical Lecturer / Medical Research Fellow",$B$4="Clinical Consultant - Old Contract (GP)"),$B246&lt;&gt;""),$C246*Thresholds_Rates!$F$15,IF(OR($B$4="APM Level 7",$B$4="R&amp;T Level 7"),$C246*Thresholds_Rates!$F$15,IF(SUMIF(Grades!$A:$A,$B$4,Grades!$BO:$BO)=1,$C246*Thresholds_Rates!$F$15,""))))))))</f>
        <v/>
      </c>
      <c r="L246" s="25" t="str">
        <f t="shared" si="23"/>
        <v/>
      </c>
      <c r="M246" s="25" t="str">
        <f t="shared" si="24"/>
        <v/>
      </c>
      <c r="N246" s="25" t="str">
        <f t="shared" si="25"/>
        <v/>
      </c>
      <c r="O246" s="25" t="str">
        <f t="shared" si="26"/>
        <v/>
      </c>
      <c r="P246" s="25" t="str">
        <f t="shared" si="27"/>
        <v/>
      </c>
    </row>
    <row r="247" spans="5:16" x14ac:dyDescent="0.25">
      <c r="E247" s="25" t="str">
        <f>IF($B247="","",IF(AND($B$4="Salary Points 3 to 57",B247&lt;Thresholds_Rates!$C$16),"-",IF(SUMIF(Grades!$A:$A,$B$4,Grades!$BO:$BO)=0,"-",IF(AND($B$4="Salary Points 3 to 57",B247&gt;=Thresholds_Rates!$C$16),$C247*Thresholds_Rates!$F$15,IF(AND(OR($B$4="New Consultant Contract"),$B247&lt;&gt;""),$C247*Thresholds_Rates!$F$15,IF(AND(OR($B$4="Clinical Lecturer / Medical Research Fellow",$B$4="Clinical Consultant - Old Contract (GP)"),$B247&lt;&gt;""),$C247*Thresholds_Rates!$F$15,IF(OR($B$4="APM Level 7",$B$4="R&amp;T Level 7"),$C247*Thresholds_Rates!$F$15,IF(SUMIF(Grades!$A:$A,$B$4,Grades!$BO:$BO)=1,$C247*Thresholds_Rates!$F$15,""))))))))</f>
        <v/>
      </c>
      <c r="L247" s="25" t="str">
        <f t="shared" si="23"/>
        <v/>
      </c>
      <c r="M247" s="25" t="str">
        <f t="shared" si="24"/>
        <v/>
      </c>
      <c r="N247" s="25" t="str">
        <f t="shared" si="25"/>
        <v/>
      </c>
      <c r="O247" s="25" t="str">
        <f t="shared" si="26"/>
        <v/>
      </c>
      <c r="P247" s="25" t="str">
        <f t="shared" si="27"/>
        <v/>
      </c>
    </row>
    <row r="248" spans="5:16" x14ac:dyDescent="0.25">
      <c r="E248" s="25" t="str">
        <f>IF($B248="","",IF(AND($B$4="Salary Points 3 to 57",B248&lt;Thresholds_Rates!$C$16),"-",IF(SUMIF(Grades!$A:$A,$B$4,Grades!$BO:$BO)=0,"-",IF(AND($B$4="Salary Points 3 to 57",B248&gt;=Thresholds_Rates!$C$16),$C248*Thresholds_Rates!$F$15,IF(AND(OR($B$4="New Consultant Contract"),$B248&lt;&gt;""),$C248*Thresholds_Rates!$F$15,IF(AND(OR($B$4="Clinical Lecturer / Medical Research Fellow",$B$4="Clinical Consultant - Old Contract (GP)"),$B248&lt;&gt;""),$C248*Thresholds_Rates!$F$15,IF(OR($B$4="APM Level 7",$B$4="R&amp;T Level 7"),$C248*Thresholds_Rates!$F$15,IF(SUMIF(Grades!$A:$A,$B$4,Grades!$BO:$BO)=1,$C248*Thresholds_Rates!$F$15,""))))))))</f>
        <v/>
      </c>
      <c r="L248" s="25" t="str">
        <f t="shared" si="23"/>
        <v/>
      </c>
      <c r="M248" s="25" t="str">
        <f t="shared" si="24"/>
        <v/>
      </c>
      <c r="N248" s="25" t="str">
        <f t="shared" si="25"/>
        <v/>
      </c>
      <c r="O248" s="25" t="str">
        <f t="shared" si="26"/>
        <v/>
      </c>
      <c r="P248" s="25" t="str">
        <f t="shared" si="27"/>
        <v/>
      </c>
    </row>
    <row r="249" spans="5:16" x14ac:dyDescent="0.25">
      <c r="E249" s="25" t="str">
        <f>IF($B249="","",IF(AND($B$4="Salary Points 3 to 57",B249&lt;Thresholds_Rates!$C$16),"-",IF(SUMIF(Grades!$A:$A,$B$4,Grades!$BO:$BO)=0,"-",IF(AND($B$4="Salary Points 3 to 57",B249&gt;=Thresholds_Rates!$C$16),$C249*Thresholds_Rates!$F$15,IF(AND(OR($B$4="New Consultant Contract"),$B249&lt;&gt;""),$C249*Thresholds_Rates!$F$15,IF(AND(OR($B$4="Clinical Lecturer / Medical Research Fellow",$B$4="Clinical Consultant - Old Contract (GP)"),$B249&lt;&gt;""),$C249*Thresholds_Rates!$F$15,IF(OR($B$4="APM Level 7",$B$4="R&amp;T Level 7"),$C249*Thresholds_Rates!$F$15,IF(SUMIF(Grades!$A:$A,$B$4,Grades!$BO:$BO)=1,$C249*Thresholds_Rates!$F$15,""))))))))</f>
        <v/>
      </c>
      <c r="L249" s="25" t="str">
        <f t="shared" si="23"/>
        <v/>
      </c>
      <c r="M249" s="25" t="str">
        <f t="shared" si="24"/>
        <v/>
      </c>
      <c r="N249" s="25" t="str">
        <f t="shared" si="25"/>
        <v/>
      </c>
      <c r="O249" s="25" t="str">
        <f t="shared" si="26"/>
        <v/>
      </c>
      <c r="P249" s="25" t="str">
        <f t="shared" si="27"/>
        <v/>
      </c>
    </row>
    <row r="250" spans="5:16" x14ac:dyDescent="0.25">
      <c r="E250" s="25" t="str">
        <f>IF($B250="","",IF(AND($B$4="Salary Points 3 to 57",B250&lt;Thresholds_Rates!$C$16),"-",IF(SUMIF(Grades!$A:$A,$B$4,Grades!$BO:$BO)=0,"-",IF(AND($B$4="Salary Points 3 to 57",B250&gt;=Thresholds_Rates!$C$16),$C250*Thresholds_Rates!$F$15,IF(AND(OR($B$4="New Consultant Contract"),$B250&lt;&gt;""),$C250*Thresholds_Rates!$F$15,IF(AND(OR($B$4="Clinical Lecturer / Medical Research Fellow",$B$4="Clinical Consultant - Old Contract (GP)"),$B250&lt;&gt;""),$C250*Thresholds_Rates!$F$15,IF(OR($B$4="APM Level 7",$B$4="R&amp;T Level 7"),$C250*Thresholds_Rates!$F$15,IF(SUMIF(Grades!$A:$A,$B$4,Grades!$BO:$BO)=1,$C250*Thresholds_Rates!$F$15,""))))))))</f>
        <v/>
      </c>
      <c r="L250" s="25" t="str">
        <f t="shared" si="23"/>
        <v/>
      </c>
      <c r="M250" s="25" t="str">
        <f t="shared" si="24"/>
        <v/>
      </c>
      <c r="N250" s="25" t="str">
        <f t="shared" si="25"/>
        <v/>
      </c>
      <c r="O250" s="25" t="str">
        <f t="shared" si="26"/>
        <v/>
      </c>
      <c r="P250" s="25" t="str">
        <f t="shared" si="27"/>
        <v/>
      </c>
    </row>
    <row r="251" spans="5:16" x14ac:dyDescent="0.25">
      <c r="E251" s="25" t="str">
        <f>IF($B251="","",IF(AND($B$4="Salary Points 3 to 57",B251&lt;Thresholds_Rates!$C$16),"-",IF(SUMIF(Grades!$A:$A,$B$4,Grades!$BO:$BO)=0,"-",IF(AND($B$4="Salary Points 3 to 57",B251&gt;=Thresholds_Rates!$C$16),$C251*Thresholds_Rates!$F$15,IF(AND(OR($B$4="New Consultant Contract"),$B251&lt;&gt;""),$C251*Thresholds_Rates!$F$15,IF(AND(OR($B$4="Clinical Lecturer / Medical Research Fellow",$B$4="Clinical Consultant - Old Contract (GP)"),$B251&lt;&gt;""),$C251*Thresholds_Rates!$F$15,IF(OR($B$4="APM Level 7",$B$4="R&amp;T Level 7"),$C251*Thresholds_Rates!$F$15,IF(SUMIF(Grades!$A:$A,$B$4,Grades!$BO:$BO)=1,$C251*Thresholds_Rates!$F$15,""))))))))</f>
        <v/>
      </c>
      <c r="L251" s="25" t="str">
        <f t="shared" si="23"/>
        <v/>
      </c>
      <c r="M251" s="25" t="str">
        <f t="shared" si="24"/>
        <v/>
      </c>
      <c r="N251" s="25" t="str">
        <f t="shared" si="25"/>
        <v/>
      </c>
      <c r="O251" s="25" t="str">
        <f t="shared" si="26"/>
        <v/>
      </c>
      <c r="P251" s="25" t="str">
        <f t="shared" si="27"/>
        <v/>
      </c>
    </row>
    <row r="252" spans="5:16" x14ac:dyDescent="0.25">
      <c r="E252" s="25" t="str">
        <f>IF($B252="","",IF(AND($B$4="Salary Points 3 to 57",B252&lt;Thresholds_Rates!$C$16),"-",IF(SUMIF(Grades!$A:$A,$B$4,Grades!$BO:$BO)=0,"-",IF(AND($B$4="Salary Points 3 to 57",B252&gt;=Thresholds_Rates!$C$16),$C252*Thresholds_Rates!$F$15,IF(AND(OR($B$4="New Consultant Contract"),$B252&lt;&gt;""),$C252*Thresholds_Rates!$F$15,IF(AND(OR($B$4="Clinical Lecturer / Medical Research Fellow",$B$4="Clinical Consultant - Old Contract (GP)"),$B252&lt;&gt;""),$C252*Thresholds_Rates!$F$15,IF(OR($B$4="APM Level 7",$B$4="R&amp;T Level 7"),$C252*Thresholds_Rates!$F$15,IF(SUMIF(Grades!$A:$A,$B$4,Grades!$BO:$BO)=1,$C252*Thresholds_Rates!$F$15,""))))))))</f>
        <v/>
      </c>
      <c r="L252" s="25" t="str">
        <f t="shared" si="23"/>
        <v/>
      </c>
      <c r="M252" s="25" t="str">
        <f t="shared" si="24"/>
        <v/>
      </c>
      <c r="N252" s="25" t="str">
        <f t="shared" si="25"/>
        <v/>
      </c>
      <c r="O252" s="25" t="str">
        <f t="shared" si="26"/>
        <v/>
      </c>
      <c r="P252" s="25" t="str">
        <f t="shared" si="27"/>
        <v/>
      </c>
    </row>
    <row r="253" spans="5:16" x14ac:dyDescent="0.25">
      <c r="E253" s="25" t="str">
        <f>IF($B253="","",IF(AND($B$4="Salary Points 3 to 57",B253&lt;Thresholds_Rates!$C$16),"-",IF(SUMIF(Grades!$A:$A,$B$4,Grades!$BO:$BO)=0,"-",IF(AND($B$4="Salary Points 3 to 57",B253&gt;=Thresholds_Rates!$C$16),$C253*Thresholds_Rates!$F$15,IF(AND(OR($B$4="New Consultant Contract"),$B253&lt;&gt;""),$C253*Thresholds_Rates!$F$15,IF(AND(OR($B$4="Clinical Lecturer / Medical Research Fellow",$B$4="Clinical Consultant - Old Contract (GP)"),$B253&lt;&gt;""),$C253*Thresholds_Rates!$F$15,IF(OR($B$4="APM Level 7",$B$4="R&amp;T Level 7"),$C253*Thresholds_Rates!$F$15,IF(SUMIF(Grades!$A:$A,$B$4,Grades!$BO:$BO)=1,$C253*Thresholds_Rates!$F$15,""))))))))</f>
        <v/>
      </c>
      <c r="L253" s="25" t="str">
        <f t="shared" si="23"/>
        <v/>
      </c>
      <c r="M253" s="25" t="str">
        <f t="shared" si="24"/>
        <v/>
      </c>
      <c r="N253" s="25" t="str">
        <f t="shared" si="25"/>
        <v/>
      </c>
      <c r="O253" s="25" t="str">
        <f t="shared" si="26"/>
        <v/>
      </c>
      <c r="P253" s="25" t="str">
        <f t="shared" si="27"/>
        <v/>
      </c>
    </row>
    <row r="254" spans="5:16" x14ac:dyDescent="0.25">
      <c r="E254" s="25" t="str">
        <f>IF($B254="","",IF(AND($B$4="Salary Points 3 to 57",B254&lt;Thresholds_Rates!$C$16),"-",IF(SUMIF(Grades!$A:$A,$B$4,Grades!$BO:$BO)=0,"-",IF(AND($B$4="Salary Points 3 to 57",B254&gt;=Thresholds_Rates!$C$16),$C254*Thresholds_Rates!$F$15,IF(AND(OR($B$4="New Consultant Contract"),$B254&lt;&gt;""),$C254*Thresholds_Rates!$F$15,IF(AND(OR($B$4="Clinical Lecturer / Medical Research Fellow",$B$4="Clinical Consultant - Old Contract (GP)"),$B254&lt;&gt;""),$C254*Thresholds_Rates!$F$15,IF(OR($B$4="APM Level 7",$B$4="R&amp;T Level 7"),$C254*Thresholds_Rates!$F$15,IF(SUMIF(Grades!$A:$A,$B$4,Grades!$BO:$BO)=1,$C254*Thresholds_Rates!$F$15,""))))))))</f>
        <v/>
      </c>
      <c r="L254" s="25" t="str">
        <f t="shared" si="23"/>
        <v/>
      </c>
      <c r="M254" s="25" t="str">
        <f t="shared" si="24"/>
        <v/>
      </c>
      <c r="N254" s="25" t="str">
        <f t="shared" si="25"/>
        <v/>
      </c>
      <c r="O254" s="25" t="str">
        <f t="shared" si="26"/>
        <v/>
      </c>
      <c r="P254" s="25" t="str">
        <f t="shared" si="27"/>
        <v/>
      </c>
    </row>
    <row r="255" spans="5:16" x14ac:dyDescent="0.25">
      <c r="E255" s="25" t="str">
        <f>IF($B255="","",IF(AND($B$4="Salary Points 3 to 57",B255&lt;Thresholds_Rates!$C$16),"-",IF(SUMIF(Grades!$A:$A,$B$4,Grades!$BO:$BO)=0,"-",IF(AND($B$4="Salary Points 3 to 57",B255&gt;=Thresholds_Rates!$C$16),$C255*Thresholds_Rates!$F$15,IF(AND(OR($B$4="New Consultant Contract"),$B255&lt;&gt;""),$C255*Thresholds_Rates!$F$15,IF(AND(OR($B$4="Clinical Lecturer / Medical Research Fellow",$B$4="Clinical Consultant - Old Contract (GP)"),$B255&lt;&gt;""),$C255*Thresholds_Rates!$F$15,IF(OR($B$4="APM Level 7",$B$4="R&amp;T Level 7"),$C255*Thresholds_Rates!$F$15,IF(SUMIF(Grades!$A:$A,$B$4,Grades!$BO:$BO)=1,$C255*Thresholds_Rates!$F$15,""))))))))</f>
        <v/>
      </c>
      <c r="L255" s="25" t="str">
        <f t="shared" si="23"/>
        <v/>
      </c>
      <c r="M255" s="25" t="str">
        <f t="shared" si="24"/>
        <v/>
      </c>
      <c r="N255" s="25" t="str">
        <f t="shared" si="25"/>
        <v/>
      </c>
      <c r="O255" s="25" t="str">
        <f t="shared" si="26"/>
        <v/>
      </c>
      <c r="P255" s="25" t="str">
        <f t="shared" si="27"/>
        <v/>
      </c>
    </row>
    <row r="256" spans="5:16" x14ac:dyDescent="0.25">
      <c r="E256" s="25" t="str">
        <f>IF($B256="","",IF(AND($B$4="Salary Points 3 to 57",B256&lt;Thresholds_Rates!$C$16),"-",IF(SUMIF(Grades!$A:$A,$B$4,Grades!$BO:$BO)=0,"-",IF(AND($B$4="Salary Points 3 to 57",B256&gt;=Thresholds_Rates!$C$16),$C256*Thresholds_Rates!$F$15,IF(AND(OR($B$4="New Consultant Contract"),$B256&lt;&gt;""),$C256*Thresholds_Rates!$F$15,IF(AND(OR($B$4="Clinical Lecturer / Medical Research Fellow",$B$4="Clinical Consultant - Old Contract (GP)"),$B256&lt;&gt;""),$C256*Thresholds_Rates!$F$15,IF(OR($B$4="APM Level 7",$B$4="R&amp;T Level 7"),$C256*Thresholds_Rates!$F$15,IF(SUMIF(Grades!$A:$A,$B$4,Grades!$BO:$BO)=1,$C256*Thresholds_Rates!$F$15,""))))))))</f>
        <v/>
      </c>
      <c r="L256" s="25" t="str">
        <f t="shared" si="23"/>
        <v/>
      </c>
      <c r="M256" s="25" t="str">
        <f t="shared" si="24"/>
        <v/>
      </c>
      <c r="N256" s="25" t="str">
        <f t="shared" si="25"/>
        <v/>
      </c>
      <c r="O256" s="25" t="str">
        <f t="shared" si="26"/>
        <v/>
      </c>
      <c r="P256" s="25" t="str">
        <f t="shared" si="27"/>
        <v/>
      </c>
    </row>
    <row r="257" spans="5:16" x14ac:dyDescent="0.25">
      <c r="E257" s="25" t="str">
        <f>IF($B257="","",IF(AND($B$4="Salary Points 3 to 57",B257&lt;Thresholds_Rates!$C$16),"-",IF(SUMIF(Grades!$A:$A,$B$4,Grades!$BO:$BO)=0,"-",IF(AND($B$4="Salary Points 3 to 57",B257&gt;=Thresholds_Rates!$C$16),$C257*Thresholds_Rates!$F$15,IF(AND(OR($B$4="New Consultant Contract"),$B257&lt;&gt;""),$C257*Thresholds_Rates!$F$15,IF(AND(OR($B$4="Clinical Lecturer / Medical Research Fellow",$B$4="Clinical Consultant - Old Contract (GP)"),$B257&lt;&gt;""),$C257*Thresholds_Rates!$F$15,IF(OR($B$4="APM Level 7",$B$4="R&amp;T Level 7"),$C257*Thresholds_Rates!$F$15,IF(SUMIF(Grades!$A:$A,$B$4,Grades!$BO:$BO)=1,$C257*Thresholds_Rates!$F$15,""))))))))</f>
        <v/>
      </c>
      <c r="L257" s="25" t="str">
        <f t="shared" si="23"/>
        <v/>
      </c>
      <c r="M257" s="25" t="str">
        <f t="shared" si="24"/>
        <v/>
      </c>
      <c r="N257" s="25" t="str">
        <f t="shared" si="25"/>
        <v/>
      </c>
      <c r="O257" s="25" t="str">
        <f t="shared" si="26"/>
        <v/>
      </c>
      <c r="P257" s="25" t="str">
        <f t="shared" si="27"/>
        <v/>
      </c>
    </row>
    <row r="258" spans="5:16" x14ac:dyDescent="0.25">
      <c r="E258" s="25" t="str">
        <f>IF($B258="","",IF(AND($B$4="Salary Points 3 to 57",B258&lt;Thresholds_Rates!$C$16),"-",IF(SUMIF(Grades!$A:$A,$B$4,Grades!$BO:$BO)=0,"-",IF(AND($B$4="Salary Points 3 to 57",B258&gt;=Thresholds_Rates!$C$16),$C258*Thresholds_Rates!$F$15,IF(AND(OR($B$4="New Consultant Contract"),$B258&lt;&gt;""),$C258*Thresholds_Rates!$F$15,IF(AND(OR($B$4="Clinical Lecturer / Medical Research Fellow",$B$4="Clinical Consultant - Old Contract (GP)"),$B258&lt;&gt;""),$C258*Thresholds_Rates!$F$15,IF(OR($B$4="APM Level 7",$B$4="R&amp;T Level 7"),$C258*Thresholds_Rates!$F$15,IF(SUMIF(Grades!$A:$A,$B$4,Grades!$BO:$BO)=1,$C258*Thresholds_Rates!$F$15,""))))))))</f>
        <v/>
      </c>
      <c r="L258" s="25" t="str">
        <f t="shared" si="23"/>
        <v/>
      </c>
      <c r="M258" s="25" t="str">
        <f t="shared" si="24"/>
        <v/>
      </c>
      <c r="N258" s="25" t="str">
        <f t="shared" si="25"/>
        <v/>
      </c>
      <c r="O258" s="25" t="str">
        <f t="shared" si="26"/>
        <v/>
      </c>
      <c r="P258" s="25" t="str">
        <f t="shared" si="27"/>
        <v/>
      </c>
    </row>
    <row r="259" spans="5:16" x14ac:dyDescent="0.25">
      <c r="E259" s="25" t="str">
        <f>IF($B259="","",IF(AND($B$4="Salary Points 3 to 57",B259&lt;Thresholds_Rates!$C$16),"-",IF(SUMIF(Grades!$A:$A,$B$4,Grades!$BO:$BO)=0,"-",IF(AND($B$4="Salary Points 3 to 57",B259&gt;=Thresholds_Rates!$C$16),$C259*Thresholds_Rates!$F$15,IF(AND(OR($B$4="New Consultant Contract"),$B259&lt;&gt;""),$C259*Thresholds_Rates!$F$15,IF(AND(OR($B$4="Clinical Lecturer / Medical Research Fellow",$B$4="Clinical Consultant - Old Contract (GP)"),$B259&lt;&gt;""),$C259*Thresholds_Rates!$F$15,IF(OR($B$4="APM Level 7",$B$4="R&amp;T Level 7"),$C259*Thresholds_Rates!$F$15,IF(SUMIF(Grades!$A:$A,$B$4,Grades!$BO:$BO)=1,$C259*Thresholds_Rates!$F$15,""))))))))</f>
        <v/>
      </c>
      <c r="L259" s="25" t="str">
        <f t="shared" si="23"/>
        <v/>
      </c>
      <c r="M259" s="25" t="str">
        <f t="shared" si="24"/>
        <v/>
      </c>
      <c r="N259" s="25" t="str">
        <f t="shared" si="25"/>
        <v/>
      </c>
      <c r="O259" s="25" t="str">
        <f t="shared" si="26"/>
        <v/>
      </c>
      <c r="P259" s="25" t="str">
        <f t="shared" si="27"/>
        <v/>
      </c>
    </row>
    <row r="260" spans="5:16" x14ac:dyDescent="0.25">
      <c r="E260" s="25" t="str">
        <f>IF($B260="","",IF(AND($B$4="Salary Points 3 to 57",B260&lt;Thresholds_Rates!$C$16),"-",IF(SUMIF(Grades!$A:$A,$B$4,Grades!$BO:$BO)=0,"-",IF(AND($B$4="Salary Points 3 to 57",B260&gt;=Thresholds_Rates!$C$16),$C260*Thresholds_Rates!$F$15,IF(AND(OR($B$4="New Consultant Contract"),$B260&lt;&gt;""),$C260*Thresholds_Rates!$F$15,IF(AND(OR($B$4="Clinical Lecturer / Medical Research Fellow",$B$4="Clinical Consultant - Old Contract (GP)"),$B260&lt;&gt;""),$C260*Thresholds_Rates!$F$15,IF(OR($B$4="APM Level 7",$B$4="R&amp;T Level 7"),$C260*Thresholds_Rates!$F$15,IF(SUMIF(Grades!$A:$A,$B$4,Grades!$BO:$BO)=1,$C260*Thresholds_Rates!$F$15,""))))))))</f>
        <v/>
      </c>
      <c r="L260" s="25" t="str">
        <f t="shared" si="23"/>
        <v/>
      </c>
      <c r="M260" s="25" t="str">
        <f t="shared" si="24"/>
        <v/>
      </c>
      <c r="N260" s="25" t="str">
        <f t="shared" si="25"/>
        <v/>
      </c>
      <c r="O260" s="25" t="str">
        <f t="shared" si="26"/>
        <v/>
      </c>
      <c r="P260" s="25" t="str">
        <f t="shared" si="27"/>
        <v/>
      </c>
    </row>
    <row r="261" spans="5:16" x14ac:dyDescent="0.25">
      <c r="E261" s="25" t="str">
        <f>IF($B261="","",IF(AND($B$4="Salary Points 3 to 57",B261&lt;Thresholds_Rates!$C$16),"-",IF(SUMIF(Grades!$A:$A,$B$4,Grades!$BO:$BO)=0,"-",IF(AND($B$4="Salary Points 3 to 57",B261&gt;=Thresholds_Rates!$C$16),$C261*Thresholds_Rates!$F$15,IF(AND(OR($B$4="New Consultant Contract"),$B261&lt;&gt;""),$C261*Thresholds_Rates!$F$15,IF(AND(OR($B$4="Clinical Lecturer / Medical Research Fellow",$B$4="Clinical Consultant - Old Contract (GP)"),$B261&lt;&gt;""),$C261*Thresholds_Rates!$F$15,IF(OR($B$4="APM Level 7",$B$4="R&amp;T Level 7"),$C261*Thresholds_Rates!$F$15,IF(SUMIF(Grades!$A:$A,$B$4,Grades!$BO:$BO)=1,$C261*Thresholds_Rates!$F$15,""))))))))</f>
        <v/>
      </c>
      <c r="L261" s="25" t="str">
        <f t="shared" si="23"/>
        <v/>
      </c>
      <c r="M261" s="25" t="str">
        <f t="shared" si="24"/>
        <v/>
      </c>
      <c r="N261" s="25" t="str">
        <f t="shared" si="25"/>
        <v/>
      </c>
      <c r="O261" s="25" t="str">
        <f t="shared" si="26"/>
        <v/>
      </c>
      <c r="P261" s="25" t="str">
        <f t="shared" si="27"/>
        <v/>
      </c>
    </row>
    <row r="262" spans="5:16" x14ac:dyDescent="0.25">
      <c r="E262" s="25" t="str">
        <f>IF($B262="","",IF(AND($B$4="Salary Points 3 to 57",B262&lt;Thresholds_Rates!$C$16),"-",IF(SUMIF(Grades!$A:$A,$B$4,Grades!$BO:$BO)=0,"-",IF(AND($B$4="Salary Points 3 to 57",B262&gt;=Thresholds_Rates!$C$16),$C262*Thresholds_Rates!$F$15,IF(AND(OR($B$4="New Consultant Contract"),$B262&lt;&gt;""),$C262*Thresholds_Rates!$F$15,IF(AND(OR($B$4="Clinical Lecturer / Medical Research Fellow",$B$4="Clinical Consultant - Old Contract (GP)"),$B262&lt;&gt;""),$C262*Thresholds_Rates!$F$15,IF(OR($B$4="APM Level 7",$B$4="R&amp;T Level 7"),$C262*Thresholds_Rates!$F$15,IF(SUMIF(Grades!$A:$A,$B$4,Grades!$BO:$BO)=1,$C262*Thresholds_Rates!$F$15,""))))))))</f>
        <v/>
      </c>
      <c r="L262" s="25" t="str">
        <f t="shared" si="23"/>
        <v/>
      </c>
      <c r="M262" s="25" t="str">
        <f t="shared" si="24"/>
        <v/>
      </c>
      <c r="N262" s="25" t="str">
        <f t="shared" si="25"/>
        <v/>
      </c>
      <c r="O262" s="25" t="str">
        <f t="shared" si="26"/>
        <v/>
      </c>
      <c r="P262" s="25" t="str">
        <f t="shared" si="27"/>
        <v/>
      </c>
    </row>
    <row r="263" spans="5:16" x14ac:dyDescent="0.25">
      <c r="E263" s="25" t="str">
        <f>IF($B263="","",IF(AND($B$4="Salary Points 3 to 57",B263&lt;Thresholds_Rates!$C$16),"-",IF(SUMIF(Grades!$A:$A,$B$4,Grades!$BO:$BO)=0,"-",IF(AND($B$4="Salary Points 3 to 57",B263&gt;=Thresholds_Rates!$C$16),$C263*Thresholds_Rates!$F$15,IF(AND(OR($B$4="New Consultant Contract"),$B263&lt;&gt;""),$C263*Thresholds_Rates!$F$15,IF(AND(OR($B$4="Clinical Lecturer / Medical Research Fellow",$B$4="Clinical Consultant - Old Contract (GP)"),$B263&lt;&gt;""),$C263*Thresholds_Rates!$F$15,IF(OR($B$4="APM Level 7",$B$4="R&amp;T Level 7"),$C263*Thresholds_Rates!$F$15,IF(SUMIF(Grades!$A:$A,$B$4,Grades!$BO:$BO)=1,$C263*Thresholds_Rates!$F$15,""))))))))</f>
        <v/>
      </c>
      <c r="L263" s="25" t="str">
        <f t="shared" si="23"/>
        <v/>
      </c>
      <c r="M263" s="25" t="str">
        <f t="shared" si="24"/>
        <v/>
      </c>
      <c r="N263" s="25" t="str">
        <f t="shared" si="25"/>
        <v/>
      </c>
      <c r="O263" s="25" t="str">
        <f t="shared" si="26"/>
        <v/>
      </c>
      <c r="P263" s="25" t="str">
        <f t="shared" si="27"/>
        <v/>
      </c>
    </row>
    <row r="264" spans="5:16" x14ac:dyDescent="0.25">
      <c r="E264" s="25" t="str">
        <f>IF($B264="","",IF(AND($B$4="Salary Points 3 to 57",B264&lt;Thresholds_Rates!$C$16),"-",IF(SUMIF(Grades!$A:$A,$B$4,Grades!$BO:$BO)=0,"-",IF(AND($B$4="Salary Points 3 to 57",B264&gt;=Thresholds_Rates!$C$16),$C264*Thresholds_Rates!$F$15,IF(AND(OR($B$4="New Consultant Contract"),$B264&lt;&gt;""),$C264*Thresholds_Rates!$F$15,IF(AND(OR($B$4="Clinical Lecturer / Medical Research Fellow",$B$4="Clinical Consultant - Old Contract (GP)"),$B264&lt;&gt;""),$C264*Thresholds_Rates!$F$15,IF(OR($B$4="APM Level 7",$B$4="R&amp;T Level 7"),$C264*Thresholds_Rates!$F$15,IF(SUMIF(Grades!$A:$A,$B$4,Grades!$BO:$BO)=1,$C264*Thresholds_Rates!$F$15,""))))))))</f>
        <v/>
      </c>
      <c r="L264" s="25" t="str">
        <f t="shared" si="23"/>
        <v/>
      </c>
      <c r="M264" s="25" t="str">
        <f t="shared" si="24"/>
        <v/>
      </c>
      <c r="N264" s="25" t="str">
        <f t="shared" si="25"/>
        <v/>
      </c>
      <c r="O264" s="25" t="str">
        <f t="shared" si="26"/>
        <v/>
      </c>
      <c r="P264" s="25" t="str">
        <f t="shared" si="27"/>
        <v/>
      </c>
    </row>
    <row r="265" spans="5:16" x14ac:dyDescent="0.25">
      <c r="E265" s="25" t="str">
        <f>IF($B265="","",IF(AND($B$4="Salary Points 3 to 57",B265&lt;Thresholds_Rates!$C$16),"-",IF(SUMIF(Grades!$A:$A,$B$4,Grades!$BO:$BO)=0,"-",IF(AND($B$4="Salary Points 3 to 57",B265&gt;=Thresholds_Rates!$C$16),$C265*Thresholds_Rates!$F$15,IF(AND(OR($B$4="New Consultant Contract"),$B265&lt;&gt;""),$C265*Thresholds_Rates!$F$15,IF(AND(OR($B$4="Clinical Lecturer / Medical Research Fellow",$B$4="Clinical Consultant - Old Contract (GP)"),$B265&lt;&gt;""),$C265*Thresholds_Rates!$F$15,IF(OR($B$4="APM Level 7",$B$4="R&amp;T Level 7"),$C265*Thresholds_Rates!$F$15,IF(SUMIF(Grades!$A:$A,$B$4,Grades!$BO:$BO)=1,$C265*Thresholds_Rates!$F$15,""))))))))</f>
        <v/>
      </c>
      <c r="L265" s="25" t="str">
        <f t="shared" ref="L265:L303" si="28">IF(B265="","",IF(E265="-","-",$C265+$H265+E265))</f>
        <v/>
      </c>
      <c r="M265" s="25" t="str">
        <f t="shared" ref="M265:M303" si="29">IF(B265="","",IF(F265="-","-",$C265+$H265+F265))</f>
        <v/>
      </c>
      <c r="N265" s="25" t="str">
        <f t="shared" ref="N265:N303" si="30">IF(B265="","",IF(G265="-","-",$C265+$H265+G265))</f>
        <v/>
      </c>
      <c r="O265" s="25" t="str">
        <f t="shared" ref="O265:O303" si="31">IF(B265="","",IF(J265="-","-",$C265+$H265+J265))</f>
        <v/>
      </c>
      <c r="P265" s="25" t="str">
        <f t="shared" ref="P265:P303" si="32">IF(B265="","",C265+H265)</f>
        <v/>
      </c>
    </row>
    <row r="266" spans="5:16" x14ac:dyDescent="0.25">
      <c r="E266" s="25" t="str">
        <f>IF($B266="","",IF(AND($B$4="Salary Points 3 to 57",B266&lt;Thresholds_Rates!$C$16),"-",IF(SUMIF(Grades!$A:$A,$B$4,Grades!$BO:$BO)=0,"-",IF(AND($B$4="Salary Points 3 to 57",B266&gt;=Thresholds_Rates!$C$16),$C266*Thresholds_Rates!$F$15,IF(AND(OR($B$4="New Consultant Contract"),$B266&lt;&gt;""),$C266*Thresholds_Rates!$F$15,IF(AND(OR($B$4="Clinical Lecturer / Medical Research Fellow",$B$4="Clinical Consultant - Old Contract (GP)"),$B266&lt;&gt;""),$C266*Thresholds_Rates!$F$15,IF(OR($B$4="APM Level 7",$B$4="R&amp;T Level 7"),$C266*Thresholds_Rates!$F$15,IF(SUMIF(Grades!$A:$A,$B$4,Grades!$BO:$BO)=1,$C266*Thresholds_Rates!$F$15,""))))))))</f>
        <v/>
      </c>
      <c r="L266" s="25" t="str">
        <f t="shared" si="28"/>
        <v/>
      </c>
      <c r="M266" s="25" t="str">
        <f t="shared" si="29"/>
        <v/>
      </c>
      <c r="N266" s="25" t="str">
        <f t="shared" si="30"/>
        <v/>
      </c>
      <c r="O266" s="25" t="str">
        <f t="shared" si="31"/>
        <v/>
      </c>
      <c r="P266" s="25" t="str">
        <f t="shared" si="32"/>
        <v/>
      </c>
    </row>
    <row r="267" spans="5:16" x14ac:dyDescent="0.25">
      <c r="E267" s="25" t="str">
        <f>IF($B267="","",IF(AND($B$4="Salary Points 3 to 57",B267&lt;Thresholds_Rates!$C$16),"-",IF(SUMIF(Grades!$A:$A,$B$4,Grades!$BO:$BO)=0,"-",IF(AND($B$4="Salary Points 3 to 57",B267&gt;=Thresholds_Rates!$C$16),$C267*Thresholds_Rates!$F$15,IF(AND(OR($B$4="New Consultant Contract"),$B267&lt;&gt;""),$C267*Thresholds_Rates!$F$15,IF(AND(OR($B$4="Clinical Lecturer / Medical Research Fellow",$B$4="Clinical Consultant - Old Contract (GP)"),$B267&lt;&gt;""),$C267*Thresholds_Rates!$F$15,IF(OR($B$4="APM Level 7",$B$4="R&amp;T Level 7"),$C267*Thresholds_Rates!$F$15,IF(SUMIF(Grades!$A:$A,$B$4,Grades!$BO:$BO)=1,$C267*Thresholds_Rates!$F$15,""))))))))</f>
        <v/>
      </c>
      <c r="L267" s="25" t="str">
        <f t="shared" si="28"/>
        <v/>
      </c>
      <c r="M267" s="25" t="str">
        <f t="shared" si="29"/>
        <v/>
      </c>
      <c r="N267" s="25" t="str">
        <f t="shared" si="30"/>
        <v/>
      </c>
      <c r="O267" s="25" t="str">
        <f t="shared" si="31"/>
        <v/>
      </c>
      <c r="P267" s="25" t="str">
        <f t="shared" si="32"/>
        <v/>
      </c>
    </row>
    <row r="268" spans="5:16" x14ac:dyDescent="0.25">
      <c r="E268" s="25" t="str">
        <f>IF($B268="","",IF(AND($B$4="Salary Points 3 to 57",B268&lt;Thresholds_Rates!$C$16),"-",IF(SUMIF(Grades!$A:$A,$B$4,Grades!$BO:$BO)=0,"-",IF(AND($B$4="Salary Points 3 to 57",B268&gt;=Thresholds_Rates!$C$16),$C268*Thresholds_Rates!$F$15,IF(AND(OR($B$4="New Consultant Contract"),$B268&lt;&gt;""),$C268*Thresholds_Rates!$F$15,IF(AND(OR($B$4="Clinical Lecturer / Medical Research Fellow",$B$4="Clinical Consultant - Old Contract (GP)"),$B268&lt;&gt;""),$C268*Thresholds_Rates!$F$15,IF(OR($B$4="APM Level 7",$B$4="R&amp;T Level 7"),$C268*Thresholds_Rates!$F$15,IF(SUMIF(Grades!$A:$A,$B$4,Grades!$BO:$BO)=1,$C268*Thresholds_Rates!$F$15,""))))))))</f>
        <v/>
      </c>
      <c r="L268" s="25" t="str">
        <f t="shared" si="28"/>
        <v/>
      </c>
      <c r="M268" s="25" t="str">
        <f t="shared" si="29"/>
        <v/>
      </c>
      <c r="N268" s="25" t="str">
        <f t="shared" si="30"/>
        <v/>
      </c>
      <c r="O268" s="25" t="str">
        <f t="shared" si="31"/>
        <v/>
      </c>
      <c r="P268" s="25" t="str">
        <f t="shared" si="32"/>
        <v/>
      </c>
    </row>
    <row r="269" spans="5:16" x14ac:dyDescent="0.25">
      <c r="E269" s="25" t="str">
        <f>IF($B269="","",IF(AND($B$4="Salary Points 3 to 57",B269&lt;Thresholds_Rates!$C$16),"-",IF(SUMIF(Grades!$A:$A,$B$4,Grades!$BO:$BO)=0,"-",IF(AND($B$4="Salary Points 3 to 57",B269&gt;=Thresholds_Rates!$C$16),$C269*Thresholds_Rates!$F$15,IF(AND(OR($B$4="New Consultant Contract"),$B269&lt;&gt;""),$C269*Thresholds_Rates!$F$15,IF(AND(OR($B$4="Clinical Lecturer / Medical Research Fellow",$B$4="Clinical Consultant - Old Contract (GP)"),$B269&lt;&gt;""),$C269*Thresholds_Rates!$F$15,IF(OR($B$4="APM Level 7",$B$4="R&amp;T Level 7"),$C269*Thresholds_Rates!$F$15,IF(SUMIF(Grades!$A:$A,$B$4,Grades!$BO:$BO)=1,$C269*Thresholds_Rates!$F$15,""))))))))</f>
        <v/>
      </c>
      <c r="L269" s="25" t="str">
        <f t="shared" si="28"/>
        <v/>
      </c>
      <c r="M269" s="25" t="str">
        <f t="shared" si="29"/>
        <v/>
      </c>
      <c r="N269" s="25" t="str">
        <f t="shared" si="30"/>
        <v/>
      </c>
      <c r="O269" s="25" t="str">
        <f t="shared" si="31"/>
        <v/>
      </c>
      <c r="P269" s="25" t="str">
        <f t="shared" si="32"/>
        <v/>
      </c>
    </row>
    <row r="270" spans="5:16" x14ac:dyDescent="0.25">
      <c r="E270" s="25" t="str">
        <f>IF($B270="","",IF(AND($B$4="Salary Points 3 to 57",B270&lt;Thresholds_Rates!$C$16),"-",IF(SUMIF(Grades!$A:$A,$B$4,Grades!$BO:$BO)=0,"-",IF(AND($B$4="Salary Points 3 to 57",B270&gt;=Thresholds_Rates!$C$16),$C270*Thresholds_Rates!$F$15,IF(AND(OR($B$4="New Consultant Contract"),$B270&lt;&gt;""),$C270*Thresholds_Rates!$F$15,IF(AND(OR($B$4="Clinical Lecturer / Medical Research Fellow",$B$4="Clinical Consultant - Old Contract (GP)"),$B270&lt;&gt;""),$C270*Thresholds_Rates!$F$15,IF(OR($B$4="APM Level 7",$B$4="R&amp;T Level 7"),$C270*Thresholds_Rates!$F$15,IF(SUMIF(Grades!$A:$A,$B$4,Grades!$BO:$BO)=1,$C270*Thresholds_Rates!$F$15,""))))))))</f>
        <v/>
      </c>
      <c r="L270" s="25" t="str">
        <f t="shared" si="28"/>
        <v/>
      </c>
      <c r="M270" s="25" t="str">
        <f t="shared" si="29"/>
        <v/>
      </c>
      <c r="N270" s="25" t="str">
        <f t="shared" si="30"/>
        <v/>
      </c>
      <c r="O270" s="25" t="str">
        <f t="shared" si="31"/>
        <v/>
      </c>
      <c r="P270" s="25" t="str">
        <f t="shared" si="32"/>
        <v/>
      </c>
    </row>
    <row r="271" spans="5:16" x14ac:dyDescent="0.25">
      <c r="E271" s="25" t="str">
        <f>IF($B271="","",IF(AND($B$4="Salary Points 3 to 57",B271&lt;Thresholds_Rates!$C$16),"-",IF(SUMIF(Grades!$A:$A,$B$4,Grades!$BO:$BO)=0,"-",IF(AND($B$4="Salary Points 3 to 57",B271&gt;=Thresholds_Rates!$C$16),$C271*Thresholds_Rates!$F$15,IF(AND(OR($B$4="New Consultant Contract"),$B271&lt;&gt;""),$C271*Thresholds_Rates!$F$15,IF(AND(OR($B$4="Clinical Lecturer / Medical Research Fellow",$B$4="Clinical Consultant - Old Contract (GP)"),$B271&lt;&gt;""),$C271*Thresholds_Rates!$F$15,IF(OR($B$4="APM Level 7",$B$4="R&amp;T Level 7"),$C271*Thresholds_Rates!$F$15,IF(SUMIF(Grades!$A:$A,$B$4,Grades!$BO:$BO)=1,$C271*Thresholds_Rates!$F$15,""))))))))</f>
        <v/>
      </c>
      <c r="L271" s="25" t="str">
        <f t="shared" si="28"/>
        <v/>
      </c>
      <c r="M271" s="25" t="str">
        <f t="shared" si="29"/>
        <v/>
      </c>
      <c r="N271" s="25" t="str">
        <f t="shared" si="30"/>
        <v/>
      </c>
      <c r="O271" s="25" t="str">
        <f t="shared" si="31"/>
        <v/>
      </c>
      <c r="P271" s="25" t="str">
        <f t="shared" si="32"/>
        <v/>
      </c>
    </row>
    <row r="272" spans="5:16" x14ac:dyDescent="0.25">
      <c r="E272" s="25" t="str">
        <f>IF($B272="","",IF(AND($B$4="Salary Points 3 to 57",B272&lt;Thresholds_Rates!$C$16),"-",IF(SUMIF(Grades!$A:$A,$B$4,Grades!$BO:$BO)=0,"-",IF(AND($B$4="Salary Points 3 to 57",B272&gt;=Thresholds_Rates!$C$16),$C272*Thresholds_Rates!$F$15,IF(AND(OR($B$4="New Consultant Contract"),$B272&lt;&gt;""),$C272*Thresholds_Rates!$F$15,IF(AND(OR($B$4="Clinical Lecturer / Medical Research Fellow",$B$4="Clinical Consultant - Old Contract (GP)"),$B272&lt;&gt;""),$C272*Thresholds_Rates!$F$15,IF(OR($B$4="APM Level 7",$B$4="R&amp;T Level 7"),$C272*Thresholds_Rates!$F$15,IF(SUMIF(Grades!$A:$A,$B$4,Grades!$BO:$BO)=1,$C272*Thresholds_Rates!$F$15,""))))))))</f>
        <v/>
      </c>
      <c r="L272" s="25" t="str">
        <f t="shared" si="28"/>
        <v/>
      </c>
      <c r="M272" s="25" t="str">
        <f t="shared" si="29"/>
        <v/>
      </c>
      <c r="N272" s="25" t="str">
        <f t="shared" si="30"/>
        <v/>
      </c>
      <c r="O272" s="25" t="str">
        <f t="shared" si="31"/>
        <v/>
      </c>
      <c r="P272" s="25" t="str">
        <f t="shared" si="32"/>
        <v/>
      </c>
    </row>
    <row r="273" spans="5:16" x14ac:dyDescent="0.25">
      <c r="E273" s="25" t="str">
        <f>IF($B273="","",IF(AND($B$4="Salary Points 3 to 57",B273&lt;Thresholds_Rates!$C$16),"-",IF(SUMIF(Grades!$A:$A,$B$4,Grades!$BO:$BO)=0,"-",IF(AND($B$4="Salary Points 3 to 57",B273&gt;=Thresholds_Rates!$C$16),$C273*Thresholds_Rates!$F$15,IF(AND(OR($B$4="New Consultant Contract"),$B273&lt;&gt;""),$C273*Thresholds_Rates!$F$15,IF(AND(OR($B$4="Clinical Lecturer / Medical Research Fellow",$B$4="Clinical Consultant - Old Contract (GP)"),$B273&lt;&gt;""),$C273*Thresholds_Rates!$F$15,IF(OR($B$4="APM Level 7",$B$4="R&amp;T Level 7"),$C273*Thresholds_Rates!$F$15,IF(SUMIF(Grades!$A:$A,$B$4,Grades!$BO:$BO)=1,$C273*Thresholds_Rates!$F$15,""))))))))</f>
        <v/>
      </c>
      <c r="L273" s="25" t="str">
        <f t="shared" si="28"/>
        <v/>
      </c>
      <c r="M273" s="25" t="str">
        <f t="shared" si="29"/>
        <v/>
      </c>
      <c r="N273" s="25" t="str">
        <f t="shared" si="30"/>
        <v/>
      </c>
      <c r="O273" s="25" t="str">
        <f t="shared" si="31"/>
        <v/>
      </c>
      <c r="P273" s="25" t="str">
        <f t="shared" si="32"/>
        <v/>
      </c>
    </row>
    <row r="274" spans="5:16" x14ac:dyDescent="0.25">
      <c r="E274" s="25" t="str">
        <f>IF($B274="","",IF(AND($B$4="Salary Points 3 to 57",B274&lt;Thresholds_Rates!$C$16),"-",IF(SUMIF(Grades!$A:$A,$B$4,Grades!$BO:$BO)=0,"-",IF(AND($B$4="Salary Points 3 to 57",B274&gt;=Thresholds_Rates!$C$16),$C274*Thresholds_Rates!$F$15,IF(AND(OR($B$4="New Consultant Contract"),$B274&lt;&gt;""),$C274*Thresholds_Rates!$F$15,IF(AND(OR($B$4="Clinical Lecturer / Medical Research Fellow",$B$4="Clinical Consultant - Old Contract (GP)"),$B274&lt;&gt;""),$C274*Thresholds_Rates!$F$15,IF(OR($B$4="APM Level 7",$B$4="R&amp;T Level 7"),$C274*Thresholds_Rates!$F$15,IF(SUMIF(Grades!$A:$A,$B$4,Grades!$BO:$BO)=1,$C274*Thresholds_Rates!$F$15,""))))))))</f>
        <v/>
      </c>
      <c r="L274" s="25" t="str">
        <f t="shared" si="28"/>
        <v/>
      </c>
      <c r="M274" s="25" t="str">
        <f t="shared" si="29"/>
        <v/>
      </c>
      <c r="N274" s="25" t="str">
        <f t="shared" si="30"/>
        <v/>
      </c>
      <c r="O274" s="25" t="str">
        <f t="shared" si="31"/>
        <v/>
      </c>
      <c r="P274" s="25" t="str">
        <f t="shared" si="32"/>
        <v/>
      </c>
    </row>
    <row r="275" spans="5:16" x14ac:dyDescent="0.25">
      <c r="E275" s="25" t="str">
        <f>IF($B275="","",IF(AND($B$4="Salary Points 3 to 57",B275&lt;Thresholds_Rates!$C$16),"-",IF(SUMIF(Grades!$A:$A,$B$4,Grades!$BO:$BO)=0,"-",IF(AND($B$4="Salary Points 3 to 57",B275&gt;=Thresholds_Rates!$C$16),$C275*Thresholds_Rates!$F$15,IF(AND(OR($B$4="New Consultant Contract"),$B275&lt;&gt;""),$C275*Thresholds_Rates!$F$15,IF(AND(OR($B$4="Clinical Lecturer / Medical Research Fellow",$B$4="Clinical Consultant - Old Contract (GP)"),$B275&lt;&gt;""),$C275*Thresholds_Rates!$F$15,IF(OR($B$4="APM Level 7",$B$4="R&amp;T Level 7"),$C275*Thresholds_Rates!$F$15,IF(SUMIF(Grades!$A:$A,$B$4,Grades!$BO:$BO)=1,$C275*Thresholds_Rates!$F$15,""))))))))</f>
        <v/>
      </c>
      <c r="L275" s="25" t="str">
        <f t="shared" si="28"/>
        <v/>
      </c>
      <c r="M275" s="25" t="str">
        <f t="shared" si="29"/>
        <v/>
      </c>
      <c r="N275" s="25" t="str">
        <f t="shared" si="30"/>
        <v/>
      </c>
      <c r="O275" s="25" t="str">
        <f t="shared" si="31"/>
        <v/>
      </c>
      <c r="P275" s="25" t="str">
        <f t="shared" si="32"/>
        <v/>
      </c>
    </row>
    <row r="276" spans="5:16" x14ac:dyDescent="0.25">
      <c r="E276" s="25" t="str">
        <f>IF($B276="","",IF(AND($B$4="Salary Points 3 to 57",B276&lt;Thresholds_Rates!$C$16),"-",IF(SUMIF(Grades!$A:$A,$B$4,Grades!$BO:$BO)=0,"-",IF(AND($B$4="Salary Points 3 to 57",B276&gt;=Thresholds_Rates!$C$16),$C276*Thresholds_Rates!$F$15,IF(AND(OR($B$4="New Consultant Contract"),$B276&lt;&gt;""),$C276*Thresholds_Rates!$F$15,IF(AND(OR($B$4="Clinical Lecturer / Medical Research Fellow",$B$4="Clinical Consultant - Old Contract (GP)"),$B276&lt;&gt;""),$C276*Thresholds_Rates!$F$15,IF(OR($B$4="APM Level 7",$B$4="R&amp;T Level 7"),$C276*Thresholds_Rates!$F$15,IF(SUMIF(Grades!$A:$A,$B$4,Grades!$BO:$BO)=1,$C276*Thresholds_Rates!$F$15,""))))))))</f>
        <v/>
      </c>
      <c r="L276" s="25" t="str">
        <f t="shared" si="28"/>
        <v/>
      </c>
      <c r="M276" s="25" t="str">
        <f t="shared" si="29"/>
        <v/>
      </c>
      <c r="N276" s="25" t="str">
        <f t="shared" si="30"/>
        <v/>
      </c>
      <c r="O276" s="25" t="str">
        <f t="shared" si="31"/>
        <v/>
      </c>
      <c r="P276" s="25" t="str">
        <f t="shared" si="32"/>
        <v/>
      </c>
    </row>
    <row r="277" spans="5:16" x14ac:dyDescent="0.25">
      <c r="E277" s="25" t="str">
        <f>IF($B277="","",IF(AND($B$4="Salary Points 3 to 57",B277&lt;Thresholds_Rates!$C$16),"-",IF(SUMIF(Grades!$A:$A,$B$4,Grades!$BO:$BO)=0,"-",IF(AND($B$4="Salary Points 3 to 57",B277&gt;=Thresholds_Rates!$C$16),$C277*Thresholds_Rates!$F$15,IF(AND(OR($B$4="New Consultant Contract"),$B277&lt;&gt;""),$C277*Thresholds_Rates!$F$15,IF(AND(OR($B$4="Clinical Lecturer / Medical Research Fellow",$B$4="Clinical Consultant - Old Contract (GP)"),$B277&lt;&gt;""),$C277*Thresholds_Rates!$F$15,IF(OR($B$4="APM Level 7",$B$4="R&amp;T Level 7"),$C277*Thresholds_Rates!$F$15,IF(SUMIF(Grades!$A:$A,$B$4,Grades!$BO:$BO)=1,$C277*Thresholds_Rates!$F$15,""))))))))</f>
        <v/>
      </c>
      <c r="L277" s="25" t="str">
        <f t="shared" si="28"/>
        <v/>
      </c>
      <c r="M277" s="25" t="str">
        <f t="shared" si="29"/>
        <v/>
      </c>
      <c r="N277" s="25" t="str">
        <f t="shared" si="30"/>
        <v/>
      </c>
      <c r="O277" s="25" t="str">
        <f t="shared" si="31"/>
        <v/>
      </c>
      <c r="P277" s="25" t="str">
        <f t="shared" si="32"/>
        <v/>
      </c>
    </row>
    <row r="278" spans="5:16" x14ac:dyDescent="0.25">
      <c r="E278" s="25" t="str">
        <f>IF($B278="","",IF(AND($B$4="Salary Points 3 to 57",B278&lt;Thresholds_Rates!$C$16),"-",IF(SUMIF(Grades!$A:$A,$B$4,Grades!$BO:$BO)=0,"-",IF(AND($B$4="Salary Points 3 to 57",B278&gt;=Thresholds_Rates!$C$16),$C278*Thresholds_Rates!$F$15,IF(AND(OR($B$4="New Consultant Contract"),$B278&lt;&gt;""),$C278*Thresholds_Rates!$F$15,IF(AND(OR($B$4="Clinical Lecturer / Medical Research Fellow",$B$4="Clinical Consultant - Old Contract (GP)"),$B278&lt;&gt;""),$C278*Thresholds_Rates!$F$15,IF(OR($B$4="APM Level 7",$B$4="R&amp;T Level 7"),$C278*Thresholds_Rates!$F$15,IF(SUMIF(Grades!$A:$A,$B$4,Grades!$BO:$BO)=1,$C278*Thresholds_Rates!$F$15,""))))))))</f>
        <v/>
      </c>
      <c r="L278" s="25" t="str">
        <f t="shared" si="28"/>
        <v/>
      </c>
      <c r="M278" s="25" t="str">
        <f t="shared" si="29"/>
        <v/>
      </c>
      <c r="N278" s="25" t="str">
        <f t="shared" si="30"/>
        <v/>
      </c>
      <c r="O278" s="25" t="str">
        <f t="shared" si="31"/>
        <v/>
      </c>
      <c r="P278" s="25" t="str">
        <f t="shared" si="32"/>
        <v/>
      </c>
    </row>
    <row r="279" spans="5:16" x14ac:dyDescent="0.25">
      <c r="E279" s="25" t="str">
        <f>IF($B279="","",IF(AND($B$4="Salary Points 3 to 57",B279&lt;Thresholds_Rates!$C$16),"-",IF(SUMIF(Grades!$A:$A,$B$4,Grades!$BO:$BO)=0,"-",IF(AND($B$4="Salary Points 3 to 57",B279&gt;=Thresholds_Rates!$C$16),$C279*Thresholds_Rates!$F$15,IF(AND(OR($B$4="New Consultant Contract"),$B279&lt;&gt;""),$C279*Thresholds_Rates!$F$15,IF(AND(OR($B$4="Clinical Lecturer / Medical Research Fellow",$B$4="Clinical Consultant - Old Contract (GP)"),$B279&lt;&gt;""),$C279*Thresholds_Rates!$F$15,IF(OR($B$4="APM Level 7",$B$4="R&amp;T Level 7"),$C279*Thresholds_Rates!$F$15,IF(SUMIF(Grades!$A:$A,$B$4,Grades!$BO:$BO)=1,$C279*Thresholds_Rates!$F$15,""))))))))</f>
        <v/>
      </c>
      <c r="L279" s="25" t="str">
        <f t="shared" si="28"/>
        <v/>
      </c>
      <c r="M279" s="25" t="str">
        <f t="shared" si="29"/>
        <v/>
      </c>
      <c r="N279" s="25" t="str">
        <f t="shared" si="30"/>
        <v/>
      </c>
      <c r="O279" s="25" t="str">
        <f t="shared" si="31"/>
        <v/>
      </c>
      <c r="P279" s="25" t="str">
        <f t="shared" si="32"/>
        <v/>
      </c>
    </row>
    <row r="280" spans="5:16" x14ac:dyDescent="0.25">
      <c r="E280" s="25" t="str">
        <f>IF($B280="","",IF(AND($B$4="Salary Points 3 to 57",B280&lt;Thresholds_Rates!$C$16),"-",IF(SUMIF(Grades!$A:$A,$B$4,Grades!$BO:$BO)=0,"-",IF(AND($B$4="Salary Points 3 to 57",B280&gt;=Thresholds_Rates!$C$16),$C280*Thresholds_Rates!$F$15,IF(AND(OR($B$4="New Consultant Contract"),$B280&lt;&gt;""),$C280*Thresholds_Rates!$F$15,IF(AND(OR($B$4="Clinical Lecturer / Medical Research Fellow",$B$4="Clinical Consultant - Old Contract (GP)"),$B280&lt;&gt;""),$C280*Thresholds_Rates!$F$15,IF(OR($B$4="APM Level 7",$B$4="R&amp;T Level 7"),$C280*Thresholds_Rates!$F$15,IF(SUMIF(Grades!$A:$A,$B$4,Grades!$BO:$BO)=1,$C280*Thresholds_Rates!$F$15,""))))))))</f>
        <v/>
      </c>
      <c r="L280" s="25" t="str">
        <f t="shared" si="28"/>
        <v/>
      </c>
      <c r="M280" s="25" t="str">
        <f t="shared" si="29"/>
        <v/>
      </c>
      <c r="N280" s="25" t="str">
        <f t="shared" si="30"/>
        <v/>
      </c>
      <c r="O280" s="25" t="str">
        <f t="shared" si="31"/>
        <v/>
      </c>
      <c r="P280" s="25" t="str">
        <f t="shared" si="32"/>
        <v/>
      </c>
    </row>
    <row r="281" spans="5:16" x14ac:dyDescent="0.25">
      <c r="E281" s="25" t="str">
        <f>IF($B281="","",IF(AND($B$4="Salary Points 3 to 57",B281&lt;Thresholds_Rates!$C$16),"-",IF(SUMIF(Grades!$A:$A,$B$4,Grades!$BO:$BO)=0,"-",IF(AND($B$4="Salary Points 3 to 57",B281&gt;=Thresholds_Rates!$C$16),$C281*Thresholds_Rates!$F$15,IF(AND(OR($B$4="New Consultant Contract"),$B281&lt;&gt;""),$C281*Thresholds_Rates!$F$15,IF(AND(OR($B$4="Clinical Lecturer / Medical Research Fellow",$B$4="Clinical Consultant - Old Contract (GP)"),$B281&lt;&gt;""),$C281*Thresholds_Rates!$F$15,IF(OR($B$4="APM Level 7",$B$4="R&amp;T Level 7"),$C281*Thresholds_Rates!$F$15,IF(SUMIF(Grades!$A:$A,$B$4,Grades!$BO:$BO)=1,$C281*Thresholds_Rates!$F$15,""))))))))</f>
        <v/>
      </c>
      <c r="L281" s="25" t="str">
        <f t="shared" si="28"/>
        <v/>
      </c>
      <c r="M281" s="25" t="str">
        <f t="shared" si="29"/>
        <v/>
      </c>
      <c r="N281" s="25" t="str">
        <f t="shared" si="30"/>
        <v/>
      </c>
      <c r="O281" s="25" t="str">
        <f t="shared" si="31"/>
        <v/>
      </c>
      <c r="P281" s="25" t="str">
        <f t="shared" si="32"/>
        <v/>
      </c>
    </row>
    <row r="282" spans="5:16" x14ac:dyDescent="0.25">
      <c r="E282" s="25" t="str">
        <f>IF($B282="","",IF(AND($B$4="Salary Points 3 to 57",B282&lt;Thresholds_Rates!$C$16),"-",IF(SUMIF(Grades!$A:$A,$B$4,Grades!$BO:$BO)=0,"-",IF(AND($B$4="Salary Points 3 to 57",B282&gt;=Thresholds_Rates!$C$16),$C282*Thresholds_Rates!$F$15,IF(AND(OR($B$4="New Consultant Contract"),$B282&lt;&gt;""),$C282*Thresholds_Rates!$F$15,IF(AND(OR($B$4="Clinical Lecturer / Medical Research Fellow",$B$4="Clinical Consultant - Old Contract (GP)"),$B282&lt;&gt;""),$C282*Thresholds_Rates!$F$15,IF(OR($B$4="APM Level 7",$B$4="R&amp;T Level 7"),$C282*Thresholds_Rates!$F$15,IF(SUMIF(Grades!$A:$A,$B$4,Grades!$BO:$BO)=1,$C282*Thresholds_Rates!$F$15,""))))))))</f>
        <v/>
      </c>
      <c r="L282" s="25" t="str">
        <f t="shared" si="28"/>
        <v/>
      </c>
      <c r="M282" s="25" t="str">
        <f t="shared" si="29"/>
        <v/>
      </c>
      <c r="N282" s="25" t="str">
        <f t="shared" si="30"/>
        <v/>
      </c>
      <c r="O282" s="25" t="str">
        <f t="shared" si="31"/>
        <v/>
      </c>
      <c r="P282" s="25" t="str">
        <f t="shared" si="32"/>
        <v/>
      </c>
    </row>
    <row r="283" spans="5:16" x14ac:dyDescent="0.25">
      <c r="E283" s="25" t="str">
        <f>IF($B283="","",IF(AND($B$4="Salary Points 3 to 57",B283&lt;Thresholds_Rates!$C$16),"-",IF(SUMIF(Grades!$A:$A,$B$4,Grades!$BO:$BO)=0,"-",IF(AND($B$4="Salary Points 3 to 57",B283&gt;=Thresholds_Rates!$C$16),$C283*Thresholds_Rates!$F$15,IF(AND(OR($B$4="New Consultant Contract"),$B283&lt;&gt;""),$C283*Thresholds_Rates!$F$15,IF(AND(OR($B$4="Clinical Lecturer / Medical Research Fellow",$B$4="Clinical Consultant - Old Contract (GP)"),$B283&lt;&gt;""),$C283*Thresholds_Rates!$F$15,IF(OR($B$4="APM Level 7",$B$4="R&amp;T Level 7"),$C283*Thresholds_Rates!$F$15,IF(SUMIF(Grades!$A:$A,$B$4,Grades!$BO:$BO)=1,$C283*Thresholds_Rates!$F$15,""))))))))</f>
        <v/>
      </c>
      <c r="L283" s="25" t="str">
        <f t="shared" si="28"/>
        <v/>
      </c>
      <c r="M283" s="25" t="str">
        <f t="shared" si="29"/>
        <v/>
      </c>
      <c r="N283" s="25" t="str">
        <f t="shared" si="30"/>
        <v/>
      </c>
      <c r="O283" s="25" t="str">
        <f t="shared" si="31"/>
        <v/>
      </c>
      <c r="P283" s="25" t="str">
        <f t="shared" si="32"/>
        <v/>
      </c>
    </row>
    <row r="284" spans="5:16" x14ac:dyDescent="0.25">
      <c r="E284" s="25" t="str">
        <f>IF($B284="","",IF(AND($B$4="Salary Points 3 to 57",B284&lt;Thresholds_Rates!$C$16),"-",IF(SUMIF(Grades!$A:$A,$B$4,Grades!$BO:$BO)=0,"-",IF(AND($B$4="Salary Points 3 to 57",B284&gt;=Thresholds_Rates!$C$16),$C284*Thresholds_Rates!$F$15,IF(AND(OR($B$4="New Consultant Contract"),$B284&lt;&gt;""),$C284*Thresholds_Rates!$F$15,IF(AND(OR($B$4="Clinical Lecturer / Medical Research Fellow",$B$4="Clinical Consultant - Old Contract (GP)"),$B284&lt;&gt;""),$C284*Thresholds_Rates!$F$15,IF(OR($B$4="APM Level 7",$B$4="R&amp;T Level 7"),$C284*Thresholds_Rates!$F$15,IF(SUMIF(Grades!$A:$A,$B$4,Grades!$BO:$BO)=1,$C284*Thresholds_Rates!$F$15,""))))))))</f>
        <v/>
      </c>
      <c r="L284" s="25" t="str">
        <f t="shared" si="28"/>
        <v/>
      </c>
      <c r="M284" s="25" t="str">
        <f t="shared" si="29"/>
        <v/>
      </c>
      <c r="N284" s="25" t="str">
        <f t="shared" si="30"/>
        <v/>
      </c>
      <c r="O284" s="25" t="str">
        <f t="shared" si="31"/>
        <v/>
      </c>
      <c r="P284" s="25" t="str">
        <f t="shared" si="32"/>
        <v/>
      </c>
    </row>
    <row r="285" spans="5:16" x14ac:dyDescent="0.25">
      <c r="E285" s="25" t="str">
        <f>IF($B285="","",IF(AND($B$4="Salary Points 3 to 57",B285&lt;Thresholds_Rates!$C$16),"-",IF(SUMIF(Grades!$A:$A,$B$4,Grades!$BO:$BO)=0,"-",IF(AND($B$4="Salary Points 3 to 57",B285&gt;=Thresholds_Rates!$C$16),$C285*Thresholds_Rates!$F$15,IF(AND(OR($B$4="New Consultant Contract"),$B285&lt;&gt;""),$C285*Thresholds_Rates!$F$15,IF(AND(OR($B$4="Clinical Lecturer / Medical Research Fellow",$B$4="Clinical Consultant - Old Contract (GP)"),$B285&lt;&gt;""),$C285*Thresholds_Rates!$F$15,IF(OR($B$4="APM Level 7",$B$4="R&amp;T Level 7"),$C285*Thresholds_Rates!$F$15,IF(SUMIF(Grades!$A:$A,$B$4,Grades!$BO:$BO)=1,$C285*Thresholds_Rates!$F$15,""))))))))</f>
        <v/>
      </c>
      <c r="L285" s="25" t="str">
        <f t="shared" si="28"/>
        <v/>
      </c>
      <c r="M285" s="25" t="str">
        <f t="shared" si="29"/>
        <v/>
      </c>
      <c r="N285" s="25" t="str">
        <f t="shared" si="30"/>
        <v/>
      </c>
      <c r="O285" s="25" t="str">
        <f t="shared" si="31"/>
        <v/>
      </c>
      <c r="P285" s="25" t="str">
        <f t="shared" si="32"/>
        <v/>
      </c>
    </row>
    <row r="286" spans="5:16" x14ac:dyDescent="0.25">
      <c r="E286" s="25" t="str">
        <f>IF($B286="","",IF(AND($B$4="Salary Points 3 to 57",B286&lt;Thresholds_Rates!$C$16),"-",IF(SUMIF(Grades!$A:$A,$B$4,Grades!$BO:$BO)=0,"-",IF(AND($B$4="Salary Points 3 to 57",B286&gt;=Thresholds_Rates!$C$16),$C286*Thresholds_Rates!$F$15,IF(AND(OR($B$4="New Consultant Contract"),$B286&lt;&gt;""),$C286*Thresholds_Rates!$F$15,IF(AND(OR($B$4="Clinical Lecturer / Medical Research Fellow",$B$4="Clinical Consultant - Old Contract (GP)"),$B286&lt;&gt;""),$C286*Thresholds_Rates!$F$15,IF(OR($B$4="APM Level 7",$B$4="R&amp;T Level 7"),$C286*Thresholds_Rates!$F$15,IF(SUMIF(Grades!$A:$A,$B$4,Grades!$BO:$BO)=1,$C286*Thresholds_Rates!$F$15,""))))))))</f>
        <v/>
      </c>
      <c r="L286" s="25" t="str">
        <f t="shared" si="28"/>
        <v/>
      </c>
      <c r="M286" s="25" t="str">
        <f t="shared" si="29"/>
        <v/>
      </c>
      <c r="N286" s="25" t="str">
        <f t="shared" si="30"/>
        <v/>
      </c>
      <c r="O286" s="25" t="str">
        <f t="shared" si="31"/>
        <v/>
      </c>
      <c r="P286" s="25" t="str">
        <f t="shared" si="32"/>
        <v/>
      </c>
    </row>
    <row r="287" spans="5:16" x14ac:dyDescent="0.25">
      <c r="E287" s="25" t="str">
        <f>IF($B287="","",IF(AND($B$4="Salary Points 3 to 57",B287&lt;Thresholds_Rates!$C$16),"-",IF(SUMIF(Grades!$A:$A,$B$4,Grades!$BO:$BO)=0,"-",IF(AND($B$4="Salary Points 3 to 57",B287&gt;=Thresholds_Rates!$C$16),$C287*Thresholds_Rates!$F$15,IF(AND(OR($B$4="New Consultant Contract"),$B287&lt;&gt;""),$C287*Thresholds_Rates!$F$15,IF(AND(OR($B$4="Clinical Lecturer / Medical Research Fellow",$B$4="Clinical Consultant - Old Contract (GP)"),$B287&lt;&gt;""),$C287*Thresholds_Rates!$F$15,IF(OR($B$4="APM Level 7",$B$4="R&amp;T Level 7"),$C287*Thresholds_Rates!$F$15,IF(SUMIF(Grades!$A:$A,$B$4,Grades!$BO:$BO)=1,$C287*Thresholds_Rates!$F$15,""))))))))</f>
        <v/>
      </c>
      <c r="L287" s="25" t="str">
        <f t="shared" si="28"/>
        <v/>
      </c>
      <c r="M287" s="25" t="str">
        <f t="shared" si="29"/>
        <v/>
      </c>
      <c r="N287" s="25" t="str">
        <f t="shared" si="30"/>
        <v/>
      </c>
      <c r="O287" s="25" t="str">
        <f t="shared" si="31"/>
        <v/>
      </c>
      <c r="P287" s="25" t="str">
        <f t="shared" si="32"/>
        <v/>
      </c>
    </row>
    <row r="288" spans="5:16" x14ac:dyDescent="0.25">
      <c r="E288" s="25" t="str">
        <f>IF($B288="","",IF(AND($B$4="Salary Points 3 to 57",B288&lt;Thresholds_Rates!$C$16),"-",IF(SUMIF(Grades!$A:$A,$B$4,Grades!$BO:$BO)=0,"-",IF(AND($B$4="Salary Points 3 to 57",B288&gt;=Thresholds_Rates!$C$16),$C288*Thresholds_Rates!$F$15,IF(AND(OR($B$4="New Consultant Contract"),$B288&lt;&gt;""),$C288*Thresholds_Rates!$F$15,IF(AND(OR($B$4="Clinical Lecturer / Medical Research Fellow",$B$4="Clinical Consultant - Old Contract (GP)"),$B288&lt;&gt;""),$C288*Thresholds_Rates!$F$15,IF(OR($B$4="APM Level 7",$B$4="R&amp;T Level 7"),$C288*Thresholds_Rates!$F$15,IF(SUMIF(Grades!$A:$A,$B$4,Grades!$BO:$BO)=1,$C288*Thresholds_Rates!$F$15,""))))))))</f>
        <v/>
      </c>
      <c r="L288" s="25" t="str">
        <f t="shared" si="28"/>
        <v/>
      </c>
      <c r="M288" s="25" t="str">
        <f t="shared" si="29"/>
        <v/>
      </c>
      <c r="N288" s="25" t="str">
        <f t="shared" si="30"/>
        <v/>
      </c>
      <c r="O288" s="25" t="str">
        <f t="shared" si="31"/>
        <v/>
      </c>
      <c r="P288" s="25" t="str">
        <f t="shared" si="32"/>
        <v/>
      </c>
    </row>
    <row r="289" spans="5:16" x14ac:dyDescent="0.25">
      <c r="E289" s="25" t="str">
        <f>IF($B289="","",IF(AND($B$4="Salary Points 3 to 57",B289&lt;Thresholds_Rates!$C$16),"-",IF(SUMIF(Grades!$A:$A,$B$4,Grades!$BO:$BO)=0,"-",IF(AND($B$4="Salary Points 3 to 57",B289&gt;=Thresholds_Rates!$C$16),$C289*Thresholds_Rates!$F$15,IF(AND(OR($B$4="New Consultant Contract"),$B289&lt;&gt;""),$C289*Thresholds_Rates!$F$15,IF(AND(OR($B$4="Clinical Lecturer / Medical Research Fellow",$B$4="Clinical Consultant - Old Contract (GP)"),$B289&lt;&gt;""),$C289*Thresholds_Rates!$F$15,IF(OR($B$4="APM Level 7",$B$4="R&amp;T Level 7"),$C289*Thresholds_Rates!$F$15,IF(SUMIF(Grades!$A:$A,$B$4,Grades!$BO:$BO)=1,$C289*Thresholds_Rates!$F$15,""))))))))</f>
        <v/>
      </c>
      <c r="L289" s="25" t="str">
        <f t="shared" si="28"/>
        <v/>
      </c>
      <c r="M289" s="25" t="str">
        <f t="shared" si="29"/>
        <v/>
      </c>
      <c r="N289" s="25" t="str">
        <f t="shared" si="30"/>
        <v/>
      </c>
      <c r="O289" s="25" t="str">
        <f t="shared" si="31"/>
        <v/>
      </c>
      <c r="P289" s="25" t="str">
        <f t="shared" si="32"/>
        <v/>
      </c>
    </row>
    <row r="290" spans="5:16" x14ac:dyDescent="0.25">
      <c r="E290" s="25" t="str">
        <f>IF($B290="","",IF(AND($B$4="Salary Points 3 to 57",B290&lt;Thresholds_Rates!$C$16),"-",IF(SUMIF(Grades!$A:$A,$B$4,Grades!$BO:$BO)=0,"-",IF(AND($B$4="Salary Points 3 to 57",B290&gt;=Thresholds_Rates!$C$16),$C290*Thresholds_Rates!$F$15,IF(AND(OR($B$4="New Consultant Contract"),$B290&lt;&gt;""),$C290*Thresholds_Rates!$F$15,IF(AND(OR($B$4="Clinical Lecturer / Medical Research Fellow",$B$4="Clinical Consultant - Old Contract (GP)"),$B290&lt;&gt;""),$C290*Thresholds_Rates!$F$15,IF(OR($B$4="APM Level 7",$B$4="R&amp;T Level 7"),$C290*Thresholds_Rates!$F$15,IF(SUMIF(Grades!$A:$A,$B$4,Grades!$BO:$BO)=1,$C290*Thresholds_Rates!$F$15,""))))))))</f>
        <v/>
      </c>
      <c r="L290" s="25" t="str">
        <f t="shared" si="28"/>
        <v/>
      </c>
      <c r="M290" s="25" t="str">
        <f t="shared" si="29"/>
        <v/>
      </c>
      <c r="N290" s="25" t="str">
        <f t="shared" si="30"/>
        <v/>
      </c>
      <c r="O290" s="25" t="str">
        <f t="shared" si="31"/>
        <v/>
      </c>
      <c r="P290" s="25" t="str">
        <f t="shared" si="32"/>
        <v/>
      </c>
    </row>
    <row r="291" spans="5:16" x14ac:dyDescent="0.25">
      <c r="E291" s="25" t="str">
        <f>IF($B291="","",IF(AND($B$4="Salary Points 3 to 57",B291&lt;Thresholds_Rates!$C$16),"-",IF(SUMIF(Grades!$A:$A,$B$4,Grades!$BO:$BO)=0,"-",IF(AND($B$4="Salary Points 3 to 57",B291&gt;=Thresholds_Rates!$C$16),$C291*Thresholds_Rates!$F$15,IF(AND(OR($B$4="New Consultant Contract"),$B291&lt;&gt;""),$C291*Thresholds_Rates!$F$15,IF(AND(OR($B$4="Clinical Lecturer / Medical Research Fellow",$B$4="Clinical Consultant - Old Contract (GP)"),$B291&lt;&gt;""),$C291*Thresholds_Rates!$F$15,IF(OR($B$4="APM Level 7",$B$4="R&amp;T Level 7"),$C291*Thresholds_Rates!$F$15,IF(SUMIF(Grades!$A:$A,$B$4,Grades!$BO:$BO)=1,$C291*Thresholds_Rates!$F$15,""))))))))</f>
        <v/>
      </c>
      <c r="L291" s="25" t="str">
        <f t="shared" si="28"/>
        <v/>
      </c>
      <c r="M291" s="25" t="str">
        <f t="shared" si="29"/>
        <v/>
      </c>
      <c r="N291" s="25" t="str">
        <f t="shared" si="30"/>
        <v/>
      </c>
      <c r="O291" s="25" t="str">
        <f t="shared" si="31"/>
        <v/>
      </c>
      <c r="P291" s="25" t="str">
        <f t="shared" si="32"/>
        <v/>
      </c>
    </row>
    <row r="292" spans="5:16" x14ac:dyDescent="0.25">
      <c r="E292" s="25" t="str">
        <f>IF($B292="","",IF(AND($B$4="Salary Points 3 to 57",B292&lt;Thresholds_Rates!$C$16),"-",IF(SUMIF(Grades!$A:$A,$B$4,Grades!$BO:$BO)=0,"-",IF(AND($B$4="Salary Points 3 to 57",B292&gt;=Thresholds_Rates!$C$16),$C292*Thresholds_Rates!$F$15,IF(AND(OR($B$4="New Consultant Contract"),$B292&lt;&gt;""),$C292*Thresholds_Rates!$F$15,IF(AND(OR($B$4="Clinical Lecturer / Medical Research Fellow",$B$4="Clinical Consultant - Old Contract (GP)"),$B292&lt;&gt;""),$C292*Thresholds_Rates!$F$15,IF(OR($B$4="APM Level 7",$B$4="R&amp;T Level 7"),$C292*Thresholds_Rates!$F$15,IF(SUMIF(Grades!$A:$A,$B$4,Grades!$BO:$BO)=1,$C292*Thresholds_Rates!$F$15,""))))))))</f>
        <v/>
      </c>
      <c r="L292" s="25" t="str">
        <f t="shared" si="28"/>
        <v/>
      </c>
      <c r="M292" s="25" t="str">
        <f t="shared" si="29"/>
        <v/>
      </c>
      <c r="N292" s="25" t="str">
        <f t="shared" si="30"/>
        <v/>
      </c>
      <c r="O292" s="25" t="str">
        <f t="shared" si="31"/>
        <v/>
      </c>
      <c r="P292" s="25" t="str">
        <f t="shared" si="32"/>
        <v/>
      </c>
    </row>
    <row r="293" spans="5:16" x14ac:dyDescent="0.25">
      <c r="E293" s="25" t="str">
        <f>IF($B293="","",IF(AND($B$4="Salary Points 3 to 57",B293&lt;Thresholds_Rates!$C$16),"-",IF(SUMIF(Grades!$A:$A,$B$4,Grades!$BO:$BO)=0,"-",IF(AND($B$4="Salary Points 3 to 57",B293&gt;=Thresholds_Rates!$C$16),$C293*Thresholds_Rates!$F$15,IF(AND(OR($B$4="New Consultant Contract"),$B293&lt;&gt;""),$C293*Thresholds_Rates!$F$15,IF(AND(OR($B$4="Clinical Lecturer / Medical Research Fellow",$B$4="Clinical Consultant - Old Contract (GP)"),$B293&lt;&gt;""),$C293*Thresholds_Rates!$F$15,IF(OR($B$4="APM Level 7",$B$4="R&amp;T Level 7"),$C293*Thresholds_Rates!$F$15,IF(SUMIF(Grades!$A:$A,$B$4,Grades!$BO:$BO)=1,$C293*Thresholds_Rates!$F$15,""))))))))</f>
        <v/>
      </c>
      <c r="L293" s="25" t="str">
        <f t="shared" si="28"/>
        <v/>
      </c>
      <c r="M293" s="25" t="str">
        <f t="shared" si="29"/>
        <v/>
      </c>
      <c r="N293" s="25" t="str">
        <f t="shared" si="30"/>
        <v/>
      </c>
      <c r="O293" s="25" t="str">
        <f t="shared" si="31"/>
        <v/>
      </c>
      <c r="P293" s="25" t="str">
        <f t="shared" si="32"/>
        <v/>
      </c>
    </row>
    <row r="294" spans="5:16" x14ac:dyDescent="0.25">
      <c r="E294" s="25" t="str">
        <f>IF($B294="","",IF(AND($B$4="Salary Points 3 to 57",B294&lt;Thresholds_Rates!$C$16),"-",IF(SUMIF(Grades!$A:$A,$B$4,Grades!$BO:$BO)=0,"-",IF(AND($B$4="Salary Points 3 to 57",B294&gt;=Thresholds_Rates!$C$16),$C294*Thresholds_Rates!$F$15,IF(AND(OR($B$4="New Consultant Contract"),$B294&lt;&gt;""),$C294*Thresholds_Rates!$F$15,IF(AND(OR($B$4="Clinical Lecturer / Medical Research Fellow",$B$4="Clinical Consultant - Old Contract (GP)"),$B294&lt;&gt;""),$C294*Thresholds_Rates!$F$15,IF(OR($B$4="APM Level 7",$B$4="R&amp;T Level 7"),$C294*Thresholds_Rates!$F$15,IF(SUMIF(Grades!$A:$A,$B$4,Grades!$BO:$BO)=1,$C294*Thresholds_Rates!$F$15,""))))))))</f>
        <v/>
      </c>
      <c r="L294" s="25" t="str">
        <f t="shared" si="28"/>
        <v/>
      </c>
      <c r="M294" s="25" t="str">
        <f t="shared" si="29"/>
        <v/>
      </c>
      <c r="N294" s="25" t="str">
        <f t="shared" si="30"/>
        <v/>
      </c>
      <c r="O294" s="25" t="str">
        <f t="shared" si="31"/>
        <v/>
      </c>
      <c r="P294" s="25" t="str">
        <f t="shared" si="32"/>
        <v/>
      </c>
    </row>
    <row r="295" spans="5:16" x14ac:dyDescent="0.25">
      <c r="E295" s="25" t="str">
        <f>IF($B295="","",IF(AND($B$4="Salary Points 3 to 57",B295&lt;Thresholds_Rates!$C$16),"-",IF(SUMIF(Grades!$A:$A,$B$4,Grades!$BO:$BO)=0,"-",IF(AND($B$4="Salary Points 3 to 57",B295&gt;=Thresholds_Rates!$C$16),$C295*Thresholds_Rates!$F$15,IF(AND(OR($B$4="New Consultant Contract"),$B295&lt;&gt;""),$C295*Thresholds_Rates!$F$15,IF(AND(OR($B$4="Clinical Lecturer / Medical Research Fellow",$B$4="Clinical Consultant - Old Contract (GP)"),$B295&lt;&gt;""),$C295*Thresholds_Rates!$F$15,IF(OR($B$4="APM Level 7",$B$4="R&amp;T Level 7"),$C295*Thresholds_Rates!$F$15,IF(SUMIF(Grades!$A:$A,$B$4,Grades!$BO:$BO)=1,$C295*Thresholds_Rates!$F$15,""))))))))</f>
        <v/>
      </c>
      <c r="L295" s="25" t="str">
        <f t="shared" si="28"/>
        <v/>
      </c>
      <c r="M295" s="25" t="str">
        <f t="shared" si="29"/>
        <v/>
      </c>
      <c r="N295" s="25" t="str">
        <f t="shared" si="30"/>
        <v/>
      </c>
      <c r="O295" s="25" t="str">
        <f t="shared" si="31"/>
        <v/>
      </c>
      <c r="P295" s="25" t="str">
        <f t="shared" si="32"/>
        <v/>
      </c>
    </row>
    <row r="296" spans="5:16" x14ac:dyDescent="0.25">
      <c r="L296" s="25" t="str">
        <f t="shared" si="28"/>
        <v/>
      </c>
      <c r="M296" s="25" t="str">
        <f t="shared" si="29"/>
        <v/>
      </c>
      <c r="N296" s="25" t="str">
        <f t="shared" si="30"/>
        <v/>
      </c>
      <c r="O296" s="25" t="str">
        <f t="shared" si="31"/>
        <v/>
      </c>
      <c r="P296" s="25" t="str">
        <f t="shared" si="32"/>
        <v/>
      </c>
    </row>
    <row r="297" spans="5:16" x14ac:dyDescent="0.25">
      <c r="L297" s="25" t="str">
        <f t="shared" si="28"/>
        <v/>
      </c>
      <c r="M297" s="25" t="str">
        <f t="shared" si="29"/>
        <v/>
      </c>
      <c r="N297" s="25" t="str">
        <f t="shared" si="30"/>
        <v/>
      </c>
      <c r="O297" s="25" t="str">
        <f t="shared" si="31"/>
        <v/>
      </c>
      <c r="P297" s="25" t="str">
        <f t="shared" si="32"/>
        <v/>
      </c>
    </row>
    <row r="298" spans="5:16" x14ac:dyDescent="0.25">
      <c r="L298" s="25" t="str">
        <f t="shared" si="28"/>
        <v/>
      </c>
      <c r="M298" s="25" t="str">
        <f t="shared" si="29"/>
        <v/>
      </c>
      <c r="N298" s="25" t="str">
        <f t="shared" si="30"/>
        <v/>
      </c>
      <c r="O298" s="25" t="str">
        <f t="shared" si="31"/>
        <v/>
      </c>
      <c r="P298" s="25" t="str">
        <f t="shared" si="32"/>
        <v/>
      </c>
    </row>
    <row r="299" spans="5:16" x14ac:dyDescent="0.25">
      <c r="L299" s="25" t="str">
        <f t="shared" si="28"/>
        <v/>
      </c>
      <c r="M299" s="25" t="str">
        <f t="shared" si="29"/>
        <v/>
      </c>
      <c r="N299" s="25" t="str">
        <f t="shared" si="30"/>
        <v/>
      </c>
      <c r="O299" s="25" t="str">
        <f t="shared" si="31"/>
        <v/>
      </c>
      <c r="P299" s="25" t="str">
        <f t="shared" si="32"/>
        <v/>
      </c>
    </row>
    <row r="300" spans="5:16" x14ac:dyDescent="0.25">
      <c r="L300" s="25" t="str">
        <f t="shared" si="28"/>
        <v/>
      </c>
      <c r="M300" s="25" t="str">
        <f t="shared" si="29"/>
        <v/>
      </c>
      <c r="N300" s="25" t="str">
        <f t="shared" si="30"/>
        <v/>
      </c>
      <c r="O300" s="25" t="str">
        <f t="shared" si="31"/>
        <v/>
      </c>
      <c r="P300" s="25" t="str">
        <f t="shared" si="32"/>
        <v/>
      </c>
    </row>
    <row r="301" spans="5:16" x14ac:dyDescent="0.25">
      <c r="L301" s="25" t="str">
        <f t="shared" si="28"/>
        <v/>
      </c>
      <c r="M301" s="25" t="str">
        <f t="shared" si="29"/>
        <v/>
      </c>
      <c r="N301" s="25" t="str">
        <f t="shared" si="30"/>
        <v/>
      </c>
      <c r="O301" s="25" t="str">
        <f t="shared" si="31"/>
        <v/>
      </c>
      <c r="P301" s="25" t="str">
        <f t="shared" si="32"/>
        <v/>
      </c>
    </row>
    <row r="302" spans="5:16" x14ac:dyDescent="0.25">
      <c r="L302" s="25" t="str">
        <f t="shared" si="28"/>
        <v/>
      </c>
      <c r="M302" s="25" t="str">
        <f t="shared" si="29"/>
        <v/>
      </c>
      <c r="N302" s="25" t="str">
        <f t="shared" si="30"/>
        <v/>
      </c>
      <c r="O302" s="25" t="str">
        <f t="shared" si="31"/>
        <v/>
      </c>
      <c r="P302" s="25" t="str">
        <f t="shared" si="32"/>
        <v/>
      </c>
    </row>
    <row r="303" spans="5:16" x14ac:dyDescent="0.25">
      <c r="L303" s="25" t="str">
        <f t="shared" si="28"/>
        <v/>
      </c>
      <c r="M303" s="25" t="str">
        <f t="shared" si="29"/>
        <v/>
      </c>
      <c r="N303" s="25" t="str">
        <f t="shared" si="30"/>
        <v/>
      </c>
      <c r="O303" s="25" t="str">
        <f t="shared" si="31"/>
        <v/>
      </c>
      <c r="P303" s="25" t="str">
        <f t="shared" si="32"/>
        <v/>
      </c>
    </row>
  </sheetData>
  <mergeCells count="9">
    <mergeCell ref="B1:J2"/>
    <mergeCell ref="T7:U7"/>
    <mergeCell ref="L7:P7"/>
    <mergeCell ref="R7:S7"/>
    <mergeCell ref="E7:J7"/>
    <mergeCell ref="B4:C4"/>
    <mergeCell ref="L2:Q2"/>
    <mergeCell ref="B7:C7"/>
    <mergeCell ref="E4:I4"/>
  </mergeCells>
  <conditionalFormatting sqref="R7:U8">
    <cfRule type="expression" dxfId="5" priority="8">
      <formula>$R$8&lt;&gt;""</formula>
    </cfRule>
  </conditionalFormatting>
  <conditionalFormatting sqref="B9:P9">
    <cfRule type="expression" dxfId="4" priority="2">
      <formula>$B$5="Y"</formula>
    </cfRule>
  </conditionalFormatting>
  <conditionalFormatting sqref="B7:C7">
    <cfRule type="expression" dxfId="3" priority="1">
      <formula>$B$5="Y"</formula>
    </cfRule>
  </conditionalFormatting>
  <dataValidations count="1">
    <dataValidation type="list" allowBlank="1" showInputMessage="1" showErrorMessage="1" sqref="B4:C4">
      <formula1>LIST</formula1>
    </dataValidation>
  </dataValidations>
  <printOptions horizontalCentered="1"/>
  <pageMargins left="0.23622047244094491" right="0.23622047244094491" top="0.74803149606299213" bottom="0.39370078740157483" header="0.27559055118110237" footer="0.31496062992125984"/>
  <pageSetup paperSize="9" scale="65" orientation="landscape" r:id="rId1"/>
  <headerFooter>
    <oddHeader>&amp;C&amp;"-,Bold"&amp;20Pay Award Date: 01/08/2016 (01/04/2017 for Clinical Grades)
National Insurance: 2017/18 Tax Year</oddHeader>
    <oddFooter>&amp;CVersion 1, last changed 01/04/2017</oddFooter>
  </headerFooter>
  <extLst>
    <ext xmlns:x14="http://schemas.microsoft.com/office/spreadsheetml/2009/9/main" uri="{78C0D931-6437-407d-A8EE-F0AAD7539E65}">
      <x14:conditionalFormattings>
        <x14:conditionalFormatting xmlns:xm="http://schemas.microsoft.com/office/excel/2006/main">
          <x14:cfRule type="expression" priority="20" id="{6B5B06B3-D9FA-4CC9-92C4-BB3B587251A8}">
            <xm:f>$B9=Thresholds_Rates!$C$15</xm:f>
            <x14:dxf>
              <font>
                <b/>
                <i val="0"/>
              </font>
              <fill>
                <patternFill>
                  <bgColor rgb="FFFFC000"/>
                </patternFill>
              </fill>
              <border>
                <left/>
                <right/>
                <top/>
                <bottom/>
                <vertical/>
                <horizontal/>
              </border>
            </x14:dxf>
          </x14:cfRule>
          <xm:sqref>L174:P303 B9:P173 E174:E295</xm:sqref>
        </x14:conditionalFormatting>
        <x14:conditionalFormatting xmlns:xm="http://schemas.microsoft.com/office/excel/2006/main">
          <x14:cfRule type="expression" priority="23" id="{7A1CD022-C5B3-4A9F-B822-D53F5F12A0AE}">
            <xm:f>AND(Thresholds_Rates!$C$15=0,$B$4&lt;&gt;"O&amp;F Level 1",$B$4&lt;&gt;"O&amp;F Level 2")</xm:f>
            <x14:dxf>
              <numFmt numFmtId="0" formatCode="General"/>
              <fill>
                <patternFill patternType="none">
                  <bgColor auto="1"/>
                </patternFill>
              </fill>
              <border>
                <left/>
                <right/>
                <top/>
                <bottom/>
                <vertical/>
                <horizontal/>
              </border>
            </x14:dxf>
          </x14:cfRule>
          <xm:sqref>E4</xm:sqref>
        </x14:conditionalFormatting>
        <x14:conditionalFormatting xmlns:xm="http://schemas.microsoft.com/office/excel/2006/main">
          <x14:cfRule type="expression" priority="24" id="{ABE4A44D-BD52-4335-A3FD-5FCEE129207B}">
            <xm:f>AND($B9=Thresholds_Rates!$C$15,$R$8&lt;&gt;"")</xm:f>
            <x14:dxf>
              <font>
                <b/>
                <i val="0"/>
              </font>
              <fill>
                <patternFill>
                  <bgColor rgb="FFFFC000"/>
                </patternFill>
              </fill>
            </x14:dxf>
          </x14:cfRule>
          <xm:sqref>Q9:U173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showGridLines="0" zoomScale="115" zoomScaleNormal="115" workbookViewId="0">
      <selection activeCell="C12" sqref="C12"/>
    </sheetView>
  </sheetViews>
  <sheetFormatPr defaultColWidth="9.140625" defaultRowHeight="15" x14ac:dyDescent="0.25"/>
  <cols>
    <col min="2" max="2" width="24.42578125" bestFit="1" customWidth="1"/>
    <col min="3" max="3" width="9.140625" style="41" customWidth="1"/>
  </cols>
  <sheetData>
    <row r="2" spans="2:6" x14ac:dyDescent="0.25">
      <c r="B2" s="39" t="s">
        <v>63</v>
      </c>
      <c r="C2" s="48">
        <v>2017</v>
      </c>
      <c r="D2" t="s">
        <v>64</v>
      </c>
    </row>
    <row r="3" spans="2:6" x14ac:dyDescent="0.25">
      <c r="C3" s="49"/>
    </row>
    <row r="4" spans="2:6" x14ac:dyDescent="0.25">
      <c r="B4" s="40" t="s">
        <v>58</v>
      </c>
      <c r="C4" s="50">
        <v>490</v>
      </c>
    </row>
    <row r="5" spans="2:6" x14ac:dyDescent="0.25">
      <c r="B5" s="40" t="s">
        <v>59</v>
      </c>
      <c r="C5" s="48">
        <v>680</v>
      </c>
    </row>
    <row r="6" spans="2:6" x14ac:dyDescent="0.25">
      <c r="B6" s="40" t="s">
        <v>61</v>
      </c>
      <c r="C6" s="48">
        <v>680</v>
      </c>
    </row>
    <row r="7" spans="2:6" x14ac:dyDescent="0.25">
      <c r="B7" s="40" t="s">
        <v>60</v>
      </c>
      <c r="C7" s="48">
        <v>3750</v>
      </c>
    </row>
    <row r="8" spans="2:6" x14ac:dyDescent="0.25">
      <c r="B8" s="40" t="s">
        <v>56</v>
      </c>
      <c r="C8" s="42">
        <v>0</v>
      </c>
    </row>
    <row r="9" spans="2:6" x14ac:dyDescent="0.25">
      <c r="B9" s="40" t="s">
        <v>62</v>
      </c>
      <c r="C9" s="42">
        <v>0.13800000000000001</v>
      </c>
      <c r="D9" s="38"/>
    </row>
    <row r="10" spans="2:6" x14ac:dyDescent="0.25">
      <c r="B10" s="40" t="s">
        <v>57</v>
      </c>
      <c r="C10" s="42">
        <v>0.13800000000000001</v>
      </c>
    </row>
    <row r="12" spans="2:6" x14ac:dyDescent="0.25">
      <c r="B12" s="55" t="s">
        <v>89</v>
      </c>
      <c r="C12" s="65">
        <v>5.0000000000000001E-3</v>
      </c>
    </row>
    <row r="14" spans="2:6" x14ac:dyDescent="0.25">
      <c r="E14" s="39" t="s">
        <v>85</v>
      </c>
      <c r="F14" s="39"/>
    </row>
    <row r="15" spans="2:6" x14ac:dyDescent="0.25">
      <c r="B15" s="55" t="s">
        <v>10</v>
      </c>
      <c r="C15" s="55">
        <f>IF(Rates!$B$4="","",SUMIF(Grades!$A:$A,Rates!$B$4,Grades!$BI:$BI))</f>
        <v>0</v>
      </c>
      <c r="D15" s="26"/>
      <c r="E15" s="56" t="s">
        <v>81</v>
      </c>
      <c r="F15" s="57">
        <v>0.18</v>
      </c>
    </row>
    <row r="16" spans="2:6" x14ac:dyDescent="0.25">
      <c r="B16" s="56" t="s">
        <v>80</v>
      </c>
      <c r="C16" s="57">
        <v>23</v>
      </c>
      <c r="D16" s="33"/>
      <c r="E16" s="56" t="s">
        <v>82</v>
      </c>
      <c r="F16" s="57">
        <v>0.14299999999999999</v>
      </c>
    </row>
    <row r="17" spans="2:6" x14ac:dyDescent="0.25">
      <c r="B17" s="55" t="s">
        <v>46</v>
      </c>
      <c r="C17" s="57">
        <v>30</v>
      </c>
      <c r="D17" s="26"/>
      <c r="E17" s="56" t="s">
        <v>83</v>
      </c>
      <c r="F17" s="57">
        <v>0.39</v>
      </c>
    </row>
    <row r="18" spans="2:6" x14ac:dyDescent="0.25">
      <c r="B18" s="55" t="s">
        <v>11</v>
      </c>
      <c r="C18" s="55">
        <f>IF(Rates!$B$4="","",SUMIF(Grades!$A:$A,Rates!$B$4,Grades!$BJ:$BJ))</f>
        <v>0</v>
      </c>
      <c r="D18" s="26"/>
      <c r="E18" s="56" t="s">
        <v>84</v>
      </c>
      <c r="F18" s="57">
        <v>0.1</v>
      </c>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5"/>
  <sheetViews>
    <sheetView showGridLines="0" zoomScale="80" workbookViewId="0">
      <pane ySplit="2" topLeftCell="A3" activePane="bottomLeft" state="frozenSplit"/>
      <selection activeCell="BI6" sqref="BI6"/>
      <selection pane="bottomLeft" activeCell="N21" sqref="N21"/>
    </sheetView>
  </sheetViews>
  <sheetFormatPr defaultColWidth="9.140625" defaultRowHeight="15" x14ac:dyDescent="0.25"/>
  <cols>
    <col min="1" max="2" width="10.42578125" style="1" customWidth="1"/>
    <col min="3" max="3" width="14.85546875" style="1" customWidth="1"/>
    <col min="4" max="5" width="10.42578125" style="1" customWidth="1"/>
    <col min="6" max="6" width="10.42578125" style="18" customWidth="1"/>
    <col min="7" max="8" width="10.42578125" style="1" customWidth="1"/>
    <col min="9" max="9" width="9.140625" style="18" customWidth="1"/>
    <col min="10" max="10" width="11.140625" style="1" customWidth="1"/>
    <col min="11" max="11" width="9.85546875" style="1" bestFit="1" customWidth="1"/>
    <col min="12" max="12" width="9.140625" style="1" customWidth="1"/>
    <col min="13" max="13" width="20.28515625" style="1" customWidth="1"/>
    <col min="14" max="14" width="9.140625" style="1" customWidth="1"/>
    <col min="15" max="15" width="13.42578125" style="1" bestFit="1" customWidth="1"/>
    <col min="16" max="16" width="9.140625" style="1" customWidth="1"/>
    <col min="17" max="17" width="15.42578125" style="1" customWidth="1"/>
    <col min="18" max="18" width="19" style="1" customWidth="1"/>
    <col min="19" max="19" width="9.140625" style="1" customWidth="1"/>
    <col min="20" max="20" width="25.42578125" style="1" bestFit="1" customWidth="1"/>
    <col min="21" max="21" width="8.28515625" style="1" bestFit="1" customWidth="1"/>
    <col min="22" max="22" width="8.42578125" style="1" bestFit="1" customWidth="1"/>
    <col min="23" max="23" width="9.5703125" style="1" bestFit="1" customWidth="1"/>
    <col min="24" max="26" width="11" style="1" bestFit="1" customWidth="1"/>
    <col min="27" max="28" width="20.140625" style="1" customWidth="1"/>
    <col min="29" max="29" width="11" style="1" customWidth="1"/>
    <col min="30" max="34" width="9.140625" style="1" customWidth="1"/>
    <col min="35" max="35" width="12" style="1" customWidth="1"/>
    <col min="36" max="36" width="11.28515625" style="1" bestFit="1" customWidth="1"/>
    <col min="37" max="37" width="9.140625" style="1" customWidth="1"/>
    <col min="38" max="16384" width="9.140625" style="1"/>
  </cols>
  <sheetData>
    <row r="1" spans="1:37" ht="35.25" customHeight="1" x14ac:dyDescent="0.25">
      <c r="A1" s="4"/>
      <c r="B1" s="4"/>
      <c r="C1" s="4"/>
      <c r="D1" s="4"/>
      <c r="E1" s="4"/>
      <c r="F1" s="7"/>
      <c r="G1" s="4"/>
      <c r="H1" s="4"/>
      <c r="I1" s="7"/>
      <c r="J1" s="4"/>
      <c r="K1" s="4"/>
      <c r="L1" s="4"/>
      <c r="M1" s="4"/>
      <c r="N1" s="4"/>
      <c r="O1" s="4"/>
      <c r="P1" s="4"/>
      <c r="Q1" s="4"/>
      <c r="R1" s="4"/>
      <c r="S1" s="4"/>
      <c r="T1" s="4"/>
      <c r="U1" s="4"/>
      <c r="V1" s="4"/>
      <c r="W1" s="4"/>
      <c r="X1" s="4"/>
      <c r="Y1" s="4"/>
      <c r="Z1" s="4"/>
      <c r="AA1" s="4"/>
      <c r="AB1" s="4"/>
      <c r="AC1" s="4"/>
      <c r="AD1" s="4"/>
      <c r="AF1" s="8"/>
      <c r="AG1" s="8"/>
      <c r="AH1" s="8"/>
      <c r="AI1" s="8"/>
      <c r="AJ1" s="8"/>
    </row>
    <row r="2" spans="1:37" ht="91.5" customHeight="1" x14ac:dyDescent="0.25">
      <c r="A2" s="3" t="s">
        <v>0</v>
      </c>
      <c r="B2" s="3" t="s">
        <v>1</v>
      </c>
      <c r="C2" s="9"/>
      <c r="D2" s="3" t="s">
        <v>6</v>
      </c>
      <c r="E2" s="3" t="s">
        <v>1</v>
      </c>
      <c r="F2" s="10"/>
      <c r="G2" s="3" t="s">
        <v>14</v>
      </c>
      <c r="H2" s="47" t="s">
        <v>1</v>
      </c>
      <c r="I2" s="10"/>
      <c r="J2" s="3" t="s">
        <v>13</v>
      </c>
      <c r="K2" s="3" t="s">
        <v>1</v>
      </c>
      <c r="L2" s="4"/>
      <c r="M2" s="3" t="s">
        <v>36</v>
      </c>
      <c r="N2" s="3" t="s">
        <v>49</v>
      </c>
      <c r="O2" s="3" t="s">
        <v>1</v>
      </c>
      <c r="P2" s="3" t="s">
        <v>48</v>
      </c>
      <c r="Q2" s="3" t="s">
        <v>50</v>
      </c>
      <c r="R2" s="3" t="s">
        <v>51</v>
      </c>
      <c r="S2" s="4"/>
      <c r="T2" s="3" t="s">
        <v>38</v>
      </c>
      <c r="U2" s="3" t="s">
        <v>49</v>
      </c>
      <c r="V2" s="3" t="s">
        <v>1</v>
      </c>
      <c r="W2" s="3" t="s">
        <v>48</v>
      </c>
      <c r="X2" s="3" t="s">
        <v>50</v>
      </c>
      <c r="Y2" s="3" t="s">
        <v>51</v>
      </c>
      <c r="Z2" s="4"/>
      <c r="AA2" s="3" t="s">
        <v>54</v>
      </c>
      <c r="AB2" s="3" t="s">
        <v>55</v>
      </c>
      <c r="AC2" s="3" t="s">
        <v>1</v>
      </c>
      <c r="AD2" s="4"/>
      <c r="AE2" s="1" t="s">
        <v>12</v>
      </c>
      <c r="AF2" s="11"/>
      <c r="AG2" s="11"/>
      <c r="AH2" s="11"/>
      <c r="AI2" s="11"/>
      <c r="AJ2" s="11"/>
      <c r="AK2" s="11"/>
    </row>
    <row r="3" spans="1:37" ht="18.75" customHeight="1" x14ac:dyDescent="0.25">
      <c r="A3" s="12">
        <v>1</v>
      </c>
      <c r="B3" s="59"/>
      <c r="C3" s="25"/>
      <c r="D3" s="13">
        <v>1</v>
      </c>
      <c r="E3" s="58">
        <v>59400.374348375757</v>
      </c>
      <c r="F3" s="36"/>
      <c r="G3" s="13">
        <v>1</v>
      </c>
      <c r="H3" s="46">
        <v>31931</v>
      </c>
      <c r="I3" s="14"/>
      <c r="J3" s="13">
        <v>1</v>
      </c>
      <c r="K3" s="46">
        <v>76761</v>
      </c>
      <c r="L3" s="4"/>
      <c r="M3" s="12">
        <v>36</v>
      </c>
      <c r="N3" s="27">
        <v>0.05</v>
      </c>
      <c r="O3" s="15">
        <f t="shared" ref="O3:O15" si="0">SUMIF($A:$A,M3,$B:$B)</f>
        <v>38183</v>
      </c>
      <c r="P3" s="12">
        <f t="shared" ref="P3:P15" si="1">ROUND(O3+(O3*N3),0)</f>
        <v>40092</v>
      </c>
      <c r="Q3" s="27">
        <v>0.15</v>
      </c>
      <c r="R3" s="12">
        <f t="shared" ref="R3:R15" si="2">ROUND(O3*Q3,0)</f>
        <v>5727</v>
      </c>
      <c r="S3" s="4"/>
      <c r="T3" s="12">
        <v>45</v>
      </c>
      <c r="U3" s="27">
        <v>0.1</v>
      </c>
      <c r="V3" s="15">
        <f t="shared" ref="V3:V15" si="3">SUMIF($A:$A,T3,$B:$B)</f>
        <v>49772</v>
      </c>
      <c r="W3" s="12">
        <f t="shared" ref="W3:W15" si="4">ROUND(V3+(V3*U3),0)</f>
        <v>54749</v>
      </c>
      <c r="X3" s="27">
        <v>0.15</v>
      </c>
      <c r="Y3" s="12">
        <f t="shared" ref="Y3:Y15" si="5">ROUND(V3*X3,0)</f>
        <v>7466</v>
      </c>
      <c r="Z3" s="37"/>
      <c r="AA3" s="12">
        <v>1</v>
      </c>
      <c r="AB3" s="12">
        <v>116</v>
      </c>
      <c r="AC3" s="12">
        <f t="shared" ref="AC3:AC13" si="6">SUMIF($A:$A,AB3,$B:$B)</f>
        <v>10337</v>
      </c>
      <c r="AD3" s="4"/>
      <c r="AE3" s="1" t="str">
        <f ca="1">IFERROR(MATCH(A3,OFFSET(Grades!$A$1,MATCH(Rates!$B$4,LIST,0),2,1,SUMIF(Grades!$A:$A,Rates!$B$4,Grades!$B:$B)),0),"")</f>
        <v/>
      </c>
    </row>
    <row r="4" spans="1:37" ht="18.75" customHeight="1" x14ac:dyDescent="0.25">
      <c r="A4" s="12">
        <v>2</v>
      </c>
      <c r="B4" s="59">
        <v>15052</v>
      </c>
      <c r="C4" s="25"/>
      <c r="D4" s="13">
        <v>2</v>
      </c>
      <c r="E4" s="58">
        <v>60585.055582476052</v>
      </c>
      <c r="F4" s="36"/>
      <c r="G4" s="13">
        <v>2</v>
      </c>
      <c r="H4" s="46">
        <v>33512</v>
      </c>
      <c r="I4" s="14"/>
      <c r="J4" s="13">
        <v>2</v>
      </c>
      <c r="K4" s="46">
        <v>79165</v>
      </c>
      <c r="L4" s="4"/>
      <c r="M4" s="12">
        <v>37</v>
      </c>
      <c r="N4" s="27">
        <v>0.05</v>
      </c>
      <c r="O4" s="15">
        <f t="shared" si="0"/>
        <v>39324</v>
      </c>
      <c r="P4" s="12">
        <f t="shared" si="1"/>
        <v>41290</v>
      </c>
      <c r="Q4" s="27">
        <v>0.15</v>
      </c>
      <c r="R4" s="12">
        <f t="shared" si="2"/>
        <v>5899</v>
      </c>
      <c r="S4" s="4"/>
      <c r="T4" s="12">
        <v>46</v>
      </c>
      <c r="U4" s="27">
        <v>0.1</v>
      </c>
      <c r="V4" s="15">
        <f t="shared" si="3"/>
        <v>51260</v>
      </c>
      <c r="W4" s="12">
        <f t="shared" si="4"/>
        <v>56386</v>
      </c>
      <c r="X4" s="27">
        <v>0.15</v>
      </c>
      <c r="Y4" s="12">
        <f t="shared" si="5"/>
        <v>7689</v>
      </c>
      <c r="Z4" s="37"/>
      <c r="AA4" s="12">
        <v>2</v>
      </c>
      <c r="AB4" s="12">
        <v>216</v>
      </c>
      <c r="AC4" s="12">
        <f t="shared" si="6"/>
        <v>10536</v>
      </c>
      <c r="AD4" s="4"/>
      <c r="AE4" s="1" t="str">
        <f ca="1">IFERROR(MATCH(A4,OFFSET(Grades!$A$1,MATCH(Rates!$B$4,LIST,0),2,1,SUMIF(Grades!$A:$A,Rates!$B$4,Grades!$B:$B)),0),"")</f>
        <v/>
      </c>
    </row>
    <row r="5" spans="1:37" ht="18.75" customHeight="1" x14ac:dyDescent="0.25">
      <c r="A5" s="12">
        <v>3</v>
      </c>
      <c r="B5" s="59">
        <v>15356</v>
      </c>
      <c r="C5" s="25"/>
      <c r="D5" s="13">
        <v>3</v>
      </c>
      <c r="E5" s="58">
        <v>61794.143025312413</v>
      </c>
      <c r="F5" s="36"/>
      <c r="G5" s="13">
        <v>3</v>
      </c>
      <c r="H5" s="46">
        <v>35093</v>
      </c>
      <c r="I5" s="14"/>
      <c r="J5" s="13">
        <v>3</v>
      </c>
      <c r="K5" s="46">
        <v>81568</v>
      </c>
      <c r="L5" s="4"/>
      <c r="M5" s="12">
        <v>38</v>
      </c>
      <c r="N5" s="27">
        <v>0.05</v>
      </c>
      <c r="O5" s="15">
        <f t="shared" si="0"/>
        <v>40523</v>
      </c>
      <c r="P5" s="12">
        <f t="shared" si="1"/>
        <v>42549</v>
      </c>
      <c r="Q5" s="27">
        <v>0.15</v>
      </c>
      <c r="R5" s="12">
        <f t="shared" si="2"/>
        <v>6078</v>
      </c>
      <c r="S5" s="4"/>
      <c r="T5" s="12">
        <v>47</v>
      </c>
      <c r="U5" s="27">
        <v>0.1</v>
      </c>
      <c r="V5" s="15">
        <f t="shared" si="3"/>
        <v>52793</v>
      </c>
      <c r="W5" s="12">
        <f t="shared" si="4"/>
        <v>58072</v>
      </c>
      <c r="X5" s="27">
        <v>0.15</v>
      </c>
      <c r="Y5" s="12">
        <f t="shared" si="5"/>
        <v>7919</v>
      </c>
      <c r="Z5" s="37"/>
      <c r="AA5" s="12">
        <v>3</v>
      </c>
      <c r="AB5" s="12">
        <v>316</v>
      </c>
      <c r="AC5" s="12">
        <f t="shared" si="6"/>
        <v>10749</v>
      </c>
      <c r="AD5" s="4"/>
      <c r="AE5" s="1">
        <f ca="1">IFERROR(MATCH(A5,OFFSET(Grades!$A$1,MATCH(Rates!$B$4,LIST,0),2,1,SUMIF(Grades!$A:$A,Rates!$B$4,Grades!$B:$B)),0),"")</f>
        <v>1</v>
      </c>
    </row>
    <row r="6" spans="1:37" ht="18.75" customHeight="1" x14ac:dyDescent="0.25">
      <c r="A6" s="12">
        <v>4</v>
      </c>
      <c r="B6" s="59">
        <v>15670</v>
      </c>
      <c r="C6" s="25"/>
      <c r="D6" s="13">
        <v>4</v>
      </c>
      <c r="E6" s="58">
        <v>63026.604742087613</v>
      </c>
      <c r="F6" s="36"/>
      <c r="G6" s="13">
        <v>4</v>
      </c>
      <c r="H6" s="46">
        <v>36675</v>
      </c>
      <c r="I6" s="14"/>
      <c r="J6" s="13">
        <v>4</v>
      </c>
      <c r="K6" s="46">
        <v>83972</v>
      </c>
      <c r="L6" s="4"/>
      <c r="M6" s="12">
        <v>39</v>
      </c>
      <c r="N6" s="27">
        <v>0.05</v>
      </c>
      <c r="O6" s="15">
        <f t="shared" si="0"/>
        <v>41709</v>
      </c>
      <c r="P6" s="12">
        <f t="shared" si="1"/>
        <v>43794</v>
      </c>
      <c r="Q6" s="27">
        <v>0.15</v>
      </c>
      <c r="R6" s="12">
        <f t="shared" si="2"/>
        <v>6256</v>
      </c>
      <c r="S6" s="4"/>
      <c r="T6" s="12">
        <v>48</v>
      </c>
      <c r="U6" s="27">
        <v>0.1</v>
      </c>
      <c r="V6" s="15">
        <f t="shared" si="3"/>
        <v>54372</v>
      </c>
      <c r="W6" s="12">
        <f t="shared" si="4"/>
        <v>59809</v>
      </c>
      <c r="X6" s="27">
        <v>0.15</v>
      </c>
      <c r="Y6" s="12">
        <f t="shared" si="5"/>
        <v>8156</v>
      </c>
      <c r="Z6" s="37"/>
      <c r="AA6" s="12">
        <v>4</v>
      </c>
      <c r="AB6" s="12">
        <v>117</v>
      </c>
      <c r="AC6" s="12">
        <f t="shared" si="6"/>
        <v>12552</v>
      </c>
      <c r="AD6" s="4"/>
      <c r="AE6" s="1">
        <f ca="1">IFERROR(MATCH(A6,OFFSET(Grades!$A$1,MATCH(Rates!$B$4,LIST,0),2,1,SUMIF(Grades!$A:$A,Rates!$B$4,Grades!$B:$B)),0),"")</f>
        <v>2</v>
      </c>
    </row>
    <row r="7" spans="1:37" ht="18.75" customHeight="1" x14ac:dyDescent="0.25">
      <c r="A7" s="12">
        <v>5</v>
      </c>
      <c r="B7" s="59">
        <v>15976</v>
      </c>
      <c r="C7" s="25"/>
      <c r="D7" s="13">
        <v>5</v>
      </c>
      <c r="E7" s="58">
        <v>64284.565666796101</v>
      </c>
      <c r="F7" s="36"/>
      <c r="G7" s="13">
        <v>5</v>
      </c>
      <c r="H7" s="46">
        <v>38582</v>
      </c>
      <c r="I7" s="14"/>
      <c r="J7" s="13">
        <v>5</v>
      </c>
      <c r="K7" s="46">
        <v>86369</v>
      </c>
      <c r="L7" s="4"/>
      <c r="M7" s="12">
        <v>40</v>
      </c>
      <c r="N7" s="27">
        <v>0.05</v>
      </c>
      <c r="O7" s="15">
        <f t="shared" si="0"/>
        <v>42955</v>
      </c>
      <c r="P7" s="12">
        <f t="shared" si="1"/>
        <v>45103</v>
      </c>
      <c r="Q7" s="27">
        <v>0.15</v>
      </c>
      <c r="R7" s="12">
        <f t="shared" si="2"/>
        <v>6443</v>
      </c>
      <c r="S7" s="4"/>
      <c r="T7" s="12">
        <v>49</v>
      </c>
      <c r="U7" s="27">
        <v>0.1</v>
      </c>
      <c r="V7" s="15">
        <f t="shared" si="3"/>
        <v>55998</v>
      </c>
      <c r="W7" s="12">
        <f t="shared" si="4"/>
        <v>61598</v>
      </c>
      <c r="X7" s="27">
        <v>0.15</v>
      </c>
      <c r="Y7" s="12">
        <f t="shared" si="5"/>
        <v>8400</v>
      </c>
      <c r="Z7" s="37"/>
      <c r="AA7" s="12">
        <v>5</v>
      </c>
      <c r="AB7" s="12">
        <v>217</v>
      </c>
      <c r="AC7" s="12">
        <f t="shared" si="6"/>
        <v>12794</v>
      </c>
      <c r="AD7" s="4"/>
      <c r="AE7" s="1">
        <f ca="1">IFERROR(MATCH(A7,OFFSET(Grades!$A$1,MATCH(Rates!$B$4,LIST,0),2,1,SUMIF(Grades!$A:$A,Rates!$B$4,Grades!$B:$B)),0),"")</f>
        <v>3</v>
      </c>
    </row>
    <row r="8" spans="1:37" ht="18.75" customHeight="1" x14ac:dyDescent="0.25">
      <c r="A8" s="12">
        <v>6</v>
      </c>
      <c r="B8" s="59">
        <v>16289</v>
      </c>
      <c r="C8" s="25"/>
      <c r="D8" s="13">
        <v>6</v>
      </c>
      <c r="E8" s="58">
        <v>65566.963332440631</v>
      </c>
      <c r="F8" s="36"/>
      <c r="G8" s="13">
        <v>6</v>
      </c>
      <c r="H8" s="46">
        <v>40491</v>
      </c>
      <c r="I8" s="14"/>
      <c r="J8" s="13">
        <v>6</v>
      </c>
      <c r="K8" s="46">
        <v>92078</v>
      </c>
      <c r="L8" s="4"/>
      <c r="M8" s="12">
        <v>41</v>
      </c>
      <c r="N8" s="27">
        <v>0.05</v>
      </c>
      <c r="O8" s="15">
        <f t="shared" si="0"/>
        <v>44240</v>
      </c>
      <c r="P8" s="12">
        <f t="shared" si="1"/>
        <v>46452</v>
      </c>
      <c r="Q8" s="27">
        <v>0.15</v>
      </c>
      <c r="R8" s="12">
        <f t="shared" si="2"/>
        <v>6636</v>
      </c>
      <c r="S8" s="4"/>
      <c r="T8" s="12">
        <v>50</v>
      </c>
      <c r="U8" s="27">
        <v>0.1</v>
      </c>
      <c r="V8" s="15">
        <f t="shared" si="3"/>
        <v>57674</v>
      </c>
      <c r="W8" s="12">
        <f t="shared" si="4"/>
        <v>63441</v>
      </c>
      <c r="X8" s="27">
        <v>0.15</v>
      </c>
      <c r="Y8" s="12">
        <f t="shared" si="5"/>
        <v>8651</v>
      </c>
      <c r="Z8" s="37"/>
      <c r="AA8" s="12">
        <v>6</v>
      </c>
      <c r="AB8" s="12">
        <v>317</v>
      </c>
      <c r="AC8" s="12">
        <f t="shared" si="6"/>
        <v>13053</v>
      </c>
      <c r="AD8" s="4"/>
      <c r="AE8" s="1">
        <f ca="1">IFERROR(MATCH(A8,OFFSET(Grades!$A$1,MATCH(Rates!$B$4,LIST,0),2,1,SUMIF(Grades!$A:$A,Rates!$B$4,Grades!$B:$B)),0),"")</f>
        <v>4</v>
      </c>
    </row>
    <row r="9" spans="1:37" ht="18.75" customHeight="1" x14ac:dyDescent="0.25">
      <c r="A9" s="12">
        <v>7</v>
      </c>
      <c r="B9" s="59">
        <v>16618</v>
      </c>
      <c r="C9" s="25"/>
      <c r="D9" s="13">
        <v>7</v>
      </c>
      <c r="E9" s="58">
        <v>66874.860206018449</v>
      </c>
      <c r="F9" s="36"/>
      <c r="G9" s="13">
        <v>7</v>
      </c>
      <c r="H9" s="46">
        <v>42399</v>
      </c>
      <c r="I9" s="14"/>
      <c r="J9" s="13">
        <v>7</v>
      </c>
      <c r="K9" s="46">
        <v>97787</v>
      </c>
      <c r="L9" s="4"/>
      <c r="M9" s="12">
        <v>42</v>
      </c>
      <c r="N9" s="27">
        <v>0.05</v>
      </c>
      <c r="O9" s="15">
        <f t="shared" si="0"/>
        <v>45562</v>
      </c>
      <c r="P9" s="12">
        <f t="shared" si="1"/>
        <v>47840</v>
      </c>
      <c r="Q9" s="27">
        <v>0.15</v>
      </c>
      <c r="R9" s="12">
        <f t="shared" si="2"/>
        <v>6834</v>
      </c>
      <c r="S9" s="4"/>
      <c r="T9" s="12">
        <v>51</v>
      </c>
      <c r="U9" s="27">
        <v>0.15</v>
      </c>
      <c r="V9" s="15">
        <f t="shared" si="3"/>
        <v>59400</v>
      </c>
      <c r="W9" s="12">
        <f t="shared" si="4"/>
        <v>68310</v>
      </c>
      <c r="X9" s="27">
        <v>0.2</v>
      </c>
      <c r="Y9" s="12">
        <f t="shared" si="5"/>
        <v>11880</v>
      </c>
      <c r="Z9" s="37"/>
      <c r="AA9" s="12">
        <v>7</v>
      </c>
      <c r="AB9" s="12">
        <v>2</v>
      </c>
      <c r="AC9" s="12">
        <f t="shared" si="6"/>
        <v>15052</v>
      </c>
      <c r="AD9" s="4"/>
      <c r="AE9" s="1">
        <f ca="1">IFERROR(MATCH(A9,OFFSET(Grades!$A$1,MATCH(Rates!$B$4,LIST,0),2,1,SUMIF(Grades!$A:$A,Rates!$B$4,Grades!$B:$B)),0),"")</f>
        <v>5</v>
      </c>
    </row>
    <row r="10" spans="1:37" ht="18.75" customHeight="1" x14ac:dyDescent="0.25">
      <c r="A10" s="12">
        <v>8</v>
      </c>
      <c r="B10" s="59">
        <v>16961</v>
      </c>
      <c r="C10" s="25"/>
      <c r="D10" s="13">
        <v>8</v>
      </c>
      <c r="E10" s="58">
        <v>68209.318754526772</v>
      </c>
      <c r="F10" s="36"/>
      <c r="G10" s="13">
        <v>8</v>
      </c>
      <c r="H10" s="46">
        <v>44307</v>
      </c>
      <c r="I10" s="14"/>
      <c r="J10" s="13">
        <v>8</v>
      </c>
      <c r="K10" s="46">
        <v>103490</v>
      </c>
      <c r="L10" s="4"/>
      <c r="M10" s="12">
        <v>43</v>
      </c>
      <c r="N10" s="27">
        <v>0.1</v>
      </c>
      <c r="O10" s="15">
        <f t="shared" si="0"/>
        <v>46924</v>
      </c>
      <c r="P10" s="12">
        <f t="shared" si="1"/>
        <v>51616</v>
      </c>
      <c r="Q10" s="27">
        <v>0.15</v>
      </c>
      <c r="R10" s="12">
        <f t="shared" si="2"/>
        <v>7039</v>
      </c>
      <c r="S10" s="4"/>
      <c r="T10" s="12">
        <v>52</v>
      </c>
      <c r="U10" s="27">
        <v>0.15</v>
      </c>
      <c r="V10" s="15">
        <f t="shared" si="3"/>
        <v>61159</v>
      </c>
      <c r="W10" s="12">
        <f t="shared" si="4"/>
        <v>70333</v>
      </c>
      <c r="X10" s="27">
        <v>0.2</v>
      </c>
      <c r="Y10" s="12">
        <f t="shared" si="5"/>
        <v>12232</v>
      </c>
      <c r="Z10" s="37"/>
      <c r="AA10" s="12">
        <v>8</v>
      </c>
      <c r="AB10" s="12">
        <v>3</v>
      </c>
      <c r="AC10" s="12">
        <f t="shared" si="6"/>
        <v>15356</v>
      </c>
      <c r="AD10" s="4"/>
      <c r="AE10" s="1">
        <f ca="1">IFERROR(MATCH(A10,OFFSET(Grades!$A$1,MATCH(Rates!$B$4,LIST,0),2,1,SUMIF(Grades!$A:$A,Rates!$B$4,Grades!$B:$B)),0),"")</f>
        <v>6</v>
      </c>
    </row>
    <row r="11" spans="1:37" ht="18.75" customHeight="1" x14ac:dyDescent="0.25">
      <c r="A11" s="12">
        <v>9</v>
      </c>
      <c r="B11" s="59">
        <v>17399</v>
      </c>
      <c r="C11" s="25"/>
      <c r="D11" s="13">
        <v>9</v>
      </c>
      <c r="E11" s="58">
        <v>69570.338977965584</v>
      </c>
      <c r="F11" s="36"/>
      <c r="G11" s="13">
        <v>9</v>
      </c>
      <c r="H11" s="46">
        <v>46215</v>
      </c>
      <c r="I11" s="14"/>
      <c r="J11" s="14"/>
      <c r="K11" s="14"/>
      <c r="L11" s="4"/>
      <c r="M11" s="12">
        <v>44</v>
      </c>
      <c r="N11" s="27">
        <v>0.1</v>
      </c>
      <c r="O11" s="15">
        <f t="shared" si="0"/>
        <v>48327</v>
      </c>
      <c r="P11" s="12">
        <f t="shared" si="1"/>
        <v>53160</v>
      </c>
      <c r="Q11" s="27">
        <v>0.15</v>
      </c>
      <c r="R11" s="12">
        <f t="shared" si="2"/>
        <v>7249</v>
      </c>
      <c r="S11" s="4"/>
      <c r="T11" s="12">
        <v>53</v>
      </c>
      <c r="U11" s="27">
        <v>0.15</v>
      </c>
      <c r="V11" s="15">
        <f t="shared" si="3"/>
        <v>62990</v>
      </c>
      <c r="W11" s="12">
        <f t="shared" si="4"/>
        <v>72439</v>
      </c>
      <c r="X11" s="27">
        <v>0.2</v>
      </c>
      <c r="Y11" s="12">
        <f t="shared" si="5"/>
        <v>12598</v>
      </c>
      <c r="Z11" s="37"/>
      <c r="AA11" s="12">
        <v>9</v>
      </c>
      <c r="AB11" s="12">
        <v>7</v>
      </c>
      <c r="AC11" s="12">
        <f t="shared" si="6"/>
        <v>16618</v>
      </c>
      <c r="AD11" s="4"/>
      <c r="AE11" s="1">
        <f ca="1">IFERROR(MATCH(A11,OFFSET(Grades!$A$1,MATCH(Rates!$B$4,LIST,0),2,1,SUMIF(Grades!$A:$A,Rates!$B$4,Grades!$B:$B)),0),"")</f>
        <v>7</v>
      </c>
    </row>
    <row r="12" spans="1:37" ht="18.75" customHeight="1" x14ac:dyDescent="0.25">
      <c r="A12" s="12">
        <v>10</v>
      </c>
      <c r="B12" s="59">
        <v>17898</v>
      </c>
      <c r="C12" s="25"/>
      <c r="D12" s="13">
        <v>10</v>
      </c>
      <c r="E12" s="58">
        <v>70957.920876334916</v>
      </c>
      <c r="F12" s="36"/>
      <c r="G12" s="13">
        <v>10</v>
      </c>
      <c r="H12" s="46">
        <v>51176</v>
      </c>
      <c r="I12" s="14"/>
      <c r="J12" s="14"/>
      <c r="K12" s="14"/>
      <c r="L12" s="4"/>
      <c r="M12" s="12">
        <v>45</v>
      </c>
      <c r="N12" s="27">
        <v>0.1</v>
      </c>
      <c r="O12" s="15">
        <f t="shared" si="0"/>
        <v>49772</v>
      </c>
      <c r="P12" s="12">
        <f t="shared" si="1"/>
        <v>54749</v>
      </c>
      <c r="Q12" s="27">
        <v>0.15</v>
      </c>
      <c r="R12" s="12">
        <f t="shared" si="2"/>
        <v>7466</v>
      </c>
      <c r="S12" s="4"/>
      <c r="T12" s="12">
        <v>54</v>
      </c>
      <c r="U12" s="27">
        <v>0.15</v>
      </c>
      <c r="V12" s="15">
        <f t="shared" si="3"/>
        <v>64877</v>
      </c>
      <c r="W12" s="12">
        <f t="shared" si="4"/>
        <v>74609</v>
      </c>
      <c r="X12" s="27">
        <v>0.2</v>
      </c>
      <c r="Y12" s="12">
        <f t="shared" si="5"/>
        <v>12975</v>
      </c>
      <c r="Z12" s="37"/>
      <c r="AA12" s="12">
        <v>10</v>
      </c>
      <c r="AB12" s="12">
        <v>8</v>
      </c>
      <c r="AC12" s="12">
        <f t="shared" si="6"/>
        <v>16961</v>
      </c>
      <c r="AD12" s="4"/>
      <c r="AE12" s="1">
        <f ca="1">IFERROR(MATCH(A12,OFFSET(Grades!$A$1,MATCH(Rates!$B$4,LIST,0),2,1,SUMIF(Grades!$A:$A,Rates!$B$4,Grades!$B:$B)),0),"")</f>
        <v>8</v>
      </c>
    </row>
    <row r="13" spans="1:37" ht="18.75" customHeight="1" x14ac:dyDescent="0.25">
      <c r="A13" s="12">
        <v>11</v>
      </c>
      <c r="B13" s="59">
        <v>18412</v>
      </c>
      <c r="C13" s="25"/>
      <c r="D13" s="13">
        <v>11</v>
      </c>
      <c r="E13" s="58">
        <v>72373.126916631969</v>
      </c>
      <c r="F13" s="36"/>
      <c r="G13" s="13">
        <v>11</v>
      </c>
      <c r="H13" s="46">
        <v>55288</v>
      </c>
      <c r="I13" s="14"/>
      <c r="J13" s="14"/>
      <c r="K13" s="14"/>
      <c r="L13" s="4"/>
      <c r="M13" s="12">
        <v>46</v>
      </c>
      <c r="N13" s="27">
        <v>0.1</v>
      </c>
      <c r="O13" s="15">
        <f t="shared" si="0"/>
        <v>51260</v>
      </c>
      <c r="P13" s="12">
        <f t="shared" si="1"/>
        <v>56386</v>
      </c>
      <c r="Q13" s="27">
        <v>0.15</v>
      </c>
      <c r="R13" s="12">
        <f t="shared" si="2"/>
        <v>7689</v>
      </c>
      <c r="S13" s="4"/>
      <c r="T13" s="12">
        <v>55</v>
      </c>
      <c r="U13" s="27">
        <v>0.15</v>
      </c>
      <c r="V13" s="15">
        <f t="shared" si="3"/>
        <v>66818</v>
      </c>
      <c r="W13" s="12">
        <f t="shared" si="4"/>
        <v>76841</v>
      </c>
      <c r="X13" s="27">
        <v>0.2</v>
      </c>
      <c r="Y13" s="12">
        <f t="shared" si="5"/>
        <v>13364</v>
      </c>
      <c r="Z13" s="37"/>
      <c r="AA13" s="12">
        <v>11</v>
      </c>
      <c r="AB13" s="12">
        <v>9</v>
      </c>
      <c r="AC13" s="12">
        <f t="shared" si="6"/>
        <v>17399</v>
      </c>
      <c r="AD13" s="4"/>
      <c r="AE13" s="1">
        <f ca="1">IFERROR(MATCH(A13,OFFSET(Grades!$A$1,MATCH(Rates!$B$4,LIST,0),2,1,SUMIF(Grades!$A:$A,Rates!$B$4,Grades!$B:$B)),0),"")</f>
        <v>9</v>
      </c>
    </row>
    <row r="14" spans="1:37" ht="18.75" customHeight="1" x14ac:dyDescent="0.25">
      <c r="A14" s="12">
        <v>12</v>
      </c>
      <c r="B14" s="59">
        <v>18940</v>
      </c>
      <c r="C14" s="25"/>
      <c r="D14" s="13">
        <v>12</v>
      </c>
      <c r="E14" s="58">
        <v>73818.082032851162</v>
      </c>
      <c r="F14" s="36"/>
      <c r="G14" s="13">
        <v>19</v>
      </c>
      <c r="H14" s="46">
        <v>63733</v>
      </c>
      <c r="I14" s="14"/>
      <c r="J14" s="14"/>
      <c r="K14" s="14"/>
      <c r="L14" s="4"/>
      <c r="M14" s="12">
        <v>47</v>
      </c>
      <c r="N14" s="27">
        <v>0.1</v>
      </c>
      <c r="O14" s="15">
        <f t="shared" si="0"/>
        <v>52793</v>
      </c>
      <c r="P14" s="12">
        <f t="shared" si="1"/>
        <v>58072</v>
      </c>
      <c r="Q14" s="27">
        <v>0.15</v>
      </c>
      <c r="R14" s="12">
        <f t="shared" si="2"/>
        <v>7919</v>
      </c>
      <c r="S14" s="4"/>
      <c r="T14" s="12">
        <v>56</v>
      </c>
      <c r="U14" s="27">
        <v>0.15</v>
      </c>
      <c r="V14" s="15">
        <f t="shared" si="3"/>
        <v>68817</v>
      </c>
      <c r="W14" s="12">
        <f t="shared" si="4"/>
        <v>79140</v>
      </c>
      <c r="X14" s="27">
        <v>0.2</v>
      </c>
      <c r="Y14" s="12">
        <f t="shared" si="5"/>
        <v>13763</v>
      </c>
      <c r="Z14" s="37"/>
      <c r="AA14" s="37"/>
      <c r="AB14" s="37"/>
      <c r="AC14" s="37"/>
      <c r="AD14" s="4"/>
      <c r="AE14" s="1">
        <f ca="1">IFERROR(MATCH(A14,OFFSET(Grades!$A$1,MATCH(Rates!$B$4,LIST,0),2,1,SUMIF(Grades!$A:$A,Rates!$B$4,Grades!$B:$B)),0),"")</f>
        <v>10</v>
      </c>
    </row>
    <row r="15" spans="1:37" ht="18.75" customHeight="1" x14ac:dyDescent="0.25">
      <c r="A15" s="12">
        <v>13</v>
      </c>
      <c r="B15" s="59">
        <v>19485</v>
      </c>
      <c r="C15" s="25"/>
      <c r="D15" s="13">
        <v>13</v>
      </c>
      <c r="E15" s="58">
        <v>75290.661290998076</v>
      </c>
      <c r="F15" s="36"/>
      <c r="G15" s="13">
        <v>20</v>
      </c>
      <c r="H15" s="46">
        <v>68293</v>
      </c>
      <c r="I15" s="14"/>
      <c r="J15" s="14"/>
      <c r="K15" s="14"/>
      <c r="L15" s="4"/>
      <c r="M15" s="12">
        <v>48</v>
      </c>
      <c r="N15" s="27">
        <v>0.1</v>
      </c>
      <c r="O15" s="15">
        <f t="shared" si="0"/>
        <v>54372</v>
      </c>
      <c r="P15" s="12">
        <f t="shared" si="1"/>
        <v>59809</v>
      </c>
      <c r="Q15" s="27">
        <v>0.15</v>
      </c>
      <c r="R15" s="12">
        <f t="shared" si="2"/>
        <v>8156</v>
      </c>
      <c r="S15" s="4"/>
      <c r="T15" s="12">
        <v>57</v>
      </c>
      <c r="U15" s="27">
        <v>0.15</v>
      </c>
      <c r="V15" s="15">
        <f t="shared" si="3"/>
        <v>70877</v>
      </c>
      <c r="W15" s="12">
        <f t="shared" si="4"/>
        <v>81509</v>
      </c>
      <c r="X15" s="27">
        <v>0.2</v>
      </c>
      <c r="Y15" s="12">
        <f t="shared" si="5"/>
        <v>14175</v>
      </c>
      <c r="Z15" s="37"/>
      <c r="AA15" s="37"/>
      <c r="AB15" s="37"/>
      <c r="AC15" s="37"/>
      <c r="AD15" s="4"/>
      <c r="AE15" s="1">
        <f ca="1">IFERROR(MATCH(A15,OFFSET(Grades!$A$1,MATCH(Rates!$B$4,LIST,0),2,1,SUMIF(Grades!$A:$A,Rates!$B$4,Grades!$B:$B)),0),"")</f>
        <v>11</v>
      </c>
    </row>
    <row r="16" spans="1:37" ht="18.75" customHeight="1" x14ac:dyDescent="0.25">
      <c r="A16" s="12">
        <v>14</v>
      </c>
      <c r="B16" s="59">
        <v>20046</v>
      </c>
      <c r="C16" s="25"/>
      <c r="D16" s="13">
        <v>14</v>
      </c>
      <c r="E16" s="58">
        <v>76794.052092064376</v>
      </c>
      <c r="F16" s="36"/>
      <c r="G16" s="13">
        <v>21</v>
      </c>
      <c r="H16" s="46">
        <v>72855</v>
      </c>
      <c r="I16" s="14"/>
      <c r="J16" s="14"/>
      <c r="K16" s="14"/>
      <c r="L16" s="4"/>
      <c r="M16" s="4"/>
      <c r="N16" s="4"/>
      <c r="O16" s="4"/>
      <c r="P16" s="4"/>
      <c r="Q16" s="4"/>
      <c r="R16" s="4"/>
      <c r="S16" s="4"/>
      <c r="T16" s="4"/>
      <c r="U16" s="4"/>
      <c r="V16" s="4"/>
      <c r="W16" s="4"/>
      <c r="X16" s="4"/>
      <c r="Y16" s="4"/>
      <c r="Z16" s="4"/>
      <c r="AA16" s="4"/>
      <c r="AB16" s="4"/>
      <c r="AC16" s="4"/>
      <c r="AD16" s="4"/>
      <c r="AE16" s="1">
        <f ca="1">IFERROR(MATCH(A16,OFFSET(Grades!$A$1,MATCH(Rates!$B$4,LIST,0),2,1,SUMIF(Grades!$A:$A,Rates!$B$4,Grades!$B:$B)),0),"")</f>
        <v>12</v>
      </c>
    </row>
    <row r="17" spans="1:31" ht="18.75" customHeight="1" x14ac:dyDescent="0.25">
      <c r="A17" s="12">
        <v>15</v>
      </c>
      <c r="B17" s="59">
        <v>20624</v>
      </c>
      <c r="C17" s="25"/>
      <c r="D17" s="13">
        <v>15</v>
      </c>
      <c r="E17" s="58">
        <v>78327.191969052816</v>
      </c>
      <c r="F17" s="36"/>
      <c r="G17" s="13">
        <v>22</v>
      </c>
      <c r="H17" s="46">
        <v>77415</v>
      </c>
      <c r="I17" s="14"/>
      <c r="J17" s="14"/>
      <c r="K17" s="14"/>
      <c r="L17" s="4"/>
      <c r="M17" s="4"/>
      <c r="N17" s="4"/>
      <c r="O17" s="4"/>
      <c r="P17" s="4"/>
      <c r="Q17" s="4"/>
      <c r="R17" s="4"/>
      <c r="S17" s="4"/>
      <c r="T17" s="4"/>
      <c r="U17" s="4"/>
      <c r="V17" s="4"/>
      <c r="W17" s="4"/>
      <c r="X17" s="4"/>
      <c r="Y17" s="4"/>
      <c r="Z17" s="4"/>
      <c r="AA17" s="4"/>
      <c r="AB17" s="4"/>
      <c r="AC17" s="4"/>
      <c r="AD17" s="4"/>
      <c r="AE17" s="1">
        <f ca="1">IFERROR(MATCH(A17,OFFSET(Grades!$A$1,MATCH(Rates!$B$4,LIST,0),2,1,SUMIF(Grades!$A:$A,Rates!$B$4,Grades!$B:$B)),0),"")</f>
        <v>13</v>
      </c>
    </row>
    <row r="18" spans="1:31" ht="18.75" customHeight="1" x14ac:dyDescent="0.25">
      <c r="A18" s="12">
        <v>16</v>
      </c>
      <c r="B18" s="59">
        <v>21220</v>
      </c>
      <c r="C18" s="25"/>
      <c r="D18" s="13">
        <v>16</v>
      </c>
      <c r="E18" s="58">
        <v>79890.080921963483</v>
      </c>
      <c r="F18" s="36"/>
      <c r="G18" s="13">
        <v>23</v>
      </c>
      <c r="H18" s="46">
        <v>82616</v>
      </c>
      <c r="I18" s="14"/>
      <c r="J18" s="14"/>
      <c r="K18" s="14"/>
      <c r="L18" s="4"/>
      <c r="M18" s="4"/>
      <c r="N18" s="4"/>
      <c r="O18" s="4"/>
      <c r="P18" s="4"/>
      <c r="Q18" s="4"/>
      <c r="R18" s="4"/>
      <c r="S18" s="4"/>
      <c r="T18" s="4"/>
      <c r="U18" s="4"/>
      <c r="V18" s="4"/>
      <c r="W18" s="4"/>
      <c r="X18" s="4"/>
      <c r="Y18" s="4"/>
      <c r="Z18" s="4"/>
      <c r="AA18" s="4"/>
      <c r="AB18" s="4"/>
      <c r="AC18" s="4"/>
      <c r="AD18" s="4"/>
      <c r="AE18" s="1">
        <f ca="1">IFERROR(MATCH(A18,OFFSET(Grades!$A$1,MATCH(Rates!$B$4,LIST,0),2,1,SUMIF(Grades!$A:$A,Rates!$B$4,Grades!$B:$B)),0),"")</f>
        <v>14</v>
      </c>
    </row>
    <row r="19" spans="1:31" ht="18.75" customHeight="1" x14ac:dyDescent="0.25">
      <c r="A19" s="12">
        <v>17</v>
      </c>
      <c r="B19" s="59">
        <v>21843</v>
      </c>
      <c r="C19" s="25"/>
      <c r="D19" s="13">
        <v>17</v>
      </c>
      <c r="E19" s="58">
        <v>81484.84388479068</v>
      </c>
      <c r="F19" s="36"/>
      <c r="G19" s="14"/>
      <c r="H19" s="14"/>
      <c r="I19" s="7"/>
      <c r="J19" s="4"/>
      <c r="K19" s="4"/>
      <c r="L19" s="4"/>
      <c r="M19" s="4"/>
      <c r="N19" s="4"/>
      <c r="O19" s="4"/>
      <c r="P19" s="4"/>
      <c r="Q19" s="4"/>
      <c r="R19" s="4"/>
      <c r="S19" s="4"/>
      <c r="T19" s="4"/>
      <c r="U19" s="4"/>
      <c r="V19" s="4"/>
      <c r="W19" s="4"/>
      <c r="X19" s="4"/>
      <c r="Y19" s="4"/>
      <c r="Z19" s="4"/>
      <c r="AA19" s="4"/>
      <c r="AB19" s="4"/>
      <c r="AC19" s="4"/>
      <c r="AD19" s="4"/>
      <c r="AE19" s="1">
        <f ca="1">IFERROR(MATCH(A19,OFFSET(Grades!$A$1,MATCH(Rates!$B$4,LIST,0),2,1,SUMIF(Grades!$A:$A,Rates!$B$4,Grades!$B:$B)),0),"")</f>
        <v>15</v>
      </c>
    </row>
    <row r="20" spans="1:31" ht="18.75" customHeight="1" x14ac:dyDescent="0.25">
      <c r="A20" s="12">
        <v>18</v>
      </c>
      <c r="B20" s="59">
        <v>22494</v>
      </c>
      <c r="C20" s="25"/>
      <c r="D20" s="13">
        <v>18</v>
      </c>
      <c r="E20" s="58">
        <v>83111.480857534494</v>
      </c>
      <c r="F20" s="36"/>
      <c r="G20" s="14"/>
      <c r="H20" s="14"/>
      <c r="I20" s="7"/>
      <c r="J20" s="4"/>
      <c r="K20" s="4"/>
      <c r="L20" s="4"/>
      <c r="M20" s="4"/>
      <c r="N20" s="4"/>
      <c r="O20" s="4"/>
      <c r="P20" s="4"/>
      <c r="Q20" s="4"/>
      <c r="R20" s="4"/>
      <c r="S20" s="4"/>
      <c r="T20" s="4"/>
      <c r="U20" s="4"/>
      <c r="V20" s="4"/>
      <c r="W20" s="4"/>
      <c r="X20" s="4"/>
      <c r="Y20" s="4"/>
      <c r="Z20" s="4"/>
      <c r="AA20" s="4"/>
      <c r="AB20" s="4"/>
      <c r="AC20" s="4"/>
      <c r="AD20" s="4"/>
      <c r="AE20" s="1">
        <f ca="1">IFERROR(MATCH(A20,OFFSET(Grades!$A$1,MATCH(Rates!$B$4,LIST,0),2,1,SUMIF(Grades!$A:$A,Rates!$B$4,Grades!$B:$B)),0),"")</f>
        <v>16</v>
      </c>
    </row>
    <row r="21" spans="1:31" ht="18.75" customHeight="1" x14ac:dyDescent="0.25">
      <c r="A21" s="12">
        <v>19</v>
      </c>
      <c r="B21" s="59">
        <v>23164</v>
      </c>
      <c r="C21" s="25"/>
      <c r="D21" s="13">
        <v>19</v>
      </c>
      <c r="E21" s="58">
        <v>84771.054307192127</v>
      </c>
      <c r="F21" s="36"/>
      <c r="G21" s="14"/>
      <c r="H21" s="14"/>
      <c r="I21" s="7"/>
      <c r="J21" s="4"/>
      <c r="K21" s="4"/>
      <c r="L21" s="4"/>
      <c r="M21" s="4"/>
      <c r="N21" s="4"/>
      <c r="O21" s="4"/>
      <c r="P21" s="4"/>
      <c r="Q21" s="4"/>
      <c r="R21" s="4"/>
      <c r="S21" s="4"/>
      <c r="T21" s="4"/>
      <c r="U21" s="4"/>
      <c r="V21" s="4"/>
      <c r="W21" s="4"/>
      <c r="X21" s="4"/>
      <c r="Y21" s="4"/>
      <c r="Z21" s="4"/>
      <c r="AA21" s="4"/>
      <c r="AB21" s="4"/>
      <c r="AC21" s="4"/>
      <c r="AD21" s="4"/>
      <c r="AE21" s="1">
        <f ca="1">IFERROR(MATCH(A21,OFFSET(Grades!$A$1,MATCH(Rates!$B$4,LIST,0),2,1,SUMIF(Grades!$A:$A,Rates!$B$4,Grades!$B:$B)),0),"")</f>
        <v>17</v>
      </c>
    </row>
    <row r="22" spans="1:31" ht="18.75" customHeight="1" x14ac:dyDescent="0.25">
      <c r="A22" s="12">
        <v>20</v>
      </c>
      <c r="B22" s="59">
        <v>23879</v>
      </c>
      <c r="C22" s="25"/>
      <c r="D22" s="13">
        <v>20</v>
      </c>
      <c r="E22" s="58">
        <v>86462.501766766363</v>
      </c>
      <c r="F22" s="36"/>
      <c r="G22" s="14"/>
      <c r="H22" s="14"/>
      <c r="I22" s="7"/>
      <c r="J22" s="4"/>
      <c r="K22" s="4"/>
      <c r="L22" s="4"/>
      <c r="M22" s="4"/>
      <c r="N22" s="4"/>
      <c r="O22" s="4"/>
      <c r="P22" s="4"/>
      <c r="Q22" s="4"/>
      <c r="R22" s="4"/>
      <c r="S22" s="4"/>
      <c r="T22" s="4"/>
      <c r="U22" s="4"/>
      <c r="V22" s="4"/>
      <c r="W22" s="4"/>
      <c r="X22" s="4"/>
      <c r="Y22" s="4"/>
      <c r="Z22" s="4"/>
      <c r="AA22" s="4"/>
      <c r="AB22" s="4"/>
      <c r="AC22" s="4"/>
      <c r="AD22" s="4"/>
      <c r="AE22" s="1">
        <f ca="1">IFERROR(MATCH(A22,OFFSET(Grades!$A$1,MATCH(Rates!$B$4,LIST,0),2,1,SUMIF(Grades!$A:$A,Rates!$B$4,Grades!$B:$B)),0),"")</f>
        <v>18</v>
      </c>
    </row>
    <row r="23" spans="1:31" ht="18.75" customHeight="1" x14ac:dyDescent="0.25">
      <c r="A23" s="12">
        <v>21</v>
      </c>
      <c r="B23" s="59">
        <v>24565</v>
      </c>
      <c r="C23" s="25"/>
      <c r="D23" s="13">
        <v>21</v>
      </c>
      <c r="E23" s="58">
        <v>88187.948170251664</v>
      </c>
      <c r="F23" s="36"/>
      <c r="G23" s="14"/>
      <c r="H23" s="14"/>
      <c r="I23" s="7"/>
      <c r="J23" s="4"/>
      <c r="K23" s="4"/>
      <c r="L23" s="4"/>
      <c r="M23" s="4"/>
      <c r="N23" s="4"/>
      <c r="O23" s="4"/>
      <c r="P23" s="4"/>
      <c r="Q23" s="4"/>
      <c r="R23" s="4"/>
      <c r="S23" s="4"/>
      <c r="T23" s="4"/>
      <c r="U23" s="4"/>
      <c r="V23" s="4"/>
      <c r="W23" s="4"/>
      <c r="X23" s="4"/>
      <c r="Y23" s="4"/>
      <c r="Z23" s="4"/>
      <c r="AA23" s="4"/>
      <c r="AB23" s="4"/>
      <c r="AC23" s="4"/>
      <c r="AD23" s="4"/>
      <c r="AE23" s="1">
        <f ca="1">IFERROR(MATCH(A23,OFFSET(Grades!$A$1,MATCH(Rates!$B$4,LIST,0),2,1,SUMIF(Grades!$A:$A,Rates!$B$4,Grades!$B:$B)),0),"")</f>
        <v>19</v>
      </c>
    </row>
    <row r="24" spans="1:31" ht="18.75" customHeight="1" x14ac:dyDescent="0.25">
      <c r="A24" s="12">
        <v>22</v>
      </c>
      <c r="B24" s="59">
        <v>25298</v>
      </c>
      <c r="C24" s="25"/>
      <c r="D24" s="13">
        <v>22</v>
      </c>
      <c r="E24" s="58">
        <v>89948.455984645203</v>
      </c>
      <c r="F24" s="36"/>
      <c r="G24" s="14"/>
      <c r="H24" s="14"/>
      <c r="I24" s="7"/>
      <c r="J24" s="4"/>
      <c r="K24" s="4"/>
      <c r="L24" s="4"/>
      <c r="M24" s="4"/>
      <c r="N24" s="4"/>
      <c r="O24" s="4"/>
      <c r="P24" s="4"/>
      <c r="Q24" s="4"/>
      <c r="R24" s="4"/>
      <c r="S24" s="4"/>
      <c r="T24" s="4"/>
      <c r="U24" s="4"/>
      <c r="V24" s="4"/>
      <c r="W24" s="4"/>
      <c r="X24" s="4"/>
      <c r="Y24" s="4"/>
      <c r="Z24" s="4"/>
      <c r="AA24" s="4"/>
      <c r="AB24" s="4"/>
      <c r="AC24" s="4"/>
      <c r="AD24" s="4"/>
      <c r="AE24" s="1">
        <f ca="1">IFERROR(MATCH(A24,OFFSET(Grades!$A$1,MATCH(Rates!$B$4,LIST,0),2,1,SUMIF(Grades!$A:$A,Rates!$B$4,Grades!$B:$B)),0),"")</f>
        <v>20</v>
      </c>
    </row>
    <row r="25" spans="1:31" ht="18.75" customHeight="1" x14ac:dyDescent="0.25">
      <c r="A25" s="12">
        <v>23</v>
      </c>
      <c r="B25" s="59">
        <v>26052</v>
      </c>
      <c r="C25" s="25"/>
      <c r="D25" s="13">
        <v>23</v>
      </c>
      <c r="E25" s="58">
        <v>91744.025209946994</v>
      </c>
      <c r="F25" s="36"/>
      <c r="G25" s="14"/>
      <c r="H25" s="14"/>
      <c r="I25" s="7"/>
      <c r="J25" s="4"/>
      <c r="K25" s="4"/>
      <c r="L25" s="4"/>
      <c r="M25" s="4"/>
      <c r="N25" s="4"/>
      <c r="O25" s="4"/>
      <c r="P25" s="4"/>
      <c r="Q25" s="4"/>
      <c r="R25" s="4"/>
      <c r="S25" s="4"/>
      <c r="T25" s="4"/>
      <c r="U25" s="4"/>
      <c r="V25" s="4"/>
      <c r="W25" s="4"/>
      <c r="X25" s="4"/>
      <c r="Y25" s="4"/>
      <c r="Z25" s="4"/>
      <c r="AA25" s="4"/>
      <c r="AB25" s="4"/>
      <c r="AC25" s="4"/>
      <c r="AD25" s="4"/>
      <c r="AE25" s="1">
        <f ca="1">IFERROR(MATCH(A25,OFFSET(Grades!$A$1,MATCH(Rates!$B$4,LIST,0),2,1,SUMIF(Grades!$A:$A,Rates!$B$4,Grades!$B:$B)),0),"")</f>
        <v>21</v>
      </c>
    </row>
    <row r="26" spans="1:31" ht="18.75" customHeight="1" x14ac:dyDescent="0.25">
      <c r="A26" s="12">
        <v>24</v>
      </c>
      <c r="B26" s="59">
        <v>26829</v>
      </c>
      <c r="C26" s="25"/>
      <c r="D26" s="13">
        <v>24</v>
      </c>
      <c r="E26" s="58">
        <v>93575.71831315427</v>
      </c>
      <c r="F26" s="36"/>
      <c r="G26" s="14"/>
      <c r="H26" s="14"/>
      <c r="I26" s="7"/>
      <c r="J26" s="4"/>
      <c r="K26" s="4"/>
      <c r="L26" s="4"/>
      <c r="M26" s="4"/>
      <c r="N26" s="4"/>
      <c r="O26" s="4"/>
      <c r="P26" s="4"/>
      <c r="Q26" s="4"/>
      <c r="R26" s="4"/>
      <c r="S26" s="4"/>
      <c r="T26" s="4"/>
      <c r="U26" s="4"/>
      <c r="V26" s="4"/>
      <c r="W26" s="4"/>
      <c r="X26" s="4"/>
      <c r="Y26" s="4"/>
      <c r="Z26" s="4"/>
      <c r="AA26" s="4"/>
      <c r="AB26" s="4"/>
      <c r="AC26" s="4"/>
      <c r="AD26" s="4"/>
      <c r="AE26" s="1">
        <f ca="1">IFERROR(MATCH(A26,OFFSET(Grades!$A$1,MATCH(Rates!$B$4,LIST,0),2,1,SUMIF(Grades!$A:$A,Rates!$B$4,Grades!$B:$B)),0),"")</f>
        <v>22</v>
      </c>
    </row>
    <row r="27" spans="1:31" ht="18.75" customHeight="1" x14ac:dyDescent="0.25">
      <c r="A27" s="12">
        <v>25</v>
      </c>
      <c r="B27" s="59">
        <v>27629</v>
      </c>
      <c r="C27" s="25"/>
      <c r="D27" s="13">
        <v>25</v>
      </c>
      <c r="E27" s="58">
        <v>95443.535294267029</v>
      </c>
      <c r="F27" s="36"/>
      <c r="G27" s="14"/>
      <c r="H27" s="14"/>
      <c r="I27" s="7"/>
      <c r="J27" s="4"/>
      <c r="K27" s="4"/>
      <c r="L27" s="4"/>
      <c r="M27" s="4"/>
      <c r="N27" s="4"/>
      <c r="O27" s="4"/>
      <c r="P27" s="4"/>
      <c r="Q27" s="4"/>
      <c r="R27" s="4"/>
      <c r="S27" s="4"/>
      <c r="T27" s="4"/>
      <c r="U27" s="4"/>
      <c r="V27" s="4"/>
      <c r="W27" s="4"/>
      <c r="X27" s="4"/>
      <c r="Y27" s="4"/>
      <c r="Z27" s="4"/>
      <c r="AA27" s="4"/>
      <c r="AB27" s="4"/>
      <c r="AC27" s="4"/>
      <c r="AD27" s="4"/>
      <c r="AE27" s="1">
        <f ca="1">IFERROR(MATCH(A27,OFFSET(Grades!$A$1,MATCH(Rates!$B$4,LIST,0),2,1,SUMIF(Grades!$A:$A,Rates!$B$4,Grades!$B:$B)),0),"")</f>
        <v>23</v>
      </c>
    </row>
    <row r="28" spans="1:31" ht="18.75" customHeight="1" x14ac:dyDescent="0.25">
      <c r="A28" s="12">
        <v>26</v>
      </c>
      <c r="B28" s="59">
        <v>28452</v>
      </c>
      <c r="C28" s="25"/>
      <c r="D28" s="13">
        <v>26</v>
      </c>
      <c r="E28" s="58">
        <v>97348.538620282488</v>
      </c>
      <c r="F28" s="36"/>
      <c r="G28" s="14"/>
      <c r="H28" s="14"/>
      <c r="I28" s="7"/>
      <c r="J28" s="4"/>
      <c r="K28" s="4"/>
      <c r="L28" s="4"/>
      <c r="M28" s="4"/>
      <c r="N28" s="4"/>
      <c r="O28" s="4"/>
      <c r="P28" s="4"/>
      <c r="Q28" s="4"/>
      <c r="R28" s="4"/>
      <c r="S28" s="4"/>
      <c r="T28" s="4"/>
      <c r="U28" s="4"/>
      <c r="V28" s="4"/>
      <c r="W28" s="4"/>
      <c r="X28" s="4"/>
      <c r="Y28" s="4"/>
      <c r="Z28" s="4"/>
      <c r="AA28" s="4"/>
      <c r="AB28" s="4"/>
      <c r="AC28" s="4"/>
      <c r="AD28" s="4"/>
      <c r="AE28" s="1">
        <f ca="1">IFERROR(MATCH(A28,OFFSET(Grades!$A$1,MATCH(Rates!$B$4,LIST,0),2,1,SUMIF(Grades!$A:$A,Rates!$B$4,Grades!$B:$B)),0),"")</f>
        <v>24</v>
      </c>
    </row>
    <row r="29" spans="1:31" ht="18.75" customHeight="1" x14ac:dyDescent="0.25">
      <c r="A29" s="12">
        <v>27</v>
      </c>
      <c r="B29" s="59">
        <v>29301</v>
      </c>
      <c r="C29" s="25"/>
      <c r="D29" s="4"/>
      <c r="E29" s="4"/>
      <c r="F29" s="7"/>
      <c r="G29" s="4"/>
      <c r="H29" s="4"/>
      <c r="I29" s="7"/>
      <c r="J29" s="4"/>
      <c r="K29" s="4"/>
      <c r="L29" s="4"/>
      <c r="M29" s="4"/>
      <c r="N29" s="4"/>
      <c r="O29" s="4"/>
      <c r="P29" s="4"/>
      <c r="Q29" s="4"/>
      <c r="R29" s="4"/>
      <c r="S29" s="4"/>
      <c r="T29" s="4"/>
      <c r="U29" s="4"/>
      <c r="V29" s="4"/>
      <c r="W29" s="4"/>
      <c r="X29" s="4"/>
      <c r="Y29" s="4"/>
      <c r="Z29" s="4"/>
      <c r="AA29" s="4"/>
      <c r="AB29" s="4"/>
      <c r="AC29" s="4"/>
      <c r="AD29" s="4"/>
      <c r="AE29" s="1">
        <f ca="1">IFERROR(MATCH(A29,OFFSET(Grades!$A$1,MATCH(Rates!$B$4,LIST,0),2,1,SUMIF(Grades!$A:$A,Rates!$B$4,Grades!$B:$B)),0),"")</f>
        <v>25</v>
      </c>
    </row>
    <row r="30" spans="1:31" ht="18.75" customHeight="1" x14ac:dyDescent="0.25">
      <c r="A30" s="12">
        <v>28</v>
      </c>
      <c r="B30" s="59">
        <v>30175</v>
      </c>
      <c r="C30" s="25"/>
      <c r="D30" s="4"/>
      <c r="E30" s="4"/>
      <c r="F30" s="7"/>
      <c r="G30" s="4"/>
      <c r="H30" s="4"/>
      <c r="I30" s="7"/>
      <c r="J30" s="4"/>
      <c r="K30" s="4"/>
      <c r="L30" s="4"/>
      <c r="M30" s="4"/>
      <c r="N30" s="4"/>
      <c r="O30" s="4"/>
      <c r="P30" s="4"/>
      <c r="Q30" s="4"/>
      <c r="R30" s="4"/>
      <c r="S30" s="4"/>
      <c r="T30" s="4"/>
      <c r="U30" s="4"/>
      <c r="V30" s="4"/>
      <c r="W30" s="4"/>
      <c r="X30" s="4"/>
      <c r="Y30" s="4"/>
      <c r="Z30" s="4"/>
      <c r="AA30" s="4"/>
      <c r="AB30" s="4"/>
      <c r="AC30" s="4"/>
      <c r="AD30" s="4"/>
      <c r="AE30" s="1">
        <f ca="1">IFERROR(MATCH(A30,OFFSET(Grades!$A$1,MATCH(Rates!$B$4,LIST,0),2,1,SUMIF(Grades!$A:$A,Rates!$B$4,Grades!$B:$B)),0),"")</f>
        <v>26</v>
      </c>
    </row>
    <row r="31" spans="1:31" ht="18.75" customHeight="1" x14ac:dyDescent="0.25">
      <c r="A31" s="12">
        <v>29</v>
      </c>
      <c r="B31" s="59">
        <v>31076</v>
      </c>
      <c r="C31" s="25"/>
      <c r="D31" s="4"/>
      <c r="E31" s="4"/>
      <c r="F31" s="7"/>
      <c r="G31" s="4"/>
      <c r="H31" s="4"/>
      <c r="I31" s="7"/>
      <c r="J31" s="4"/>
      <c r="K31" s="4"/>
      <c r="L31" s="4"/>
      <c r="M31" s="4"/>
      <c r="N31" s="4"/>
      <c r="O31" s="4"/>
      <c r="P31" s="4"/>
      <c r="Q31" s="4"/>
      <c r="R31" s="4"/>
      <c r="S31" s="4"/>
      <c r="T31" s="4"/>
      <c r="U31" s="4"/>
      <c r="V31" s="4"/>
      <c r="W31" s="4"/>
      <c r="X31" s="4"/>
      <c r="Y31" s="4"/>
      <c r="Z31" s="4"/>
      <c r="AA31" s="4"/>
      <c r="AB31" s="4"/>
      <c r="AC31" s="4"/>
      <c r="AD31" s="4"/>
      <c r="AE31" s="1">
        <f ca="1">IFERROR(MATCH(A31,OFFSET(Grades!$A$1,MATCH(Rates!$B$4,LIST,0),2,1,SUMIF(Grades!$A:$A,Rates!$B$4,Grades!$B:$B)),0),"")</f>
        <v>27</v>
      </c>
    </row>
    <row r="32" spans="1:31" ht="18.75" customHeight="1" x14ac:dyDescent="0.25">
      <c r="A32" s="12">
        <v>30</v>
      </c>
      <c r="B32" s="59">
        <v>32004</v>
      </c>
      <c r="C32" s="25"/>
      <c r="D32" s="4"/>
      <c r="E32" s="4"/>
      <c r="F32" s="7"/>
      <c r="G32" s="4"/>
      <c r="H32" s="4"/>
      <c r="I32" s="7"/>
      <c r="J32" s="4"/>
      <c r="K32" s="4"/>
      <c r="L32" s="4"/>
      <c r="M32" s="4"/>
      <c r="N32" s="4"/>
      <c r="O32" s="4"/>
      <c r="P32" s="4"/>
      <c r="Q32" s="4"/>
      <c r="R32" s="4"/>
      <c r="S32" s="4"/>
      <c r="T32" s="4"/>
      <c r="U32" s="4"/>
      <c r="V32" s="4"/>
      <c r="W32" s="4"/>
      <c r="X32" s="4"/>
      <c r="Y32" s="4"/>
      <c r="Z32" s="4"/>
      <c r="AA32" s="4"/>
      <c r="AB32" s="4"/>
      <c r="AC32" s="4"/>
      <c r="AD32" s="4"/>
      <c r="AE32" s="1">
        <f ca="1">IFERROR(MATCH(A32,OFFSET(Grades!$A$1,MATCH(Rates!$B$4,LIST,0),2,1,SUMIF(Grades!$A:$A,Rates!$B$4,Grades!$B:$B)),0),"")</f>
        <v>28</v>
      </c>
    </row>
    <row r="33" spans="1:31" ht="18.75" customHeight="1" x14ac:dyDescent="0.25">
      <c r="A33" s="12">
        <v>31</v>
      </c>
      <c r="B33" s="59">
        <v>32958</v>
      </c>
      <c r="C33" s="25"/>
      <c r="D33" s="4"/>
      <c r="E33" s="4"/>
      <c r="F33" s="7"/>
      <c r="G33" s="4"/>
      <c r="H33" s="4"/>
      <c r="I33" s="7"/>
      <c r="J33" s="4"/>
      <c r="K33" s="4"/>
      <c r="L33" s="4"/>
      <c r="M33" s="4"/>
      <c r="N33" s="4"/>
      <c r="O33" s="4"/>
      <c r="P33" s="4"/>
      <c r="Q33" s="4"/>
      <c r="R33" s="4"/>
      <c r="S33" s="4"/>
      <c r="T33" s="4"/>
      <c r="U33" s="4"/>
      <c r="V33" s="4"/>
      <c r="W33" s="4"/>
      <c r="X33" s="4"/>
      <c r="Y33" s="4"/>
      <c r="Z33" s="4"/>
      <c r="AA33" s="4"/>
      <c r="AB33" s="4"/>
      <c r="AC33" s="4"/>
      <c r="AD33" s="4"/>
      <c r="AE33" s="1">
        <f ca="1">IFERROR(MATCH(A33,OFFSET(Grades!$A$1,MATCH(Rates!$B$4,LIST,0),2,1,SUMIF(Grades!$A:$A,Rates!$B$4,Grades!$B:$B)),0),"")</f>
        <v>29</v>
      </c>
    </row>
    <row r="34" spans="1:31" ht="18.75" customHeight="1" x14ac:dyDescent="0.25">
      <c r="A34" s="12">
        <v>32</v>
      </c>
      <c r="B34" s="59">
        <v>33943</v>
      </c>
      <c r="C34" s="25"/>
      <c r="D34" s="4"/>
      <c r="E34" s="4"/>
      <c r="F34" s="7"/>
      <c r="G34" s="4"/>
      <c r="H34" s="4"/>
      <c r="I34" s="7"/>
      <c r="J34" s="4"/>
      <c r="K34" s="4"/>
      <c r="L34" s="4"/>
      <c r="M34" s="4"/>
      <c r="N34" s="4"/>
      <c r="O34" s="4"/>
      <c r="P34" s="4"/>
      <c r="Q34" s="4"/>
      <c r="R34" s="4"/>
      <c r="S34" s="4"/>
      <c r="T34" s="4"/>
      <c r="U34" s="4"/>
      <c r="V34" s="4"/>
      <c r="W34" s="4"/>
      <c r="X34" s="4"/>
      <c r="Y34" s="4"/>
      <c r="Z34" s="4"/>
      <c r="AA34" s="4"/>
      <c r="AB34" s="4"/>
      <c r="AC34" s="4"/>
      <c r="AD34" s="4"/>
      <c r="AE34" s="1">
        <f ca="1">IFERROR(MATCH(A34,OFFSET(Grades!$A$1,MATCH(Rates!$B$4,LIST,0),2,1,SUMIF(Grades!$A:$A,Rates!$B$4,Grades!$B:$B)),0),"")</f>
        <v>30</v>
      </c>
    </row>
    <row r="35" spans="1:31" ht="18.75" customHeight="1" x14ac:dyDescent="0.25">
      <c r="A35" s="12">
        <v>33</v>
      </c>
      <c r="B35" s="59">
        <v>34956</v>
      </c>
      <c r="C35" s="25"/>
      <c r="D35" s="4"/>
      <c r="E35" s="4"/>
      <c r="F35" s="7"/>
      <c r="G35" s="4"/>
      <c r="H35" s="4"/>
      <c r="I35" s="7"/>
      <c r="J35" s="4"/>
      <c r="K35" s="4"/>
      <c r="L35" s="4"/>
      <c r="M35" s="4"/>
      <c r="N35" s="4"/>
      <c r="O35" s="4"/>
      <c r="P35" s="4"/>
      <c r="Q35" s="4"/>
      <c r="R35" s="4"/>
      <c r="S35" s="4"/>
      <c r="T35" s="4"/>
      <c r="U35" s="4"/>
      <c r="V35" s="4"/>
      <c r="W35" s="4"/>
      <c r="X35" s="4"/>
      <c r="Y35" s="4"/>
      <c r="Z35" s="4"/>
      <c r="AA35" s="4"/>
      <c r="AB35" s="4"/>
      <c r="AC35" s="4"/>
      <c r="AD35" s="4"/>
      <c r="AE35" s="1">
        <f ca="1">IFERROR(MATCH(A35,OFFSET(Grades!$A$1,MATCH(Rates!$B$4,LIST,0),2,1,SUMIF(Grades!$A:$A,Rates!$B$4,Grades!$B:$B)),0),"")</f>
        <v>31</v>
      </c>
    </row>
    <row r="36" spans="1:31" ht="18.75" customHeight="1" x14ac:dyDescent="0.25">
      <c r="A36" s="12">
        <v>34</v>
      </c>
      <c r="B36" s="59">
        <v>36001</v>
      </c>
      <c r="C36" s="25"/>
      <c r="D36" s="4"/>
      <c r="E36" s="4"/>
      <c r="F36" s="7"/>
      <c r="G36" s="4"/>
      <c r="H36" s="4"/>
      <c r="I36" s="7"/>
      <c r="J36" s="4"/>
      <c r="K36" s="4"/>
      <c r="L36" s="4"/>
      <c r="M36" s="4"/>
      <c r="N36" s="4"/>
      <c r="O36" s="4"/>
      <c r="P36" s="4"/>
      <c r="Q36" s="4"/>
      <c r="R36" s="4"/>
      <c r="S36" s="4"/>
      <c r="T36" s="4"/>
      <c r="U36" s="4"/>
      <c r="V36" s="4"/>
      <c r="W36" s="4"/>
      <c r="X36" s="4"/>
      <c r="Y36" s="4"/>
      <c r="Z36" s="4"/>
      <c r="AA36" s="4"/>
      <c r="AB36" s="4"/>
      <c r="AC36" s="4"/>
      <c r="AD36" s="4"/>
      <c r="AE36" s="1">
        <f ca="1">IFERROR(MATCH(A36,OFFSET(Grades!$A$1,MATCH(Rates!$B$4,LIST,0),2,1,SUMIF(Grades!$A:$A,Rates!$B$4,Grades!$B:$B)),0),"")</f>
        <v>32</v>
      </c>
    </row>
    <row r="37" spans="1:31" ht="18.75" customHeight="1" x14ac:dyDescent="0.25">
      <c r="A37" s="12">
        <v>35</v>
      </c>
      <c r="B37" s="59">
        <v>37075</v>
      </c>
      <c r="C37" s="25"/>
      <c r="D37" s="4"/>
      <c r="E37" s="4"/>
      <c r="F37" s="7"/>
      <c r="G37" s="4"/>
      <c r="H37" s="4"/>
      <c r="I37" s="7"/>
      <c r="J37" s="4"/>
      <c r="K37" s="4"/>
      <c r="L37" s="4"/>
      <c r="M37" s="4"/>
      <c r="N37" s="4"/>
      <c r="O37" s="4"/>
      <c r="P37" s="4"/>
      <c r="Q37" s="4"/>
      <c r="R37" s="4"/>
      <c r="S37" s="4"/>
      <c r="T37" s="4"/>
      <c r="U37" s="4"/>
      <c r="V37" s="4"/>
      <c r="W37" s="4"/>
      <c r="X37" s="4"/>
      <c r="Y37" s="4"/>
      <c r="Z37" s="4"/>
      <c r="AA37" s="4"/>
      <c r="AB37" s="4"/>
      <c r="AC37" s="4"/>
      <c r="AD37" s="4"/>
      <c r="AE37" s="1">
        <f ca="1">IFERROR(MATCH(A37,OFFSET(Grades!$A$1,MATCH(Rates!$B$4,LIST,0),2,1,SUMIF(Grades!$A:$A,Rates!$B$4,Grades!$B:$B)),0),"")</f>
        <v>33</v>
      </c>
    </row>
    <row r="38" spans="1:31" ht="18.75" customHeight="1" x14ac:dyDescent="0.25">
      <c r="A38" s="12">
        <v>36</v>
      </c>
      <c r="B38" s="59">
        <v>38183</v>
      </c>
      <c r="C38" s="25"/>
      <c r="D38" s="4"/>
      <c r="E38" s="4"/>
      <c r="F38" s="7"/>
      <c r="G38" s="4"/>
      <c r="H38" s="4"/>
      <c r="I38" s="7"/>
      <c r="J38" s="4"/>
      <c r="K38" s="4"/>
      <c r="L38" s="4"/>
      <c r="M38" s="4"/>
      <c r="N38" s="4"/>
      <c r="O38" s="4"/>
      <c r="P38" s="4"/>
      <c r="Q38" s="4"/>
      <c r="R38" s="4"/>
      <c r="S38" s="4"/>
      <c r="T38" s="4"/>
      <c r="U38" s="4"/>
      <c r="V38" s="4"/>
      <c r="W38" s="4"/>
      <c r="X38" s="4"/>
      <c r="Y38" s="4"/>
      <c r="Z38" s="4"/>
      <c r="AA38" s="4"/>
      <c r="AB38" s="4"/>
      <c r="AC38" s="4"/>
      <c r="AD38" s="4"/>
      <c r="AE38" s="1">
        <f ca="1">IFERROR(MATCH(A38,OFFSET(Grades!$A$1,MATCH(Rates!$B$4,LIST,0),2,1,SUMIF(Grades!$A:$A,Rates!$B$4,Grades!$B:$B)),0),"")</f>
        <v>34</v>
      </c>
    </row>
    <row r="39" spans="1:31" ht="18.75" customHeight="1" x14ac:dyDescent="0.25">
      <c r="A39" s="12">
        <v>37</v>
      </c>
      <c r="B39" s="59">
        <v>39324</v>
      </c>
      <c r="C39" s="25"/>
      <c r="D39" s="4"/>
      <c r="E39" s="4"/>
      <c r="F39" s="7"/>
      <c r="G39" s="4"/>
      <c r="H39" s="4"/>
      <c r="I39" s="7"/>
      <c r="J39" s="4"/>
      <c r="K39" s="4"/>
      <c r="L39" s="4"/>
      <c r="M39" s="4"/>
      <c r="N39" s="4"/>
      <c r="O39" s="4"/>
      <c r="P39" s="4"/>
      <c r="Q39" s="4"/>
      <c r="R39" s="4"/>
      <c r="S39" s="4"/>
      <c r="T39" s="4"/>
      <c r="U39" s="4"/>
      <c r="V39" s="4"/>
      <c r="W39" s="4"/>
      <c r="X39" s="4"/>
      <c r="Y39" s="4"/>
      <c r="Z39" s="4"/>
      <c r="AA39" s="4"/>
      <c r="AB39" s="4"/>
      <c r="AC39" s="4"/>
      <c r="AD39" s="4"/>
      <c r="AE39" s="1">
        <f ca="1">IFERROR(MATCH(A39,OFFSET(Grades!$A$1,MATCH(Rates!$B$4,LIST,0),2,1,SUMIF(Grades!$A:$A,Rates!$B$4,Grades!$B:$B)),0),"")</f>
        <v>35</v>
      </c>
    </row>
    <row r="40" spans="1:31" ht="18.75" customHeight="1" x14ac:dyDescent="0.25">
      <c r="A40" s="12">
        <v>38</v>
      </c>
      <c r="B40" s="59">
        <v>40523</v>
      </c>
      <c r="C40" s="25"/>
      <c r="D40" s="4"/>
      <c r="E40" s="4"/>
      <c r="F40" s="7"/>
      <c r="G40" s="4"/>
      <c r="H40" s="4"/>
      <c r="I40" s="7"/>
      <c r="J40" s="4"/>
      <c r="K40" s="4"/>
      <c r="L40" s="4"/>
      <c r="M40" s="4"/>
      <c r="N40" s="4"/>
      <c r="O40" s="4"/>
      <c r="P40" s="4"/>
      <c r="Q40" s="4"/>
      <c r="R40" s="4"/>
      <c r="S40" s="4"/>
      <c r="T40" s="4"/>
      <c r="U40" s="4"/>
      <c r="V40" s="4"/>
      <c r="W40" s="4"/>
      <c r="X40" s="4"/>
      <c r="Y40" s="4"/>
      <c r="Z40" s="4"/>
      <c r="AA40" s="4"/>
      <c r="AB40" s="4"/>
      <c r="AC40" s="4"/>
      <c r="AD40" s="4"/>
      <c r="AE40" s="1">
        <f ca="1">IFERROR(MATCH(A40,OFFSET(Grades!$A$1,MATCH(Rates!$B$4,LIST,0),2,1,SUMIF(Grades!$A:$A,Rates!$B$4,Grades!$B:$B)),0),"")</f>
        <v>36</v>
      </c>
    </row>
    <row r="41" spans="1:31" ht="18.75" customHeight="1" x14ac:dyDescent="0.25">
      <c r="A41" s="12">
        <v>39</v>
      </c>
      <c r="B41" s="59">
        <v>41709</v>
      </c>
      <c r="C41" s="25"/>
      <c r="D41" s="4"/>
      <c r="E41" s="4"/>
      <c r="F41" s="7"/>
      <c r="G41" s="4"/>
      <c r="H41" s="4"/>
      <c r="I41" s="7"/>
      <c r="J41" s="4"/>
      <c r="K41" s="4"/>
      <c r="L41" s="4"/>
      <c r="M41" s="4"/>
      <c r="N41" s="4"/>
      <c r="O41" s="4"/>
      <c r="P41" s="4"/>
      <c r="Q41" s="4"/>
      <c r="R41" s="4"/>
      <c r="S41" s="4"/>
      <c r="T41" s="4"/>
      <c r="U41" s="4"/>
      <c r="V41" s="4"/>
      <c r="W41" s="4"/>
      <c r="X41" s="4"/>
      <c r="Y41" s="4"/>
      <c r="Z41" s="4"/>
      <c r="AA41" s="4"/>
      <c r="AB41" s="4"/>
      <c r="AC41" s="4"/>
      <c r="AD41" s="4"/>
      <c r="AE41" s="1">
        <f ca="1">IFERROR(MATCH(A41,OFFSET(Grades!$A$1,MATCH(Rates!$B$4,LIST,0),2,1,SUMIF(Grades!$A:$A,Rates!$B$4,Grades!$B:$B)),0),"")</f>
        <v>37</v>
      </c>
    </row>
    <row r="42" spans="1:31" ht="18.75" customHeight="1" x14ac:dyDescent="0.25">
      <c r="A42" s="12">
        <v>40</v>
      </c>
      <c r="B42" s="59">
        <v>42955</v>
      </c>
      <c r="C42" s="25"/>
      <c r="D42" s="4"/>
      <c r="E42" s="4"/>
      <c r="F42" s="7"/>
      <c r="G42" s="4"/>
      <c r="H42" s="4"/>
      <c r="I42" s="7"/>
      <c r="J42" s="4"/>
      <c r="K42" s="4"/>
      <c r="L42" s="4"/>
      <c r="M42" s="4"/>
      <c r="N42" s="4"/>
      <c r="O42" s="4"/>
      <c r="P42" s="4"/>
      <c r="Q42" s="4"/>
      <c r="R42" s="4"/>
      <c r="S42" s="4"/>
      <c r="T42" s="4"/>
      <c r="U42" s="4"/>
      <c r="V42" s="4"/>
      <c r="W42" s="4"/>
      <c r="X42" s="4"/>
      <c r="Y42" s="4"/>
      <c r="Z42" s="4"/>
      <c r="AA42" s="4"/>
      <c r="AB42" s="4"/>
      <c r="AC42" s="4"/>
      <c r="AD42" s="4"/>
      <c r="AE42" s="1">
        <f ca="1">IFERROR(MATCH(A42,OFFSET(Grades!$A$1,MATCH(Rates!$B$4,LIST,0),2,1,SUMIF(Grades!$A:$A,Rates!$B$4,Grades!$B:$B)),0),"")</f>
        <v>38</v>
      </c>
    </row>
    <row r="43" spans="1:31" ht="18.75" customHeight="1" x14ac:dyDescent="0.25">
      <c r="A43" s="12">
        <v>41</v>
      </c>
      <c r="B43" s="59">
        <v>44240</v>
      </c>
      <c r="C43" s="25"/>
      <c r="D43" s="4"/>
      <c r="E43" s="4"/>
      <c r="F43" s="7"/>
      <c r="G43" s="4"/>
      <c r="H43" s="4"/>
      <c r="I43" s="7"/>
      <c r="J43" s="4"/>
      <c r="K43" s="4"/>
      <c r="L43" s="4"/>
      <c r="M43" s="4"/>
      <c r="N43" s="4"/>
      <c r="O43" s="4"/>
      <c r="P43" s="4"/>
      <c r="Q43" s="4"/>
      <c r="R43" s="4"/>
      <c r="S43" s="4"/>
      <c r="T43" s="4"/>
      <c r="U43" s="4"/>
      <c r="V43" s="4"/>
      <c r="W43" s="4"/>
      <c r="X43" s="4"/>
      <c r="Y43" s="4"/>
      <c r="Z43" s="4"/>
      <c r="AA43" s="4"/>
      <c r="AB43" s="4"/>
      <c r="AC43" s="4"/>
      <c r="AD43" s="4"/>
      <c r="AE43" s="1">
        <f ca="1">IFERROR(MATCH(A43,OFFSET(Grades!$A$1,MATCH(Rates!$B$4,LIST,0),2,1,SUMIF(Grades!$A:$A,Rates!$B$4,Grades!$B:$B)),0),"")</f>
        <v>39</v>
      </c>
    </row>
    <row r="44" spans="1:31" ht="18.75" customHeight="1" x14ac:dyDescent="0.25">
      <c r="A44" s="12">
        <v>42</v>
      </c>
      <c r="B44" s="59">
        <v>45562</v>
      </c>
      <c r="C44" s="25"/>
      <c r="D44" s="4"/>
      <c r="E44" s="4"/>
      <c r="F44" s="7"/>
      <c r="G44" s="4"/>
      <c r="H44" s="4"/>
      <c r="I44" s="7"/>
      <c r="J44" s="4"/>
      <c r="K44" s="4"/>
      <c r="L44" s="4"/>
      <c r="M44" s="4"/>
      <c r="N44" s="4"/>
      <c r="O44" s="4"/>
      <c r="P44" s="4"/>
      <c r="Q44" s="4"/>
      <c r="R44" s="4"/>
      <c r="S44" s="4"/>
      <c r="T44" s="4"/>
      <c r="U44" s="4"/>
      <c r="V44" s="4"/>
      <c r="W44" s="4"/>
      <c r="X44" s="4"/>
      <c r="Y44" s="4"/>
      <c r="Z44" s="4"/>
      <c r="AA44" s="4"/>
      <c r="AB44" s="4"/>
      <c r="AC44" s="4"/>
      <c r="AD44" s="4"/>
      <c r="AE44" s="1">
        <f ca="1">IFERROR(MATCH(A44,OFFSET(Grades!$A$1,MATCH(Rates!$B$4,LIST,0),2,1,SUMIF(Grades!$A:$A,Rates!$B$4,Grades!$B:$B)),0),"")</f>
        <v>40</v>
      </c>
    </row>
    <row r="45" spans="1:31" ht="18.75" customHeight="1" x14ac:dyDescent="0.25">
      <c r="A45" s="12">
        <v>43</v>
      </c>
      <c r="B45" s="59">
        <v>46924</v>
      </c>
      <c r="C45" s="25"/>
      <c r="D45" s="4"/>
      <c r="E45" s="4"/>
      <c r="F45" s="7"/>
      <c r="G45" s="4"/>
      <c r="H45" s="4"/>
      <c r="I45" s="7"/>
      <c r="J45" s="4"/>
      <c r="K45" s="4"/>
      <c r="L45" s="4"/>
      <c r="M45" s="4"/>
      <c r="N45" s="4"/>
      <c r="O45" s="4"/>
      <c r="P45" s="4"/>
      <c r="Q45" s="4"/>
      <c r="R45" s="4"/>
      <c r="S45" s="4"/>
      <c r="T45" s="4"/>
      <c r="U45" s="4"/>
      <c r="V45" s="4"/>
      <c r="W45" s="4"/>
      <c r="X45" s="4"/>
      <c r="Y45" s="4"/>
      <c r="Z45" s="4"/>
      <c r="AA45" s="4"/>
      <c r="AB45" s="4"/>
      <c r="AC45" s="4"/>
      <c r="AD45" s="4"/>
      <c r="AE45" s="1">
        <f ca="1">IFERROR(MATCH(A45,OFFSET(Grades!$A$1,MATCH(Rates!$B$4,LIST,0),2,1,SUMIF(Grades!$A:$A,Rates!$B$4,Grades!$B:$B)),0),"")</f>
        <v>41</v>
      </c>
    </row>
    <row r="46" spans="1:31" ht="18.75" customHeight="1" x14ac:dyDescent="0.25">
      <c r="A46" s="12">
        <v>44</v>
      </c>
      <c r="B46" s="59">
        <v>48327</v>
      </c>
      <c r="C46" s="25"/>
      <c r="D46" s="4"/>
      <c r="E46" s="4"/>
      <c r="F46" s="7"/>
      <c r="G46" s="4"/>
      <c r="H46" s="4"/>
      <c r="I46" s="7"/>
      <c r="J46" s="4"/>
      <c r="K46" s="4"/>
      <c r="L46" s="4"/>
      <c r="M46" s="4"/>
      <c r="N46" s="4"/>
      <c r="O46" s="4"/>
      <c r="P46" s="4"/>
      <c r="Q46" s="4"/>
      <c r="R46" s="4"/>
      <c r="S46" s="4"/>
      <c r="T46" s="4"/>
      <c r="U46" s="4"/>
      <c r="V46" s="4"/>
      <c r="W46" s="4"/>
      <c r="X46" s="4"/>
      <c r="Y46" s="4"/>
      <c r="Z46" s="4"/>
      <c r="AA46" s="4"/>
      <c r="AB46" s="4"/>
      <c r="AC46" s="4"/>
      <c r="AD46" s="4"/>
      <c r="AE46" s="1">
        <f ca="1">IFERROR(MATCH(A46,OFFSET(Grades!$A$1,MATCH(Rates!$B$4,LIST,0),2,1,SUMIF(Grades!$A:$A,Rates!$B$4,Grades!$B:$B)),0),"")</f>
        <v>42</v>
      </c>
    </row>
    <row r="47" spans="1:31" ht="18.75" customHeight="1" x14ac:dyDescent="0.25">
      <c r="A47" s="12">
        <v>45</v>
      </c>
      <c r="B47" s="59">
        <v>49772</v>
      </c>
      <c r="C47" s="25"/>
      <c r="D47" s="4"/>
      <c r="E47" s="4"/>
      <c r="F47" s="7"/>
      <c r="G47" s="4"/>
      <c r="H47" s="4"/>
      <c r="I47" s="7"/>
      <c r="J47" s="4"/>
      <c r="K47" s="4"/>
      <c r="L47" s="4"/>
      <c r="M47" s="4"/>
      <c r="N47" s="4"/>
      <c r="O47" s="4"/>
      <c r="P47" s="4"/>
      <c r="Q47" s="4"/>
      <c r="R47" s="4"/>
      <c r="S47" s="4"/>
      <c r="T47" s="4"/>
      <c r="U47" s="4"/>
      <c r="V47" s="4"/>
      <c r="W47" s="4"/>
      <c r="X47" s="4"/>
      <c r="Y47" s="4"/>
      <c r="Z47" s="4"/>
      <c r="AA47" s="4"/>
      <c r="AB47" s="4"/>
      <c r="AC47" s="4"/>
      <c r="AD47" s="4"/>
      <c r="AE47" s="1">
        <f ca="1">IFERROR(MATCH(A47,OFFSET(Grades!$A$1,MATCH(Rates!$B$4,LIST,0),2,1,SUMIF(Grades!$A:$A,Rates!$B$4,Grades!$B:$B)),0),"")</f>
        <v>43</v>
      </c>
    </row>
    <row r="48" spans="1:31" ht="18.75" customHeight="1" x14ac:dyDescent="0.25">
      <c r="A48" s="12">
        <v>46</v>
      </c>
      <c r="B48" s="59">
        <v>51260</v>
      </c>
      <c r="C48" s="25"/>
      <c r="D48" s="4"/>
      <c r="E48" s="4"/>
      <c r="F48" s="7"/>
      <c r="G48" s="4"/>
      <c r="H48" s="4"/>
      <c r="I48" s="7"/>
      <c r="J48" s="4"/>
      <c r="K48" s="4"/>
      <c r="L48" s="4"/>
      <c r="M48" s="4"/>
      <c r="N48" s="4"/>
      <c r="O48" s="4"/>
      <c r="P48" s="4"/>
      <c r="Q48" s="4"/>
      <c r="R48" s="4"/>
      <c r="S48" s="4"/>
      <c r="T48" s="4"/>
      <c r="U48" s="4"/>
      <c r="V48" s="4"/>
      <c r="W48" s="4"/>
      <c r="X48" s="4"/>
      <c r="Y48" s="4"/>
      <c r="Z48" s="4"/>
      <c r="AA48" s="4"/>
      <c r="AB48" s="4"/>
      <c r="AC48" s="4"/>
      <c r="AD48" s="4"/>
      <c r="AE48" s="1">
        <f ca="1">IFERROR(MATCH(A48,OFFSET(Grades!$A$1,MATCH(Rates!$B$4,LIST,0),2,1,SUMIF(Grades!$A:$A,Rates!$B$4,Grades!$B:$B)),0),"")</f>
        <v>44</v>
      </c>
    </row>
    <row r="49" spans="1:31" ht="18.75" customHeight="1" x14ac:dyDescent="0.25">
      <c r="A49" s="12">
        <v>47</v>
      </c>
      <c r="B49" s="59">
        <v>52793</v>
      </c>
      <c r="C49" s="25"/>
      <c r="D49" s="4"/>
      <c r="E49" s="4"/>
      <c r="F49" s="7"/>
      <c r="G49" s="4"/>
      <c r="H49" s="4"/>
      <c r="I49" s="7"/>
      <c r="J49" s="4"/>
      <c r="K49" s="4"/>
      <c r="L49" s="4"/>
      <c r="M49" s="4"/>
      <c r="N49" s="4"/>
      <c r="O49" s="4"/>
      <c r="P49" s="4"/>
      <c r="Q49" s="4"/>
      <c r="R49" s="4"/>
      <c r="S49" s="4"/>
      <c r="T49" s="4"/>
      <c r="U49" s="4"/>
      <c r="V49" s="4"/>
      <c r="W49" s="4"/>
      <c r="X49" s="4"/>
      <c r="Y49" s="4"/>
      <c r="Z49" s="4"/>
      <c r="AA49" s="4"/>
      <c r="AB49" s="4"/>
      <c r="AC49" s="4"/>
      <c r="AD49" s="4"/>
      <c r="AE49" s="1">
        <f ca="1">IFERROR(MATCH(A49,OFFSET(Grades!$A$1,MATCH(Rates!$B$4,LIST,0),2,1,SUMIF(Grades!$A:$A,Rates!$B$4,Grades!$B:$B)),0),"")</f>
        <v>45</v>
      </c>
    </row>
    <row r="50" spans="1:31" ht="18.75" customHeight="1" x14ac:dyDescent="0.25">
      <c r="A50" s="12">
        <v>48</v>
      </c>
      <c r="B50" s="59">
        <v>54372</v>
      </c>
      <c r="C50" s="25"/>
      <c r="D50" s="4"/>
      <c r="E50" s="4"/>
      <c r="F50" s="7"/>
      <c r="G50" s="4"/>
      <c r="H50" s="4"/>
      <c r="I50" s="7"/>
      <c r="J50" s="4"/>
      <c r="K50" s="4"/>
      <c r="L50" s="4"/>
      <c r="M50" s="4"/>
      <c r="N50" s="4"/>
      <c r="O50" s="4"/>
      <c r="P50" s="4"/>
      <c r="Q50" s="4"/>
      <c r="R50" s="4"/>
      <c r="S50" s="4"/>
      <c r="T50" s="4"/>
      <c r="U50" s="4"/>
      <c r="V50" s="4"/>
      <c r="W50" s="4"/>
      <c r="X50" s="4"/>
      <c r="Y50" s="4"/>
      <c r="Z50" s="4"/>
      <c r="AA50" s="4"/>
      <c r="AB50" s="4"/>
      <c r="AC50" s="4"/>
      <c r="AD50" s="4"/>
      <c r="AE50" s="1">
        <f ca="1">IFERROR(MATCH(A50,OFFSET(Grades!$A$1,MATCH(Rates!$B$4,LIST,0),2,1,SUMIF(Grades!$A:$A,Rates!$B$4,Grades!$B:$B)),0),"")</f>
        <v>46</v>
      </c>
    </row>
    <row r="51" spans="1:31" ht="18.75" customHeight="1" x14ac:dyDescent="0.25">
      <c r="A51" s="12">
        <v>49</v>
      </c>
      <c r="B51" s="59">
        <v>55998</v>
      </c>
      <c r="C51" s="25"/>
      <c r="D51" s="4"/>
      <c r="E51" s="4"/>
      <c r="F51" s="7"/>
      <c r="G51" s="4"/>
      <c r="H51" s="4"/>
      <c r="I51" s="7"/>
      <c r="J51" s="4"/>
      <c r="K51" s="4"/>
      <c r="L51" s="4"/>
      <c r="M51" s="4"/>
      <c r="N51" s="4"/>
      <c r="O51" s="4"/>
      <c r="P51" s="4"/>
      <c r="Q51" s="4"/>
      <c r="R51" s="4"/>
      <c r="S51" s="4"/>
      <c r="T51" s="4"/>
      <c r="U51" s="4"/>
      <c r="V51" s="4"/>
      <c r="W51" s="4"/>
      <c r="X51" s="4"/>
      <c r="Y51" s="4"/>
      <c r="Z51" s="4"/>
      <c r="AA51" s="4"/>
      <c r="AB51" s="4"/>
      <c r="AC51" s="4"/>
      <c r="AD51" s="4"/>
      <c r="AE51" s="1">
        <f ca="1">IFERROR(MATCH(A51,OFFSET(Grades!$A$1,MATCH(Rates!$B$4,LIST,0),2,1,SUMIF(Grades!$A:$A,Rates!$B$4,Grades!$B:$B)),0),"")</f>
        <v>47</v>
      </c>
    </row>
    <row r="52" spans="1:31" ht="18.75" customHeight="1" x14ac:dyDescent="0.25">
      <c r="A52" s="12">
        <v>50</v>
      </c>
      <c r="B52" s="59">
        <v>57674</v>
      </c>
      <c r="C52" s="25"/>
      <c r="D52" s="4"/>
      <c r="E52" s="4"/>
      <c r="F52" s="7"/>
      <c r="G52" s="4"/>
      <c r="H52" s="4"/>
      <c r="I52" s="7"/>
      <c r="J52" s="4"/>
      <c r="K52" s="4"/>
      <c r="L52" s="4"/>
      <c r="M52" s="4"/>
      <c r="N52" s="4"/>
      <c r="O52" s="4"/>
      <c r="P52" s="4"/>
      <c r="Q52" s="4"/>
      <c r="R52" s="4"/>
      <c r="S52" s="4"/>
      <c r="T52" s="4"/>
      <c r="U52" s="4"/>
      <c r="V52" s="4"/>
      <c r="W52" s="4"/>
      <c r="X52" s="4"/>
      <c r="Y52" s="4"/>
      <c r="Z52" s="4"/>
      <c r="AA52" s="4"/>
      <c r="AB52" s="4"/>
      <c r="AC52" s="4"/>
      <c r="AD52" s="4"/>
      <c r="AE52" s="1">
        <f ca="1">IFERROR(MATCH(A52,OFFSET(Grades!$A$1,MATCH(Rates!$B$4,LIST,0),2,1,SUMIF(Grades!$A:$A,Rates!$B$4,Grades!$B:$B)),0),"")</f>
        <v>48</v>
      </c>
    </row>
    <row r="53" spans="1:31" ht="18.75" customHeight="1" x14ac:dyDescent="0.25">
      <c r="A53" s="12">
        <v>51</v>
      </c>
      <c r="B53" s="59">
        <v>59400</v>
      </c>
      <c r="C53" s="25"/>
      <c r="D53" s="4"/>
      <c r="E53" s="4"/>
      <c r="F53" s="7"/>
      <c r="G53" s="4"/>
      <c r="H53" s="4"/>
      <c r="I53" s="7"/>
      <c r="J53" s="4"/>
      <c r="K53" s="4"/>
      <c r="L53" s="4"/>
      <c r="M53" s="4"/>
      <c r="N53" s="4"/>
      <c r="O53" s="4"/>
      <c r="P53" s="4"/>
      <c r="Q53" s="4"/>
      <c r="R53" s="4"/>
      <c r="S53" s="4"/>
      <c r="T53" s="4"/>
      <c r="U53" s="4"/>
      <c r="V53" s="4"/>
      <c r="W53" s="4"/>
      <c r="X53" s="4"/>
      <c r="Y53" s="4"/>
      <c r="Z53" s="4"/>
      <c r="AA53" s="4"/>
      <c r="AB53" s="4"/>
      <c r="AC53" s="4"/>
      <c r="AD53" s="4"/>
      <c r="AE53" s="1">
        <f ca="1">IFERROR(MATCH(A53,OFFSET(Grades!$A$1,MATCH(Rates!$B$4,LIST,0),2,1,SUMIF(Grades!$A:$A,Rates!$B$4,Grades!$B:$B)),0),"")</f>
        <v>49</v>
      </c>
    </row>
    <row r="54" spans="1:31" ht="18.75" customHeight="1" x14ac:dyDescent="0.25">
      <c r="A54" s="15">
        <v>52</v>
      </c>
      <c r="B54" s="59">
        <v>61159</v>
      </c>
      <c r="C54" s="25"/>
      <c r="D54" s="4"/>
      <c r="E54" s="4"/>
      <c r="F54" s="7"/>
      <c r="G54" s="4"/>
      <c r="H54" s="4"/>
      <c r="I54" s="7"/>
      <c r="J54" s="4"/>
      <c r="K54" s="4"/>
      <c r="L54" s="4"/>
      <c r="M54" s="4"/>
      <c r="N54" s="4"/>
      <c r="O54" s="4"/>
      <c r="P54" s="4"/>
      <c r="Q54" s="4"/>
      <c r="R54" s="4"/>
      <c r="S54" s="4"/>
      <c r="T54" s="4"/>
      <c r="U54" s="4"/>
      <c r="V54" s="4"/>
      <c r="W54" s="4"/>
      <c r="X54" s="4"/>
      <c r="Y54" s="4"/>
      <c r="Z54" s="4"/>
      <c r="AA54" s="4"/>
      <c r="AB54" s="4"/>
      <c r="AC54" s="4"/>
      <c r="AD54" s="4"/>
      <c r="AE54" s="1">
        <f ca="1">IFERROR(MATCH(A54,OFFSET(Grades!$A$1,MATCH(Rates!$B$4,LIST,0),2,1,SUMIF(Grades!$A:$A,Rates!$B$4,Grades!$B:$B)),0),"")</f>
        <v>50</v>
      </c>
    </row>
    <row r="55" spans="1:31" ht="18.75" customHeight="1" x14ac:dyDescent="0.25">
      <c r="A55" s="15">
        <v>53</v>
      </c>
      <c r="B55" s="59">
        <v>62990</v>
      </c>
      <c r="C55" s="25"/>
      <c r="D55" s="4"/>
      <c r="E55" s="4"/>
      <c r="F55" s="7"/>
      <c r="G55" s="4"/>
      <c r="H55" s="4"/>
      <c r="I55" s="7"/>
      <c r="J55" s="4"/>
      <c r="K55" s="4"/>
      <c r="L55" s="4"/>
      <c r="M55" s="4"/>
      <c r="N55" s="4"/>
      <c r="O55" s="4"/>
      <c r="P55" s="4"/>
      <c r="Q55" s="4"/>
      <c r="R55" s="4"/>
      <c r="S55" s="4"/>
      <c r="T55" s="4"/>
      <c r="U55" s="4"/>
      <c r="V55" s="4"/>
      <c r="W55" s="4"/>
      <c r="X55" s="4"/>
      <c r="Y55" s="4"/>
      <c r="Z55" s="4"/>
      <c r="AA55" s="4"/>
      <c r="AB55" s="4"/>
      <c r="AC55" s="4"/>
      <c r="AD55" s="4"/>
      <c r="AE55" s="1">
        <f ca="1">IFERROR(MATCH(A55,OFFSET(Grades!$A$1,MATCH(Rates!$B$4,LIST,0),2,1,SUMIF(Grades!$A:$A,Rates!$B$4,Grades!$B:$B)),0),"")</f>
        <v>51</v>
      </c>
    </row>
    <row r="56" spans="1:31" ht="18.75" customHeight="1" x14ac:dyDescent="0.25">
      <c r="A56" s="15">
        <v>54</v>
      </c>
      <c r="B56" s="59">
        <v>64877</v>
      </c>
      <c r="C56" s="25"/>
      <c r="D56" s="4"/>
      <c r="E56" s="4"/>
      <c r="F56" s="7"/>
      <c r="G56" s="4"/>
      <c r="H56" s="4"/>
      <c r="I56" s="7"/>
      <c r="J56" s="4"/>
      <c r="K56" s="4"/>
      <c r="L56" s="4"/>
      <c r="M56" s="4"/>
      <c r="N56" s="4"/>
      <c r="O56" s="4"/>
      <c r="P56" s="4"/>
      <c r="Q56" s="4"/>
      <c r="R56" s="4"/>
      <c r="S56" s="4"/>
      <c r="T56" s="4"/>
      <c r="U56" s="4"/>
      <c r="V56" s="4"/>
      <c r="W56" s="4"/>
      <c r="X56" s="4"/>
      <c r="Y56" s="4"/>
      <c r="Z56" s="4"/>
      <c r="AA56" s="4"/>
      <c r="AB56" s="4"/>
      <c r="AC56" s="4"/>
      <c r="AD56" s="4"/>
      <c r="AE56" s="1">
        <f ca="1">IFERROR(MATCH(A56,OFFSET(Grades!$A$1,MATCH(Rates!$B$4,LIST,0),2,1,SUMIF(Grades!$A:$A,Rates!$B$4,Grades!$B:$B)),0),"")</f>
        <v>52</v>
      </c>
    </row>
    <row r="57" spans="1:31" ht="18.75" customHeight="1" x14ac:dyDescent="0.25">
      <c r="A57" s="15">
        <v>55</v>
      </c>
      <c r="B57" s="59">
        <v>66818</v>
      </c>
      <c r="C57" s="25"/>
      <c r="D57" s="4"/>
      <c r="E57" s="4"/>
      <c r="F57" s="7"/>
      <c r="G57" s="4"/>
      <c r="H57" s="4"/>
      <c r="I57" s="7"/>
      <c r="J57" s="4"/>
      <c r="K57" s="4"/>
      <c r="L57" s="4"/>
      <c r="M57" s="4"/>
      <c r="N57" s="4"/>
      <c r="O57" s="4"/>
      <c r="P57" s="4"/>
      <c r="Q57" s="4"/>
      <c r="R57" s="4"/>
      <c r="S57" s="4"/>
      <c r="T57" s="4"/>
      <c r="U57" s="4"/>
      <c r="V57" s="4"/>
      <c r="W57" s="4"/>
      <c r="X57" s="4"/>
      <c r="Y57" s="4"/>
      <c r="Z57" s="4"/>
      <c r="AA57" s="4"/>
      <c r="AB57" s="4"/>
      <c r="AC57" s="4"/>
      <c r="AD57" s="4"/>
      <c r="AE57" s="1">
        <f ca="1">IFERROR(MATCH(A57,OFFSET(Grades!$A$1,MATCH(Rates!$B$4,LIST,0),2,1,SUMIF(Grades!$A:$A,Rates!$B$4,Grades!$B:$B)),0),"")</f>
        <v>53</v>
      </c>
    </row>
    <row r="58" spans="1:31" ht="18.75" customHeight="1" x14ac:dyDescent="0.25">
      <c r="A58" s="15">
        <v>56</v>
      </c>
      <c r="B58" s="59">
        <v>68817</v>
      </c>
      <c r="C58" s="25"/>
      <c r="D58" s="4"/>
      <c r="E58" s="4"/>
      <c r="F58" s="7"/>
      <c r="G58" s="4"/>
      <c r="H58" s="4"/>
      <c r="I58" s="7"/>
      <c r="J58" s="4"/>
      <c r="K58" s="4"/>
      <c r="L58" s="4"/>
      <c r="M58" s="4"/>
      <c r="N58" s="4"/>
      <c r="O58" s="4"/>
      <c r="P58" s="4"/>
      <c r="Q58" s="4"/>
      <c r="R58" s="4"/>
      <c r="S58" s="4"/>
      <c r="T58" s="4"/>
      <c r="U58" s="4"/>
      <c r="V58" s="4"/>
      <c r="W58" s="4"/>
      <c r="X58" s="4"/>
      <c r="Y58" s="4"/>
      <c r="Z58" s="4"/>
      <c r="AA58" s="4"/>
      <c r="AB58" s="4"/>
      <c r="AC58" s="4"/>
      <c r="AD58" s="4"/>
      <c r="AE58" s="1">
        <f ca="1">IFERROR(MATCH(A58,OFFSET(Grades!$A$1,MATCH(Rates!$B$4,LIST,0),2,1,SUMIF(Grades!$A:$A,Rates!$B$4,Grades!$B:$B)),0),"")</f>
        <v>54</v>
      </c>
    </row>
    <row r="59" spans="1:31" ht="18.75" customHeight="1" x14ac:dyDescent="0.25">
      <c r="A59" s="15">
        <v>57</v>
      </c>
      <c r="B59" s="59">
        <v>70877</v>
      </c>
      <c r="C59" s="25"/>
      <c r="D59" s="4"/>
      <c r="E59" s="4"/>
      <c r="F59" s="7"/>
      <c r="G59" s="4"/>
      <c r="H59" s="4"/>
      <c r="I59" s="7"/>
      <c r="J59" s="4"/>
      <c r="K59" s="4"/>
      <c r="L59" s="4"/>
      <c r="M59" s="4"/>
      <c r="N59" s="4"/>
      <c r="O59" s="4"/>
      <c r="P59" s="4"/>
      <c r="Q59" s="4"/>
      <c r="R59" s="4"/>
      <c r="S59" s="4"/>
      <c r="T59" s="4"/>
      <c r="U59" s="4"/>
      <c r="V59" s="4"/>
      <c r="W59" s="4"/>
      <c r="X59" s="4"/>
      <c r="Y59" s="4"/>
      <c r="Z59" s="4"/>
      <c r="AA59" s="4"/>
      <c r="AB59" s="4"/>
      <c r="AC59" s="4"/>
      <c r="AD59" s="4"/>
      <c r="AE59" s="1">
        <f ca="1">IFERROR(MATCH(A59,OFFSET(Grades!$A$1,MATCH(Rates!$B$4,LIST,0),2,1,SUMIF(Grades!$A:$A,Rates!$B$4,Grades!$B:$B)),0),"")</f>
        <v>55</v>
      </c>
    </row>
    <row r="60" spans="1:31" ht="18.75" customHeight="1" x14ac:dyDescent="0.25">
      <c r="A60" s="15">
        <v>116</v>
      </c>
      <c r="B60" s="66">
        <v>10337</v>
      </c>
      <c r="C60" s="4"/>
      <c r="D60" s="4"/>
      <c r="E60" s="4"/>
      <c r="F60" s="7"/>
      <c r="G60" s="4"/>
      <c r="H60" s="4"/>
      <c r="I60" s="7"/>
      <c r="J60" s="4"/>
      <c r="K60" s="4"/>
      <c r="L60" s="4"/>
      <c r="M60" s="4"/>
      <c r="N60" s="4"/>
      <c r="O60" s="4"/>
      <c r="P60" s="4"/>
      <c r="Q60" s="4"/>
      <c r="R60" s="4"/>
      <c r="S60" s="4"/>
      <c r="T60" s="4"/>
      <c r="U60" s="4"/>
      <c r="V60" s="4"/>
      <c r="W60" s="4"/>
      <c r="X60" s="4"/>
      <c r="Y60" s="4"/>
      <c r="Z60" s="4"/>
      <c r="AA60" s="4"/>
      <c r="AB60" s="4"/>
      <c r="AC60" s="4"/>
      <c r="AD60" s="4"/>
      <c r="AE60" s="1" t="str">
        <f ca="1">IFERROR(MATCH(A61,OFFSET(Grades!$A$1,MATCH(Rates!$B$4,LIST,0),2,1,SUMIF(Grades!$A:$A,Rates!$B$4,Grades!$B:$B)),0),"")</f>
        <v/>
      </c>
    </row>
    <row r="61" spans="1:31" ht="18.75" customHeight="1" x14ac:dyDescent="0.25">
      <c r="A61" s="15">
        <v>216</v>
      </c>
      <c r="B61" s="12">
        <f t="shared" ref="B61:B68" si="7">ROUND(B4*70%,0)</f>
        <v>10536</v>
      </c>
      <c r="C61" s="43"/>
      <c r="D61" s="4"/>
      <c r="E61" s="4"/>
      <c r="F61" s="7"/>
      <c r="G61" s="4"/>
      <c r="H61" s="4"/>
      <c r="I61" s="7"/>
      <c r="J61" s="4"/>
      <c r="K61" s="4"/>
      <c r="L61" s="4"/>
      <c r="M61" s="4"/>
      <c r="N61" s="4"/>
      <c r="O61" s="4"/>
      <c r="P61" s="4"/>
      <c r="Q61" s="4"/>
      <c r="R61" s="4"/>
      <c r="S61" s="4"/>
      <c r="T61" s="4"/>
      <c r="U61" s="4"/>
      <c r="V61" s="4"/>
      <c r="W61" s="4"/>
      <c r="X61" s="4"/>
      <c r="Y61" s="4"/>
      <c r="Z61" s="4"/>
      <c r="AA61" s="4"/>
      <c r="AB61" s="4"/>
      <c r="AC61" s="4"/>
      <c r="AD61" s="4"/>
      <c r="AE61" s="1" t="str">
        <f ca="1">IFERROR(MATCH(A62,OFFSET(Grades!$A$1,MATCH(Rates!$B$4,LIST,0),2,1,SUMIF(Grades!$A:$A,Rates!$B$4,Grades!$B:$B)),0),"")</f>
        <v/>
      </c>
    </row>
    <row r="62" spans="1:31" ht="18.75" customHeight="1" x14ac:dyDescent="0.25">
      <c r="A62" s="15">
        <v>316</v>
      </c>
      <c r="B62" s="12">
        <f t="shared" si="7"/>
        <v>10749</v>
      </c>
      <c r="C62" s="4"/>
      <c r="D62" s="16"/>
      <c r="E62" s="16"/>
      <c r="F62" s="17"/>
      <c r="G62" s="16"/>
      <c r="H62" s="16"/>
      <c r="AE62" s="1" t="str">
        <f ca="1">IFERROR(MATCH(A63,OFFSET(Grades!$A$1,MATCH(Rates!$B$4,LIST,0),2,1,SUMIF(Grades!$A:$A,Rates!$B$4,Grades!$B:$B)),0),"")</f>
        <v/>
      </c>
    </row>
    <row r="63" spans="1:31" ht="18.75" customHeight="1" x14ac:dyDescent="0.25">
      <c r="A63" s="15">
        <v>416</v>
      </c>
      <c r="B63" s="12">
        <f t="shared" si="7"/>
        <v>10969</v>
      </c>
      <c r="C63" s="4"/>
      <c r="D63" s="16"/>
      <c r="E63" s="16"/>
      <c r="F63" s="17"/>
      <c r="G63" s="16"/>
      <c r="H63" s="16"/>
      <c r="AE63" s="1" t="str">
        <f ca="1">IFERROR(MATCH(A64,OFFSET(Grades!$A$1,MATCH(Rates!$B$4,LIST,0),2,1,SUMIF(Grades!$A:$A,Rates!$B$4,Grades!$B:$B)),0),"")</f>
        <v/>
      </c>
    </row>
    <row r="64" spans="1:31" ht="18.75" customHeight="1" x14ac:dyDescent="0.25">
      <c r="A64" s="15">
        <v>516</v>
      </c>
      <c r="B64" s="12">
        <f t="shared" si="7"/>
        <v>11183</v>
      </c>
      <c r="C64" s="4"/>
      <c r="D64" s="16"/>
      <c r="E64" s="16"/>
      <c r="F64" s="17"/>
      <c r="G64" s="16"/>
      <c r="H64" s="16"/>
      <c r="AE64" s="1" t="str">
        <f ca="1">IFERROR(MATCH(A65,OFFSET(Grades!$A$1,MATCH(Rates!$B$4,LIST,0),2,1,SUMIF(Grades!$A:$A,Rates!$B$4,Grades!$B:$B)),0),"")</f>
        <v/>
      </c>
    </row>
    <row r="65" spans="1:31" ht="18.75" customHeight="1" x14ac:dyDescent="0.25">
      <c r="A65" s="15">
        <v>616</v>
      </c>
      <c r="B65" s="12">
        <f t="shared" si="7"/>
        <v>11402</v>
      </c>
      <c r="C65" s="4"/>
      <c r="D65" s="16"/>
      <c r="E65" s="16"/>
      <c r="F65" s="17"/>
      <c r="G65" s="16"/>
      <c r="H65" s="16"/>
      <c r="AE65" s="1" t="str">
        <f ca="1">IFERROR(MATCH(A66,OFFSET(Grades!$A$1,MATCH(Rates!$B$4,LIST,0),2,1,SUMIF(Grades!$A:$A,Rates!$B$4,Grades!$B:$B)),0),"")</f>
        <v/>
      </c>
    </row>
    <row r="66" spans="1:31" ht="18.75" customHeight="1" x14ac:dyDescent="0.25">
      <c r="A66" s="15">
        <v>716</v>
      </c>
      <c r="B66" s="12">
        <f t="shared" si="7"/>
        <v>11633</v>
      </c>
      <c r="C66" s="4"/>
      <c r="D66" s="16"/>
      <c r="E66" s="16"/>
      <c r="F66" s="17"/>
      <c r="G66" s="16"/>
      <c r="H66" s="16"/>
      <c r="AE66" s="1" t="str">
        <f ca="1">IFERROR(MATCH(A67,OFFSET(Grades!$A$1,MATCH(Rates!$B$4,LIST,0),2,1,SUMIF(Grades!$A:$A,Rates!$B$4,Grades!$B:$B)),0),"")</f>
        <v/>
      </c>
    </row>
    <row r="67" spans="1:31" ht="18.75" customHeight="1" x14ac:dyDescent="0.25">
      <c r="A67" s="15">
        <v>816</v>
      </c>
      <c r="B67" s="12">
        <f t="shared" si="7"/>
        <v>11873</v>
      </c>
      <c r="C67" s="4"/>
      <c r="D67" s="16"/>
      <c r="E67" s="16"/>
      <c r="F67" s="17"/>
      <c r="G67" s="16"/>
      <c r="H67" s="44"/>
      <c r="AE67" s="1" t="str">
        <f ca="1">IFERROR(MATCH(A68,OFFSET(Grades!$A$1,MATCH(Rates!$B$4,LIST,0),2,1,SUMIF(Grades!$A:$A,Rates!$B$4,Grades!$B:$B)),0),"")</f>
        <v/>
      </c>
    </row>
    <row r="68" spans="1:31" ht="18.75" customHeight="1" x14ac:dyDescent="0.25">
      <c r="A68" s="15">
        <v>916</v>
      </c>
      <c r="B68" s="12">
        <f t="shared" si="7"/>
        <v>12179</v>
      </c>
      <c r="C68" s="4"/>
      <c r="D68" s="16"/>
      <c r="E68" s="16"/>
      <c r="F68" s="17"/>
      <c r="G68" s="16"/>
      <c r="H68" s="16"/>
      <c r="AE68" s="1" t="str">
        <f ca="1">IFERROR(MATCH(A69,OFFSET(Grades!$A$1,MATCH(Rates!$B$4,LIST,0),2,1,SUMIF(Grades!$A:$A,Rates!$B$4,Grades!$B:$B)),0),"")</f>
        <v/>
      </c>
    </row>
    <row r="69" spans="1:31" ht="18.75" customHeight="1" x14ac:dyDescent="0.25">
      <c r="A69" s="15">
        <v>117</v>
      </c>
      <c r="B69" s="67">
        <v>12552</v>
      </c>
      <c r="C69" s="4"/>
      <c r="AE69" s="1" t="str">
        <f ca="1">IFERROR(MATCH(A70,OFFSET(Grades!$A$1,MATCH(Rates!$B$4,LIST,0),2,1,SUMIF(Grades!$A:$A,Rates!$B$4,Grades!$B:$B)),0),"")</f>
        <v/>
      </c>
    </row>
    <row r="70" spans="1:31" ht="18.75" customHeight="1" x14ac:dyDescent="0.25">
      <c r="A70" s="15">
        <v>217</v>
      </c>
      <c r="B70" s="12">
        <f t="shared" ref="B70:B77" si="8">ROUND(B4*85%,0)</f>
        <v>12794</v>
      </c>
      <c r="C70" s="43"/>
      <c r="AE70" s="1" t="str">
        <f ca="1">IFERROR(MATCH(A71,OFFSET(Grades!$A$1,MATCH(Rates!$B$4,LIST,0),2,1,SUMIF(Grades!$A:$A,Rates!$B$4,Grades!$B:$B)),0),"")</f>
        <v/>
      </c>
    </row>
    <row r="71" spans="1:31" ht="18.75" customHeight="1" x14ac:dyDescent="0.25">
      <c r="A71" s="15">
        <v>317</v>
      </c>
      <c r="B71" s="12">
        <f t="shared" si="8"/>
        <v>13053</v>
      </c>
      <c r="C71" s="4"/>
      <c r="AE71" s="1" t="str">
        <f ca="1">IFERROR(MATCH(A72,OFFSET(Grades!$A$1,MATCH(Rates!$B$4,LIST,0),2,1,SUMIF(Grades!$A:$A,Rates!$B$4,Grades!$B:$B)),0),"")</f>
        <v/>
      </c>
    </row>
    <row r="72" spans="1:31" ht="18.75" customHeight="1" x14ac:dyDescent="0.25">
      <c r="A72" s="15">
        <v>417</v>
      </c>
      <c r="B72" s="12">
        <f t="shared" si="8"/>
        <v>13320</v>
      </c>
      <c r="C72" s="4"/>
      <c r="AE72" s="1" t="str">
        <f ca="1">IFERROR(MATCH(A73,OFFSET(Grades!$A$1,MATCH(Rates!$B$4,LIST,0),2,1,SUMIF(Grades!$A:$A,Rates!$B$4,Grades!$B:$B)),0),"")</f>
        <v/>
      </c>
    </row>
    <row r="73" spans="1:31" ht="18.75" customHeight="1" x14ac:dyDescent="0.25">
      <c r="A73" s="15">
        <v>517</v>
      </c>
      <c r="B73" s="12">
        <f t="shared" si="8"/>
        <v>13580</v>
      </c>
      <c r="C73" s="4"/>
      <c r="AE73" s="1" t="str">
        <f ca="1">IFERROR(MATCH(A74,OFFSET(Grades!$A$1,MATCH(Rates!$B$4,LIST,0),2,1,SUMIF(Grades!$A:$A,Rates!$B$4,Grades!$B:$B)),0),"")</f>
        <v/>
      </c>
    </row>
    <row r="74" spans="1:31" ht="18.75" customHeight="1" x14ac:dyDescent="0.25">
      <c r="A74" s="15">
        <v>617</v>
      </c>
      <c r="B74" s="12">
        <f t="shared" si="8"/>
        <v>13846</v>
      </c>
      <c r="C74" s="4"/>
      <c r="AE74" s="1" t="str">
        <f ca="1">IFERROR(MATCH(A75,OFFSET(Grades!$A$1,MATCH(Rates!$B$4,LIST,0),2,1,SUMIF(Grades!$A:$A,Rates!$B$4,Grades!$B:$B)),0),"")</f>
        <v/>
      </c>
    </row>
    <row r="75" spans="1:31" ht="18.75" customHeight="1" x14ac:dyDescent="0.25">
      <c r="A75" s="15">
        <v>717</v>
      </c>
      <c r="B75" s="12">
        <f t="shared" si="8"/>
        <v>14125</v>
      </c>
      <c r="C75" s="4"/>
      <c r="AE75" s="1" t="str">
        <f ca="1">IFERROR(MATCH(A76,OFFSET(Grades!$A$1,MATCH(Rates!$B$4,LIST,0),2,1,SUMIF(Grades!$A:$A,Rates!$B$4,Grades!$B:$B)),0),"")</f>
        <v/>
      </c>
    </row>
    <row r="76" spans="1:31" ht="18.75" customHeight="1" x14ac:dyDescent="0.25">
      <c r="A76" s="15">
        <v>817</v>
      </c>
      <c r="B76" s="12">
        <f t="shared" si="8"/>
        <v>14417</v>
      </c>
      <c r="C76" s="4"/>
      <c r="AE76" s="1" t="str">
        <f ca="1">IFERROR(MATCH(A77,OFFSET(Grades!$A$1,MATCH(Rates!$B$4,LIST,0),2,1,SUMIF(Grades!$A:$A,Rates!$B$4,Grades!$B:$B)),0),"")</f>
        <v/>
      </c>
    </row>
    <row r="77" spans="1:31" ht="18.75" customHeight="1" x14ac:dyDescent="0.25">
      <c r="A77" s="15">
        <v>917</v>
      </c>
      <c r="B77" s="12">
        <f t="shared" si="8"/>
        <v>14789</v>
      </c>
      <c r="C77" s="4"/>
      <c r="AE77" s="1" t="str">
        <f ca="1">IFERROR(MATCH(A78,OFFSET(Grades!$A$1,MATCH(Rates!$B$4,LIST,0),2,1,SUMIF(Grades!$A:$A,Rates!$B$4,Grades!$B:$B)),0),"")</f>
        <v/>
      </c>
    </row>
    <row r="78" spans="1:31" ht="18.75" customHeight="1" x14ac:dyDescent="0.25">
      <c r="A78" s="15"/>
      <c r="B78" s="12"/>
      <c r="AE78" s="1" t="str">
        <f ca="1">IFERROR(MATCH(A79,OFFSET(Grades!$A$1,MATCH(Rates!$B$4,LIST,0),2,1,SUMIF(Grades!$A:$A,Rates!$B$4,Grades!$B:$B)),0),"")</f>
        <v/>
      </c>
    </row>
    <row r="79" spans="1:31" ht="18.75" customHeight="1" x14ac:dyDescent="0.25">
      <c r="A79" s="15" t="s">
        <v>65</v>
      </c>
      <c r="B79" s="12">
        <v>15052</v>
      </c>
      <c r="C79" s="45"/>
      <c r="AE79" s="1" t="str">
        <f ca="1">IFERROR(MATCH(A80,OFFSET(Grades!$A$1,MATCH(Rates!$B$4,LIST,0),2,1,SUMIF(Grades!$A:$A,Rates!$B$4,Grades!$B:$B)),0),"")</f>
        <v/>
      </c>
    </row>
    <row r="80" spans="1:31" ht="18.75" customHeight="1" x14ac:dyDescent="0.25">
      <c r="A80" s="15"/>
      <c r="B80" s="12"/>
      <c r="AE80" s="1" t="str">
        <f ca="1">IFERROR(MATCH(A81,OFFSET(Grades!$A$1,MATCH(Rates!$B$4,LIST,0),2,1,SUMIF(Grades!$A:$A,Rates!$B$4,Grades!$B:$B)),0),"")</f>
        <v/>
      </c>
    </row>
    <row r="81" spans="1:31" ht="18.75" customHeight="1" x14ac:dyDescent="0.25">
      <c r="A81" s="15"/>
      <c r="B81" s="12"/>
      <c r="AE81" s="1" t="str">
        <f ca="1">IFERROR(MATCH(A82,OFFSET(Grades!$A$1,MATCH(Rates!$B$4,LIST,0),2,1,SUMIF(Grades!$A:$A,Rates!$B$4,Grades!$B:$B)),0),"")</f>
        <v/>
      </c>
    </row>
    <row r="82" spans="1:31" ht="18.75" customHeight="1" x14ac:dyDescent="0.25">
      <c r="A82" s="15"/>
      <c r="B82" s="12"/>
      <c r="AE82" s="1" t="str">
        <f ca="1">IFERROR(MATCH(A83,OFFSET(Grades!$A$1,MATCH(Rates!$B$4,LIST,0),2,1,SUMIF(Grades!$A:$A,Rates!$B$4,Grades!$B:$B)),0),"")</f>
        <v/>
      </c>
    </row>
    <row r="83" spans="1:31" ht="18.75" customHeight="1" x14ac:dyDescent="0.25">
      <c r="A83" s="15"/>
      <c r="B83" s="12"/>
      <c r="AE83" s="1" t="str">
        <f ca="1">IFERROR(MATCH(A84,OFFSET(Grades!$A$1,MATCH(Rates!$B$4,LIST,0),2,1,SUMIF(Grades!$A:$A,Rates!$B$4,Grades!$B:$B)),0),"")</f>
        <v/>
      </c>
    </row>
    <row r="84" spans="1:31" ht="18.75" customHeight="1" x14ac:dyDescent="0.25">
      <c r="A84" s="15"/>
      <c r="B84" s="12"/>
      <c r="AE84" s="1" t="str">
        <f ca="1">IFERROR(MATCH(A85,OFFSET(Grades!$A$1,MATCH(Rates!$B$4,LIST,0),2,1,SUMIF(Grades!$A:$A,Rates!$B$4,Grades!$B:$B)),0),"")</f>
        <v/>
      </c>
    </row>
    <row r="85" spans="1:31" ht="18.75" customHeight="1" x14ac:dyDescent="0.25">
      <c r="A85" s="15"/>
      <c r="B85" s="12"/>
      <c r="AE85" s="1" t="str">
        <f ca="1">IFERROR(MATCH(A86,OFFSET(Grades!$A$1,MATCH(Rates!$B$4,LIST,0),2,1,SUMIF(Grades!$A:$A,Rates!$B$4,Grades!$B:$B)),0),"")</f>
        <v/>
      </c>
    </row>
    <row r="86" spans="1:31" ht="18.75" customHeight="1" x14ac:dyDescent="0.25">
      <c r="A86" s="15"/>
      <c r="B86" s="12"/>
      <c r="AE86" s="1" t="str">
        <f ca="1">IFERROR(MATCH(A87,OFFSET(Grades!$A$1,MATCH(Rates!$B$4,LIST,0),2,1,SUMIF(Grades!$A:$A,Rates!$B$4,Grades!$B:$B)),0),"")</f>
        <v/>
      </c>
    </row>
    <row r="87" spans="1:31" ht="18.75" customHeight="1" x14ac:dyDescent="0.25">
      <c r="A87" s="15"/>
      <c r="B87" s="12"/>
      <c r="AE87" s="1" t="str">
        <f ca="1">IFERROR(MATCH(A88,OFFSET(Grades!$A$1,MATCH(Rates!$B$4,LIST,0),2,1,SUMIF(Grades!$A:$A,Rates!$B$4,Grades!$B:$B)),0),"")</f>
        <v/>
      </c>
    </row>
    <row r="88" spans="1:31" ht="18.75" customHeight="1" x14ac:dyDescent="0.25">
      <c r="A88" s="15"/>
      <c r="B88" s="12"/>
      <c r="AE88" s="1" t="str">
        <f ca="1">IFERROR(MATCH(A89,OFFSET(Grades!$A$1,MATCH(Rates!$B$4,LIST,0),2,1,SUMIF(Grades!$A:$A,Rates!$B$4,Grades!$B:$B)),0),"")</f>
        <v/>
      </c>
    </row>
    <row r="89" spans="1:31" ht="18.75" customHeight="1" x14ac:dyDescent="0.25">
      <c r="A89" s="15"/>
      <c r="B89" s="12"/>
      <c r="AE89" s="1" t="str">
        <f ca="1">IFERROR(MATCH(A90,OFFSET(Grades!$A$1,MATCH(Rates!$B$4,LIST,0),2,1,SUMIF(Grades!$A:$A,Rates!$B$4,Grades!$B:$B)),0),"")</f>
        <v/>
      </c>
    </row>
    <row r="90" spans="1:31" ht="18.75" customHeight="1" x14ac:dyDescent="0.25">
      <c r="A90" s="15"/>
      <c r="B90" s="12"/>
      <c r="AE90" s="1" t="str">
        <f ca="1">IFERROR(MATCH(A91,OFFSET(Grades!$A$1,MATCH(Rates!$B$4,LIST,0),2,1,SUMIF(Grades!$A:$A,Rates!$B$4,Grades!$B:$B)),0),"")</f>
        <v/>
      </c>
    </row>
    <row r="91" spans="1:31" ht="18.75" customHeight="1" x14ac:dyDescent="0.25">
      <c r="A91" s="15"/>
      <c r="B91" s="12"/>
      <c r="AE91" s="1" t="str">
        <f ca="1">IFERROR(MATCH(A92,OFFSET(Grades!$A$1,MATCH(Rates!$B$4,LIST,0),2,1,SUMIF(Grades!$A:$A,Rates!$B$4,Grades!$B:$B)),0),"")</f>
        <v/>
      </c>
    </row>
    <row r="92" spans="1:31" ht="18.75" customHeight="1" x14ac:dyDescent="0.25">
      <c r="A92" s="15"/>
      <c r="B92" s="12"/>
      <c r="AE92" s="1" t="str">
        <f ca="1">IFERROR(MATCH(A93,OFFSET(Grades!$A$1,MATCH(Rates!$B$4,LIST,0),2,1,SUMIF(Grades!$A:$A,Rates!$B$4,Grades!$B:$B)),0),"")</f>
        <v/>
      </c>
    </row>
    <row r="93" spans="1:31" ht="18.75" customHeight="1" x14ac:dyDescent="0.25">
      <c r="A93" s="15"/>
      <c r="B93" s="12"/>
      <c r="AE93" s="1" t="str">
        <f ca="1">IFERROR(MATCH(A94,OFFSET(Grades!$A$1,MATCH(Rates!$B$4,LIST,0),2,1,SUMIF(Grades!$A:$A,Rates!$B$4,Grades!$B:$B)),0),"")</f>
        <v/>
      </c>
    </row>
    <row r="94" spans="1:31" ht="18.75" customHeight="1" x14ac:dyDescent="0.25">
      <c r="A94" s="15"/>
      <c r="B94" s="12"/>
      <c r="AE94" s="1" t="str">
        <f ca="1">IFERROR(MATCH(A95,OFFSET(Grades!$A$1,MATCH(Rates!$B$4,LIST,0),2,1,SUMIF(Grades!$A:$A,Rates!$B$4,Grades!$B:$B)),0),"")</f>
        <v/>
      </c>
    </row>
    <row r="95" spans="1:31" ht="18.75" customHeight="1" x14ac:dyDescent="0.25">
      <c r="A95" s="15"/>
      <c r="B95" s="12"/>
      <c r="AE95" s="1" t="str">
        <f ca="1">IFERROR(MATCH(A96,OFFSET(Grades!$A$1,MATCH(Rates!$B$4,LIST,0),2,1,SUMIF(Grades!$A:$A,Rates!$B$4,Grades!$B:$B)),0),"")</f>
        <v/>
      </c>
    </row>
    <row r="96" spans="1:31" ht="18.75" customHeight="1" x14ac:dyDescent="0.25">
      <c r="A96" s="15"/>
      <c r="B96" s="12"/>
      <c r="AE96" s="1" t="str">
        <f ca="1">IFERROR(MATCH(A97,OFFSET(Grades!$A$1,MATCH(Rates!$B$4,LIST,0),2,1,SUMIF(Grades!$A:$A,Rates!$B$4,Grades!$B:$B)),0),"")</f>
        <v/>
      </c>
    </row>
    <row r="97" spans="1:31" ht="18.75" customHeight="1" x14ac:dyDescent="0.25">
      <c r="A97" s="15"/>
      <c r="B97" s="12"/>
      <c r="AE97" s="1" t="str">
        <f ca="1">IFERROR(MATCH(A98,OFFSET(Grades!$A$1,MATCH(Rates!$B$4,LIST,0),2,1,SUMIF(Grades!$A:$A,Rates!$B$4,Grades!$B:$B)),0),"")</f>
        <v/>
      </c>
    </row>
    <row r="98" spans="1:31" ht="18.75" customHeight="1" x14ac:dyDescent="0.25">
      <c r="A98" s="15"/>
      <c r="B98" s="12"/>
      <c r="AE98" s="1" t="str">
        <f ca="1">IFERROR(MATCH(A99,OFFSET(Grades!$A$1,MATCH(Rates!$B$4,LIST,0),2,1,SUMIF(Grades!$A:$A,Rates!$B$4,Grades!$B:$B)),0),"")</f>
        <v/>
      </c>
    </row>
    <row r="99" spans="1:31" ht="18.75" customHeight="1" x14ac:dyDescent="0.25">
      <c r="A99" s="15"/>
      <c r="B99" s="12"/>
      <c r="AE99" s="1" t="str">
        <f ca="1">IFERROR(MATCH(A100,OFFSET(Grades!$A$1,MATCH(Rates!$B$4,LIST,0),2,1,SUMIF(Grades!$A:$A,Rates!$B$4,Grades!$B:$B)),0),"")</f>
        <v/>
      </c>
    </row>
    <row r="100" spans="1:31" ht="18.75" customHeight="1" x14ac:dyDescent="0.25">
      <c r="A100" s="15"/>
      <c r="B100" s="12"/>
      <c r="AE100" s="1" t="str">
        <f ca="1">IFERROR(MATCH(A101,OFFSET(Grades!$A$1,MATCH(Rates!$B$4,LIST,0),2,1,SUMIF(Grades!$A:$A,Rates!$B$4,Grades!$B:$B)),0),"")</f>
        <v/>
      </c>
    </row>
    <row r="101" spans="1:31" ht="18.75" customHeight="1" x14ac:dyDescent="0.25">
      <c r="A101" s="15"/>
      <c r="B101" s="12"/>
      <c r="AE101" s="1" t="str">
        <f ca="1">IFERROR(MATCH(A102,OFFSET(Grades!$A$1,MATCH(Rates!$B$4,LIST,0),2,1,SUMIF(Grades!$A:$A,Rates!$B$4,Grades!$B:$B)),0),"")</f>
        <v/>
      </c>
    </row>
    <row r="102" spans="1:31" ht="18.75" customHeight="1" x14ac:dyDescent="0.25">
      <c r="A102" s="15"/>
      <c r="B102" s="12"/>
      <c r="AE102" s="1" t="str">
        <f ca="1">IFERROR(MATCH(A103,OFFSET(Grades!$A$1,MATCH(Rates!$B$4,LIST,0),2,1,SUMIF(Grades!$A:$A,Rates!$B$4,Grades!$B:$B)),0),"")</f>
        <v/>
      </c>
    </row>
    <row r="103" spans="1:31" ht="18.75" customHeight="1" x14ac:dyDescent="0.25">
      <c r="A103" s="15"/>
      <c r="B103" s="12"/>
      <c r="AE103" s="1" t="str">
        <f ca="1">IFERROR(MATCH(A104,OFFSET(Grades!$A$1,MATCH(Rates!$B$4,LIST,0),2,1,SUMIF(Grades!$A:$A,Rates!$B$4,Grades!$B:$B)),0),"")</f>
        <v/>
      </c>
    </row>
    <row r="104" spans="1:31" ht="18.75" customHeight="1" x14ac:dyDescent="0.25">
      <c r="A104" s="15"/>
      <c r="B104" s="12"/>
      <c r="AE104" s="1" t="str">
        <f ca="1">IFERROR(MATCH(A105,OFFSET(Grades!$A$1,MATCH(Rates!$B$4,LIST,0),2,1,SUMIF(Grades!$A:$A,Rates!$B$4,Grades!$B:$B)),0),"")</f>
        <v/>
      </c>
    </row>
    <row r="105" spans="1:31" ht="18.75" customHeight="1" x14ac:dyDescent="0.25">
      <c r="A105" s="15"/>
      <c r="B105" s="12"/>
      <c r="AE105" s="1" t="str">
        <f ca="1">IFERROR(MATCH(A106,OFFSET(Grades!$A$1,MATCH(Rates!$B$4,LIST,0),2,1,SUMIF(Grades!$A:$A,Rates!$B$4,Grades!$B:$B)),0),"")</f>
        <v/>
      </c>
    </row>
    <row r="106" spans="1:31" ht="18.75" customHeight="1" x14ac:dyDescent="0.25">
      <c r="A106" s="15"/>
      <c r="B106" s="12"/>
      <c r="AE106" s="1" t="str">
        <f ca="1">IFERROR(MATCH(A107,OFFSET(Grades!$A$1,MATCH(Rates!$B$4,LIST,0),2,1,SUMIF(Grades!$A:$A,Rates!$B$4,Grades!$B:$B)),0),"")</f>
        <v/>
      </c>
    </row>
    <row r="107" spans="1:31" ht="18.75" customHeight="1" x14ac:dyDescent="0.25">
      <c r="A107" s="15"/>
      <c r="B107" s="12"/>
      <c r="AE107" s="1" t="str">
        <f ca="1">IFERROR(MATCH(A108,OFFSET(Grades!$A$1,MATCH(Rates!$B$4,LIST,0),2,1,SUMIF(Grades!$A:$A,Rates!$B$4,Grades!$B:$B)),0),"")</f>
        <v/>
      </c>
    </row>
    <row r="108" spans="1:31" ht="18.75" customHeight="1" x14ac:dyDescent="0.25">
      <c r="A108" s="15"/>
      <c r="B108" s="12"/>
      <c r="AE108" s="1" t="str">
        <f ca="1">IFERROR(MATCH(A109,OFFSET(Grades!$A$1,MATCH(Rates!$B$4,LIST,0),2,1,SUMIF(Grades!$A:$A,Rates!$B$4,Grades!$B:$B)),0),"")</f>
        <v/>
      </c>
    </row>
    <row r="109" spans="1:31" ht="18.75" customHeight="1" x14ac:dyDescent="0.25">
      <c r="A109" s="15"/>
      <c r="B109" s="12"/>
      <c r="AE109" s="1" t="str">
        <f ca="1">IFERROR(MATCH(A110,OFFSET(Grades!$A$1,MATCH(Rates!$B$4,LIST,0),2,1,SUMIF(Grades!$A:$A,Rates!$B$4,Grades!$B:$B)),0),"")</f>
        <v/>
      </c>
    </row>
    <row r="110" spans="1:31" ht="18.75" customHeight="1" x14ac:dyDescent="0.25">
      <c r="A110" s="15"/>
      <c r="B110" s="12"/>
      <c r="AE110" s="1" t="str">
        <f ca="1">IFERROR(MATCH(A111,OFFSET(Grades!$A$1,MATCH(Rates!$B$4,LIST,0),2,1,SUMIF(Grades!$A:$A,Rates!$B$4,Grades!$B:$B)),0),"")</f>
        <v/>
      </c>
    </row>
    <row r="111" spans="1:31" ht="18.75" customHeight="1" x14ac:dyDescent="0.25">
      <c r="A111" s="15"/>
      <c r="B111" s="12"/>
      <c r="AE111" s="1" t="str">
        <f ca="1">IFERROR(MATCH(A112,OFFSET(Grades!$A$1,MATCH(Rates!$B$4,LIST,0),2,1,SUMIF(Grades!$A:$A,Rates!$B$4,Grades!$B:$B)),0),"")</f>
        <v/>
      </c>
    </row>
    <row r="112" spans="1:31" ht="18.75" customHeight="1" x14ac:dyDescent="0.25">
      <c r="A112" s="15"/>
      <c r="B112" s="12"/>
      <c r="AE112" s="1" t="str">
        <f ca="1">IFERROR(MATCH(A113,OFFSET(Grades!$A$1,MATCH(Rates!$B$4,LIST,0),2,1,SUMIF(Grades!$A:$A,Rates!$B$4,Grades!$B:$B)),0),"")</f>
        <v/>
      </c>
    </row>
    <row r="113" spans="1:31" ht="18.75" customHeight="1" x14ac:dyDescent="0.25">
      <c r="A113" s="15"/>
      <c r="B113" s="12"/>
      <c r="AE113" s="1" t="str">
        <f ca="1">IFERROR(MATCH(A114,OFFSET(Grades!$A$1,MATCH(Rates!$B$4,LIST,0),2,1,SUMIF(Grades!$A:$A,Rates!$B$4,Grades!$B:$B)),0),"")</f>
        <v/>
      </c>
    </row>
    <row r="114" spans="1:31" ht="18.75" customHeight="1" x14ac:dyDescent="0.25">
      <c r="A114" s="15"/>
      <c r="B114" s="12"/>
      <c r="AE114" s="1" t="str">
        <f ca="1">IFERROR(MATCH(A115,OFFSET(Grades!$A$1,MATCH(Rates!$B$4,LIST,0),2,1,SUMIF(Grades!$A:$A,Rates!$B$4,Grades!$B:$B)),0),"")</f>
        <v/>
      </c>
    </row>
    <row r="115" spans="1:31" ht="18.75" customHeight="1" x14ac:dyDescent="0.25">
      <c r="A115" s="15"/>
      <c r="B115" s="12"/>
      <c r="AE115" s="1" t="str">
        <f ca="1">IFERROR(MATCH(A116,OFFSET(Grades!$A$1,MATCH(Rates!$B$4,LIST,0),2,1,SUMIF(Grades!$A:$A,Rates!$B$4,Grades!$B:$B)),0),"")</f>
        <v/>
      </c>
    </row>
    <row r="116" spans="1:31" ht="18.75" customHeight="1" x14ac:dyDescent="0.25">
      <c r="A116" s="15"/>
      <c r="B116" s="12"/>
      <c r="AE116" s="1" t="str">
        <f ca="1">IFERROR(MATCH(A117,OFFSET(Grades!$A$1,MATCH(Rates!$B$4,LIST,0),2,1,SUMIF(Grades!$A:$A,Rates!$B$4,Grades!$B:$B)),0),"")</f>
        <v/>
      </c>
    </row>
    <row r="117" spans="1:31" ht="18.75" customHeight="1" x14ac:dyDescent="0.25">
      <c r="A117" s="15"/>
      <c r="B117" s="12"/>
      <c r="AE117" s="1" t="str">
        <f ca="1">IFERROR(MATCH(A118,OFFSET(Grades!$A$1,MATCH(Rates!$B$4,LIST,0),2,1,SUMIF(Grades!$A:$A,Rates!$B$4,Grades!$B:$B)),0),"")</f>
        <v/>
      </c>
    </row>
    <row r="118" spans="1:31" ht="18.75" customHeight="1" x14ac:dyDescent="0.25">
      <c r="A118" s="15"/>
      <c r="B118" s="12"/>
      <c r="AE118" s="1" t="str">
        <f ca="1">IFERROR(MATCH(A119,OFFSET(Grades!$A$1,MATCH(Rates!$B$4,LIST,0),2,1,SUMIF(Grades!$A:$A,Rates!$B$4,Grades!$B:$B)),0),"")</f>
        <v/>
      </c>
    </row>
    <row r="119" spans="1:31" ht="18.75" customHeight="1" x14ac:dyDescent="0.25">
      <c r="A119" s="15"/>
      <c r="B119" s="12"/>
      <c r="AE119" s="1" t="str">
        <f ca="1">IFERROR(MATCH(A120,OFFSET(Grades!$A$1,MATCH(Rates!$B$4,LIST,0),2,1,SUMIF(Grades!$A:$A,Rates!$B$4,Grades!$B:$B)),0),"")</f>
        <v/>
      </c>
    </row>
    <row r="120" spans="1:31" ht="18.75" customHeight="1" x14ac:dyDescent="0.25">
      <c r="A120" s="15"/>
      <c r="B120" s="12"/>
      <c r="AE120" s="1" t="str">
        <f ca="1">IFERROR(MATCH(A121,OFFSET(Grades!$A$1,MATCH(Rates!$B$4,LIST,0),2,1,SUMIF(Grades!$A:$A,Rates!$B$4,Grades!$B:$B)),0),"")</f>
        <v/>
      </c>
    </row>
    <row r="121" spans="1:31" ht="18.75" customHeight="1" x14ac:dyDescent="0.25">
      <c r="A121" s="15"/>
      <c r="B121" s="12"/>
      <c r="AE121" s="1" t="str">
        <f ca="1">IFERROR(MATCH(A122,OFFSET(Grades!$A$1,MATCH(Rates!$B$4,LIST,0),2,1,SUMIF(Grades!$A:$A,Rates!$B$4,Grades!$B:$B)),0),"")</f>
        <v/>
      </c>
    </row>
    <row r="122" spans="1:31" ht="18.75" customHeight="1" x14ac:dyDescent="0.25">
      <c r="A122" s="15"/>
      <c r="B122" s="12"/>
      <c r="AE122" s="1" t="str">
        <f ca="1">IFERROR(MATCH(A123,OFFSET(Grades!$A$1,MATCH(Rates!$B$4,LIST,0),2,1,SUMIF(Grades!$A:$A,Rates!$B$4,Grades!$B:$B)),0),"")</f>
        <v/>
      </c>
    </row>
    <row r="123" spans="1:31" ht="18.75" customHeight="1" x14ac:dyDescent="0.25">
      <c r="A123" s="15"/>
      <c r="B123" s="12"/>
      <c r="AE123" s="1" t="str">
        <f ca="1">IFERROR(MATCH(A124,OFFSET(Grades!$A$1,MATCH(Rates!$B$4,LIST,0),2,1,SUMIF(Grades!$A:$A,Rates!$B$4,Grades!$B:$B)),0),"")</f>
        <v/>
      </c>
    </row>
    <row r="124" spans="1:31" ht="18.75" customHeight="1" x14ac:dyDescent="0.25">
      <c r="A124" s="15"/>
      <c r="B124" s="12"/>
      <c r="AE124" s="1" t="str">
        <f ca="1">IFERROR(MATCH(A125,OFFSET(Grades!$A$1,MATCH(Rates!$B$4,LIST,0),2,1,SUMIF(Grades!$A:$A,Rates!$B$4,Grades!$B:$B)),0),"")</f>
        <v/>
      </c>
    </row>
    <row r="125" spans="1:31" ht="18.75" customHeight="1" x14ac:dyDescent="0.25">
      <c r="A125" s="15"/>
      <c r="B125" s="12"/>
      <c r="AE125" s="1" t="str">
        <f ca="1">IFERROR(MATCH(A126,OFFSET(Grades!$A$1,MATCH(Rates!$B$4,LIST,0),2,1,SUMIF(Grades!$A:$A,Rates!$B$4,Grades!$B:$B)),0),"")</f>
        <v/>
      </c>
    </row>
    <row r="126" spans="1:31" ht="18.75" customHeight="1" x14ac:dyDescent="0.25">
      <c r="A126" s="15"/>
      <c r="B126" s="12"/>
      <c r="AE126" s="1" t="str">
        <f ca="1">IFERROR(MATCH(A127,OFFSET(Grades!$A$1,MATCH(Rates!$B$4,LIST,0),2,1,SUMIF(Grades!$A:$A,Rates!$B$4,Grades!$B:$B)),0),"")</f>
        <v/>
      </c>
    </row>
    <row r="127" spans="1:31" ht="18.75" customHeight="1" x14ac:dyDescent="0.25">
      <c r="A127" s="15"/>
      <c r="B127" s="12"/>
      <c r="AE127" s="1" t="str">
        <f ca="1">IFERROR(MATCH(A128,OFFSET(Grades!$A$1,MATCH(Rates!$B$4,LIST,0),2,1,SUMIF(Grades!$A:$A,Rates!$B$4,Grades!$B:$B)),0),"")</f>
        <v/>
      </c>
    </row>
    <row r="128" spans="1:31" ht="18.75" customHeight="1" x14ac:dyDescent="0.25">
      <c r="A128" s="15"/>
      <c r="B128" s="12"/>
      <c r="AE128" s="1" t="str">
        <f ca="1">IFERROR(MATCH(A129,OFFSET(Grades!$A$1,MATCH(Rates!$B$4,LIST,0),2,1,SUMIF(Grades!$A:$A,Rates!$B$4,Grades!$B:$B)),0),"")</f>
        <v/>
      </c>
    </row>
    <row r="129" spans="1:31" ht="18.75" customHeight="1" x14ac:dyDescent="0.25">
      <c r="A129" s="15"/>
      <c r="B129" s="12"/>
      <c r="AE129" s="1" t="str">
        <f ca="1">IFERROR(MATCH(A130,OFFSET(Grades!$A$1,MATCH(Rates!$B$4,LIST,0),2,1,SUMIF(Grades!$A:$A,Rates!$B$4,Grades!$B:$B)),0),"")</f>
        <v/>
      </c>
    </row>
    <row r="130" spans="1:31" ht="18.75" customHeight="1" x14ac:dyDescent="0.25">
      <c r="A130" s="15"/>
      <c r="B130" s="12"/>
      <c r="AE130" s="1" t="str">
        <f ca="1">IFERROR(MATCH(A131,OFFSET(Grades!$A$1,MATCH(Rates!$B$4,LIST,0),2,1,SUMIF(Grades!$A:$A,Rates!$B$4,Grades!$B:$B)),0),"")</f>
        <v/>
      </c>
    </row>
    <row r="131" spans="1:31" ht="18.75" customHeight="1" x14ac:dyDescent="0.25">
      <c r="A131" s="15"/>
      <c r="B131" s="12"/>
      <c r="AE131" s="1" t="str">
        <f ca="1">IFERROR(MATCH(A132,OFFSET(Grades!$A$1,MATCH(Rates!$B$4,LIST,0),2,1,SUMIF(Grades!$A:$A,Rates!$B$4,Grades!$B:$B)),0),"")</f>
        <v/>
      </c>
    </row>
    <row r="132" spans="1:31" ht="18.75" customHeight="1" x14ac:dyDescent="0.25">
      <c r="A132" s="15"/>
      <c r="B132" s="12"/>
      <c r="AE132" s="1" t="str">
        <f ca="1">IFERROR(MATCH(A133,OFFSET(Grades!$A$1,MATCH(Rates!$B$4,LIST,0),2,1,SUMIF(Grades!$A:$A,Rates!$B$4,Grades!$B:$B)),0),"")</f>
        <v/>
      </c>
    </row>
    <row r="133" spans="1:31" ht="18.75" customHeight="1" x14ac:dyDescent="0.25">
      <c r="A133" s="15"/>
      <c r="B133" s="12"/>
      <c r="AE133" s="1" t="str">
        <f ca="1">IFERROR(MATCH(A134,OFFSET(Grades!$A$1,MATCH(Rates!$B$4,LIST,0),2,1,SUMIF(Grades!$A:$A,Rates!$B$4,Grades!$B:$B)),0),"")</f>
        <v/>
      </c>
    </row>
    <row r="134" spans="1:31" ht="18.75" customHeight="1" x14ac:dyDescent="0.25">
      <c r="A134" s="15"/>
      <c r="B134" s="12"/>
      <c r="AE134" s="1" t="str">
        <f ca="1">IFERROR(MATCH(A135,OFFSET(Grades!$A$1,MATCH(Rates!$B$4,LIST,0),2,1,SUMIF(Grades!$A:$A,Rates!$B$4,Grades!$B:$B)),0),"")</f>
        <v/>
      </c>
    </row>
    <row r="135" spans="1:31" ht="18.75" customHeight="1" x14ac:dyDescent="0.25">
      <c r="A135" s="15"/>
      <c r="B135" s="12"/>
      <c r="AE135" s="1" t="str">
        <f ca="1">IFERROR(MATCH(A136,OFFSET(Grades!$A$1,MATCH(Rates!$B$4,LIST,0),2,1,SUMIF(Grades!$A:$A,Rates!$B$4,Grades!$B:$B)),0),"")</f>
        <v/>
      </c>
    </row>
    <row r="136" spans="1:31" ht="18.75" customHeight="1" x14ac:dyDescent="0.25">
      <c r="A136" s="15"/>
      <c r="B136" s="12"/>
      <c r="AE136" s="1" t="str">
        <f ca="1">IFERROR(MATCH(A137,OFFSET(Grades!$A$1,MATCH(Rates!$B$4,LIST,0),2,1,SUMIF(Grades!$A:$A,Rates!$B$4,Grades!$B:$B)),0),"")</f>
        <v/>
      </c>
    </row>
    <row r="137" spans="1:31" ht="18.75" customHeight="1" x14ac:dyDescent="0.25">
      <c r="A137" s="15"/>
      <c r="B137" s="12"/>
      <c r="AE137" s="1" t="str">
        <f ca="1">IFERROR(MATCH(A138,OFFSET(Grades!$A$1,MATCH(Rates!$B$4,LIST,0),2,1,SUMIF(Grades!$A:$A,Rates!$B$4,Grades!$B:$B)),0),"")</f>
        <v/>
      </c>
    </row>
    <row r="138" spans="1:31" ht="18.75" customHeight="1" x14ac:dyDescent="0.25">
      <c r="A138" s="15"/>
      <c r="B138" s="12"/>
      <c r="AE138" s="1" t="str">
        <f ca="1">IFERROR(MATCH(A139,OFFSET(Grades!$A$1,MATCH(Rates!$B$4,LIST,0),2,1,SUMIF(Grades!$A:$A,Rates!$B$4,Grades!$B:$B)),0),"")</f>
        <v/>
      </c>
    </row>
    <row r="139" spans="1:31" ht="18.75" customHeight="1" x14ac:dyDescent="0.25">
      <c r="A139" s="15"/>
      <c r="B139" s="12"/>
      <c r="AE139" s="1" t="str">
        <f ca="1">IFERROR(MATCH(A140,OFFSET(Grades!$A$1,MATCH(Rates!$B$4,LIST,0),2,1,SUMIF(Grades!$A:$A,Rates!$B$4,Grades!$B:$B)),0),"")</f>
        <v/>
      </c>
    </row>
    <row r="140" spans="1:31" ht="18.75" customHeight="1" x14ac:dyDescent="0.25">
      <c r="A140" s="15"/>
      <c r="B140" s="12"/>
      <c r="AE140" s="1" t="str">
        <f ca="1">IFERROR(MATCH(A141,OFFSET(Grades!$A$1,MATCH(Rates!$B$4,LIST,0),2,1,SUMIF(Grades!$A:$A,Rates!$B$4,Grades!$B:$B)),0),"")</f>
        <v/>
      </c>
    </row>
    <row r="141" spans="1:31" ht="18.75" customHeight="1" x14ac:dyDescent="0.25">
      <c r="A141" s="15"/>
      <c r="B141" s="12"/>
      <c r="AE141" s="1" t="str">
        <f ca="1">IFERROR(MATCH(A142,OFFSET(Grades!$A$1,MATCH(Rates!$B$4,LIST,0),2,1,SUMIF(Grades!$A:$A,Rates!$B$4,Grades!$B:$B)),0),"")</f>
        <v/>
      </c>
    </row>
    <row r="142" spans="1:31" ht="18.75" customHeight="1" x14ac:dyDescent="0.25">
      <c r="A142" s="15"/>
      <c r="B142" s="12"/>
      <c r="AE142" s="1" t="str">
        <f ca="1">IFERROR(MATCH(A143,OFFSET(Grades!$A$1,MATCH(Rates!$B$4,LIST,0),2,1,SUMIF(Grades!$A:$A,Rates!$B$4,Grades!$B:$B)),0),"")</f>
        <v/>
      </c>
    </row>
    <row r="143" spans="1:31" ht="18.75" customHeight="1" x14ac:dyDescent="0.25">
      <c r="A143" s="15"/>
      <c r="B143" s="12"/>
      <c r="AE143" s="1" t="str">
        <f ca="1">IFERROR(MATCH(A144,OFFSET(Grades!$A$1,MATCH(Rates!$B$4,LIST,0),2,1,SUMIF(Grades!$A:$A,Rates!$B$4,Grades!$B:$B)),0),"")</f>
        <v/>
      </c>
    </row>
    <row r="144" spans="1:31" ht="18.75" customHeight="1" x14ac:dyDescent="0.25">
      <c r="A144" s="15"/>
      <c r="B144" s="12"/>
      <c r="AE144" s="1" t="str">
        <f ca="1">IFERROR(MATCH(A145,OFFSET(Grades!$A$1,MATCH(Rates!$B$4,LIST,0),2,1,SUMIF(Grades!$A:$A,Rates!$B$4,Grades!$B:$B)),0),"")</f>
        <v/>
      </c>
    </row>
    <row r="145" spans="1:31" ht="18.75" customHeight="1" x14ac:dyDescent="0.25">
      <c r="A145" s="15"/>
      <c r="B145" s="12"/>
      <c r="AE145" s="1" t="str">
        <f ca="1">IFERROR(MATCH(A146,OFFSET(Grades!$A$1,MATCH(Rates!$B$4,LIST,0),2,1,SUMIF(Grades!$A:$A,Rates!$B$4,Grades!$B:$B)),0),"")</f>
        <v/>
      </c>
    </row>
    <row r="146" spans="1:31" ht="18.75" customHeight="1" x14ac:dyDescent="0.25">
      <c r="A146" s="15"/>
      <c r="B146" s="12"/>
      <c r="AE146" s="1" t="str">
        <f ca="1">IFERROR(MATCH(A147,OFFSET(Grades!$A$1,MATCH(Rates!$B$4,LIST,0),2,1,SUMIF(Grades!$A:$A,Rates!$B$4,Grades!$B:$B)),0),"")</f>
        <v/>
      </c>
    </row>
    <row r="147" spans="1:31" ht="18.75" customHeight="1" x14ac:dyDescent="0.25">
      <c r="A147" s="15"/>
      <c r="B147" s="12"/>
      <c r="AE147" s="1" t="str">
        <f ca="1">IFERROR(MATCH(A148,OFFSET(Grades!$A$1,MATCH(Rates!$B$4,LIST,0),2,1,SUMIF(Grades!$A:$A,Rates!$B$4,Grades!$B:$B)),0),"")</f>
        <v/>
      </c>
    </row>
    <row r="148" spans="1:31" ht="18.75" customHeight="1" x14ac:dyDescent="0.25">
      <c r="A148" s="15"/>
      <c r="B148" s="12"/>
      <c r="AE148" s="1" t="str">
        <f ca="1">IFERROR(MATCH(A149,OFFSET(Grades!$A$1,MATCH(Rates!$B$4,LIST,0),2,1,SUMIF(Grades!$A:$A,Rates!$B$4,Grades!$B:$B)),0),"")</f>
        <v/>
      </c>
    </row>
    <row r="149" spans="1:31" ht="18.75" customHeight="1" x14ac:dyDescent="0.25">
      <c r="A149" s="15"/>
      <c r="B149" s="12"/>
      <c r="AE149" s="1" t="str">
        <f ca="1">IFERROR(MATCH(A150,OFFSET(Grades!$A$1,MATCH(Rates!$B$4,LIST,0),2,1,SUMIF(Grades!$A:$A,Rates!$B$4,Grades!$B:$B)),0),"")</f>
        <v/>
      </c>
    </row>
    <row r="150" spans="1:31" ht="18.75" customHeight="1" x14ac:dyDescent="0.25">
      <c r="A150" s="15"/>
      <c r="B150" s="12"/>
      <c r="AE150" s="1" t="str">
        <f ca="1">IFERROR(MATCH(A151,OFFSET(Grades!$A$1,MATCH(Rates!$B$4,LIST,0),2,1,SUMIF(Grades!$A:$A,Rates!$B$4,Grades!$B:$B)),0),"")</f>
        <v/>
      </c>
    </row>
    <row r="151" spans="1:31" ht="18.75" customHeight="1" x14ac:dyDescent="0.25">
      <c r="A151" s="15"/>
      <c r="B151" s="12"/>
      <c r="AE151" s="1" t="str">
        <f ca="1">IFERROR(MATCH(A152,OFFSET(Grades!$A$1,MATCH(Rates!$B$4,LIST,0),2,1,SUMIF(Grades!$A:$A,Rates!$B$4,Grades!$B:$B)),0),"")</f>
        <v/>
      </c>
    </row>
    <row r="152" spans="1:31" ht="18.75" customHeight="1" x14ac:dyDescent="0.25">
      <c r="A152" s="15"/>
      <c r="B152" s="12"/>
      <c r="AE152" s="1" t="str">
        <f ca="1">IFERROR(MATCH(A153,OFFSET(Grades!$A$1,MATCH(Rates!$B$4,LIST,0),2,1,SUMIF(Grades!$A:$A,Rates!$B$4,Grades!$B:$B)),0),"")</f>
        <v/>
      </c>
    </row>
    <row r="153" spans="1:31" ht="18.75" customHeight="1" x14ac:dyDescent="0.25">
      <c r="A153" s="15"/>
      <c r="B153" s="12"/>
      <c r="AE153" s="1" t="str">
        <f ca="1">IFERROR(MATCH(A154,OFFSET(Grades!$A$1,MATCH(Rates!$B$4,LIST,0),2,1,SUMIF(Grades!$A:$A,Rates!$B$4,Grades!$B:$B)),0),"")</f>
        <v/>
      </c>
    </row>
    <row r="154" spans="1:31" ht="18.75" customHeight="1" x14ac:dyDescent="0.25">
      <c r="A154" s="15"/>
      <c r="B154" s="12"/>
      <c r="AE154" s="1" t="str">
        <f ca="1">IFERROR(MATCH(A155,OFFSET(Grades!$A$1,MATCH(Rates!$B$4,LIST,0),2,1,SUMIF(Grades!$A:$A,Rates!$B$4,Grades!$B:$B)),0),"")</f>
        <v/>
      </c>
    </row>
    <row r="155" spans="1:31" ht="18.75" customHeight="1" x14ac:dyDescent="0.25">
      <c r="A155" s="15"/>
      <c r="B155" s="12"/>
      <c r="AE155" s="1" t="str">
        <f ca="1">IFERROR(MATCH(A156,OFFSET(Grades!$A$1,MATCH(Rates!$B$4,LIST,0),2,1,SUMIF(Grades!$A:$A,Rates!$B$4,Grades!$B:$B)),0),"")</f>
        <v/>
      </c>
    </row>
    <row r="156" spans="1:31" ht="18.75" customHeight="1" x14ac:dyDescent="0.25">
      <c r="A156" s="15"/>
      <c r="B156" s="12"/>
      <c r="AE156" s="1" t="str">
        <f ca="1">IFERROR(MATCH(A157,OFFSET(Grades!$A$1,MATCH(Rates!$B$4,LIST,0),2,1,SUMIF(Grades!$A:$A,Rates!$B$4,Grades!$B:$B)),0),"")</f>
        <v/>
      </c>
    </row>
    <row r="157" spans="1:31" ht="18.75" customHeight="1" x14ac:dyDescent="0.25">
      <c r="A157" s="15"/>
      <c r="B157" s="12"/>
      <c r="AE157" s="1" t="str">
        <f ca="1">IFERROR(MATCH(A158,OFFSET(Grades!$A$1,MATCH(Rates!$B$4,LIST,0),2,1,SUMIF(Grades!$A:$A,Rates!$B$4,Grades!$B:$B)),0),"")</f>
        <v/>
      </c>
    </row>
    <row r="158" spans="1:31" ht="18.75" customHeight="1" x14ac:dyDescent="0.25">
      <c r="A158" s="15"/>
      <c r="B158" s="12"/>
      <c r="AE158" s="1" t="str">
        <f ca="1">IFERROR(MATCH(A159,OFFSET(Grades!$A$1,MATCH(Rates!$B$4,LIST,0),2,1,SUMIF(Grades!$A:$A,Rates!$B$4,Grades!$B:$B)),0),"")</f>
        <v/>
      </c>
    </row>
    <row r="159" spans="1:31" ht="18.75" customHeight="1" x14ac:dyDescent="0.25">
      <c r="A159" s="15"/>
      <c r="B159" s="12"/>
      <c r="AE159" s="1" t="str">
        <f ca="1">IFERROR(MATCH(A160,OFFSET(Grades!$A$1,MATCH(Rates!$B$4,LIST,0),2,1,SUMIF(Grades!$A:$A,Rates!$B$4,Grades!$B:$B)),0),"")</f>
        <v/>
      </c>
    </row>
    <row r="160" spans="1:31" ht="18.75" customHeight="1" x14ac:dyDescent="0.25">
      <c r="A160" s="15"/>
      <c r="B160" s="12"/>
      <c r="AE160" s="1" t="str">
        <f ca="1">IFERROR(MATCH(A161,OFFSET(Grades!$A$1,MATCH(Rates!$B$4,LIST,0),2,1,SUMIF(Grades!$A:$A,Rates!$B$4,Grades!$B:$B)),0),"")</f>
        <v/>
      </c>
    </row>
    <row r="161" spans="1:31" ht="18.75" customHeight="1" x14ac:dyDescent="0.25">
      <c r="A161" s="15"/>
      <c r="B161" s="12"/>
      <c r="AE161" s="1" t="str">
        <f ca="1">IFERROR(MATCH(A162,OFFSET(Grades!$A$1,MATCH(Rates!$B$4,LIST,0),2,1,SUMIF(Grades!$A:$A,Rates!$B$4,Grades!$B:$B)),0),"")</f>
        <v/>
      </c>
    </row>
    <row r="162" spans="1:31" ht="18.75" customHeight="1" x14ac:dyDescent="0.25">
      <c r="A162" s="15"/>
      <c r="B162" s="12"/>
      <c r="AE162" s="1" t="str">
        <f ca="1">IFERROR(MATCH(A163,OFFSET(Grades!$A$1,MATCH(Rates!$B$4,LIST,0),2,1,SUMIF(Grades!$A:$A,Rates!$B$4,Grades!$B:$B)),0),"")</f>
        <v/>
      </c>
    </row>
    <row r="163" spans="1:31" ht="18.75" customHeight="1" x14ac:dyDescent="0.25">
      <c r="A163" s="15"/>
      <c r="B163" s="12"/>
      <c r="AE163" s="1" t="str">
        <f ca="1">IFERROR(MATCH(A164,OFFSET(Grades!$A$1,MATCH(Rates!$B$4,LIST,0),2,1,SUMIF(Grades!$A:$A,Rates!$B$4,Grades!$B:$B)),0),"")</f>
        <v/>
      </c>
    </row>
    <row r="164" spans="1:31" ht="18.75" customHeight="1" x14ac:dyDescent="0.25">
      <c r="A164" s="15"/>
      <c r="B164" s="12"/>
      <c r="AE164" s="1" t="str">
        <f ca="1">IFERROR(MATCH(A165,OFFSET(Grades!$A$1,MATCH(Rates!$B$4,LIST,0),2,1,SUMIF(Grades!$A:$A,Rates!$B$4,Grades!$B:$B)),0),"")</f>
        <v/>
      </c>
    </row>
    <row r="165" spans="1:31" ht="18.75" customHeight="1" x14ac:dyDescent="0.25">
      <c r="A165" s="15"/>
      <c r="B165" s="12"/>
      <c r="AE165" s="1" t="str">
        <f ca="1">IFERROR(MATCH(A166,OFFSET(Grades!$A$1,MATCH(Rates!$B$4,LIST,0),2,1,SUMIF(Grades!$A:$A,Rates!$B$4,Grades!$B:$B)),0),"")</f>
        <v/>
      </c>
    </row>
    <row r="166" spans="1:31" ht="18.75" customHeight="1" x14ac:dyDescent="0.25">
      <c r="A166" s="15"/>
      <c r="B166" s="12"/>
      <c r="AE166" s="1" t="str">
        <f ca="1">IFERROR(MATCH(A167,OFFSET(Grades!$A$1,MATCH(Rates!$B$4,LIST,0),2,1,SUMIF(Grades!$A:$A,Rates!$B$4,Grades!$B:$B)),0),"")</f>
        <v/>
      </c>
    </row>
    <row r="167" spans="1:31" ht="18.75" customHeight="1" x14ac:dyDescent="0.25">
      <c r="A167" s="15"/>
      <c r="B167" s="12"/>
      <c r="AE167" s="1" t="str">
        <f ca="1">IFERROR(MATCH(A168,OFFSET(Grades!$A$1,MATCH(Rates!$B$4,LIST,0),2,1,SUMIF(Grades!$A:$A,Rates!$B$4,Grades!$B:$B)),0),"")</f>
        <v/>
      </c>
    </row>
    <row r="168" spans="1:31" ht="18.75" customHeight="1" x14ac:dyDescent="0.25">
      <c r="A168" s="15"/>
      <c r="B168" s="12"/>
      <c r="AE168" s="1" t="str">
        <f ca="1">IFERROR(MATCH(A169,OFFSET(Grades!$A$1,MATCH(Rates!$B$4,LIST,0),2,1,SUMIF(Grades!$A:$A,Rates!$B$4,Grades!$B:$B)),0),"")</f>
        <v/>
      </c>
    </row>
    <row r="169" spans="1:31" ht="18.75" customHeight="1" x14ac:dyDescent="0.25">
      <c r="A169" s="15"/>
      <c r="B169" s="12"/>
      <c r="AE169" s="1" t="str">
        <f ca="1">IFERROR(MATCH(A170,OFFSET(Grades!$A$1,MATCH(Rates!$B$4,LIST,0),2,1,SUMIF(Grades!$A:$A,Rates!$B$4,Grades!$B:$B)),0),"")</f>
        <v/>
      </c>
    </row>
    <row r="170" spans="1:31" ht="18.75" customHeight="1" x14ac:dyDescent="0.25">
      <c r="A170" s="15"/>
      <c r="B170" s="12"/>
      <c r="AE170" s="1" t="str">
        <f ca="1">IFERROR(MATCH(A171,OFFSET(Grades!$A$1,MATCH(Rates!$B$4,LIST,0),2,1,SUMIF(Grades!$A:$A,Rates!$B$4,Grades!$B:$B)),0),"")</f>
        <v/>
      </c>
    </row>
    <row r="171" spans="1:31" ht="18.75" customHeight="1" x14ac:dyDescent="0.25">
      <c r="A171" s="15"/>
      <c r="B171" s="12"/>
      <c r="AE171" s="1" t="str">
        <f ca="1">IFERROR(MATCH(A172,OFFSET(Grades!$A$1,MATCH(Rates!$B$4,LIST,0),2,1,SUMIF(Grades!$A:$A,Rates!$B$4,Grades!$B:$B)),0),"")</f>
        <v/>
      </c>
    </row>
    <row r="172" spans="1:31" ht="18.75" customHeight="1" x14ac:dyDescent="0.25">
      <c r="A172" s="15"/>
      <c r="B172" s="12"/>
      <c r="AE172" s="1" t="str">
        <f ca="1">IFERROR(MATCH(A173,OFFSET(Grades!$A$1,MATCH(Rates!$B$4,LIST,0),2,1,SUMIF(Grades!$A:$A,Rates!$B$4,Grades!$B:$B)),0),"")</f>
        <v/>
      </c>
    </row>
    <row r="173" spans="1:31" ht="18.75" customHeight="1" x14ac:dyDescent="0.25">
      <c r="A173" s="15"/>
      <c r="B173" s="12"/>
      <c r="AE173" s="1" t="str">
        <f ca="1">IFERROR(MATCH(A174,OFFSET(Grades!$A$1,MATCH(Rates!$B$4,LIST,0),2,1,SUMIF(Grades!$A:$A,Rates!$B$4,Grades!$B:$B)),0),"")</f>
        <v/>
      </c>
    </row>
    <row r="174" spans="1:31" ht="18.75" customHeight="1" x14ac:dyDescent="0.25">
      <c r="A174" s="15"/>
      <c r="B174" s="12"/>
      <c r="AE174" s="1" t="str">
        <f ca="1">IFERROR(MATCH(A175,OFFSET(Grades!$A$1,MATCH(Rates!$B$4,LIST,0),2,1,SUMIF(Grades!$A:$A,Rates!$B$4,Grades!$B:$B)),0),"")</f>
        <v/>
      </c>
    </row>
    <row r="175" spans="1:31" ht="18.75" customHeight="1" x14ac:dyDescent="0.25">
      <c r="A175" s="15"/>
      <c r="B175" s="12"/>
      <c r="AE175" s="1" t="str">
        <f ca="1">IFERROR(MATCH(A176,OFFSET(Grades!$A$1,MATCH(Rates!$B$4,LIST,0),2,1,SUMIF(Grades!$A:$A,Rates!$B$4,Grades!$B:$B)),0),"")</f>
        <v/>
      </c>
    </row>
    <row r="176" spans="1:31" ht="18.75" customHeight="1" x14ac:dyDescent="0.25">
      <c r="A176" s="15"/>
      <c r="B176" s="12"/>
      <c r="AE176" s="1" t="str">
        <f ca="1">IFERROR(MATCH(A177,OFFSET(Grades!$A$1,MATCH(Rates!$B$4,LIST,0),2,1,SUMIF(Grades!$A:$A,Rates!$B$4,Grades!$B:$B)),0),"")</f>
        <v/>
      </c>
    </row>
    <row r="177" spans="1:31" ht="18.75" customHeight="1" x14ac:dyDescent="0.25">
      <c r="A177" s="15"/>
      <c r="B177" s="12"/>
      <c r="AE177" s="1" t="str">
        <f ca="1">IFERROR(MATCH(A178,OFFSET(Grades!$A$1,MATCH(Rates!$B$4,LIST,0),2,1,SUMIF(Grades!$A:$A,Rates!$B$4,Grades!$B:$B)),0),"")</f>
        <v/>
      </c>
    </row>
    <row r="178" spans="1:31" ht="18.75" customHeight="1" x14ac:dyDescent="0.25">
      <c r="A178" s="15"/>
      <c r="B178" s="12"/>
      <c r="AE178" s="1" t="str">
        <f ca="1">IFERROR(MATCH(A179,OFFSET(Grades!$A$1,MATCH(Rates!$B$4,LIST,0),2,1,SUMIF(Grades!$A:$A,Rates!$B$4,Grades!$B:$B)),0),"")</f>
        <v/>
      </c>
    </row>
    <row r="179" spans="1:31" ht="18.75" customHeight="1" x14ac:dyDescent="0.25">
      <c r="A179" s="15"/>
      <c r="B179" s="12"/>
      <c r="AE179" s="1" t="str">
        <f ca="1">IFERROR(MATCH(A180,OFFSET(Grades!$A$1,MATCH(Rates!$B$4,LIST,0),2,1,SUMIF(Grades!$A:$A,Rates!$B$4,Grades!$B:$B)),0),"")</f>
        <v/>
      </c>
    </row>
    <row r="180" spans="1:31" ht="18.75" customHeight="1" x14ac:dyDescent="0.25">
      <c r="A180" s="15"/>
      <c r="B180" s="12"/>
      <c r="AE180" s="1" t="str">
        <f ca="1">IFERROR(MATCH(A181,OFFSET(Grades!$A$1,MATCH(Rates!$B$4,LIST,0),2,1,SUMIF(Grades!$A:$A,Rates!$B$4,Grades!$B:$B)),0),"")</f>
        <v/>
      </c>
    </row>
    <row r="181" spans="1:31" ht="18.75" customHeight="1" x14ac:dyDescent="0.25">
      <c r="A181" s="15"/>
      <c r="B181" s="12"/>
      <c r="AE181" s="1" t="str">
        <f ca="1">IFERROR(MATCH(A182,OFFSET(Grades!$A$1,MATCH(Rates!$B$4,LIST,0),2,1,SUMIF(Grades!$A:$A,Rates!$B$4,Grades!$B:$B)),0),"")</f>
        <v/>
      </c>
    </row>
    <row r="182" spans="1:31" ht="18.75" customHeight="1" x14ac:dyDescent="0.25">
      <c r="A182" s="15"/>
      <c r="B182" s="12"/>
      <c r="AE182" s="1" t="str">
        <f ca="1">IFERROR(MATCH(A183,OFFSET(Grades!$A$1,MATCH(Rates!$B$4,LIST,0),2,1,SUMIF(Grades!$A:$A,Rates!$B$4,Grades!$B:$B)),0),"")</f>
        <v/>
      </c>
    </row>
    <row r="183" spans="1:31" ht="18.75" customHeight="1" x14ac:dyDescent="0.25">
      <c r="A183" s="15"/>
      <c r="B183" s="12"/>
      <c r="AE183" s="1" t="str">
        <f ca="1">IFERROR(MATCH(A184,OFFSET(Grades!$A$1,MATCH(Rates!$B$4,LIST,0),2,1,SUMIF(Grades!$A:$A,Rates!$B$4,Grades!$B:$B)),0),"")</f>
        <v/>
      </c>
    </row>
    <row r="184" spans="1:31" ht="18.75" customHeight="1" x14ac:dyDescent="0.25">
      <c r="A184" s="15"/>
      <c r="B184" s="12"/>
      <c r="AE184" s="1" t="str">
        <f ca="1">IFERROR(MATCH(A185,OFFSET(Grades!$A$1,MATCH(Rates!$B$4,LIST,0),2,1,SUMIF(Grades!$A:$A,Rates!$B$4,Grades!$B:$B)),0),"")</f>
        <v/>
      </c>
    </row>
    <row r="185" spans="1:31" ht="18.75" customHeight="1" x14ac:dyDescent="0.25">
      <c r="A185" s="15"/>
      <c r="B185" s="12"/>
      <c r="AE185" s="1" t="str">
        <f ca="1">IFERROR(MATCH(A186,OFFSET(Grades!$A$1,MATCH(Rates!$B$4,LIST,0),2,1,SUMIF(Grades!$A:$A,Rates!$B$4,Grades!$B:$B)),0),"")</f>
        <v/>
      </c>
    </row>
    <row r="186" spans="1:31" ht="18.75" customHeight="1" x14ac:dyDescent="0.25">
      <c r="A186" s="15"/>
      <c r="B186" s="12"/>
      <c r="AE186" s="1" t="str">
        <f ca="1">IFERROR(MATCH(A187,OFFSET(Grades!$A$1,MATCH(Rates!$B$4,LIST,0),2,1,SUMIF(Grades!$A:$A,Rates!$B$4,Grades!$B:$B)),0),"")</f>
        <v/>
      </c>
    </row>
    <row r="187" spans="1:31" ht="18.75" customHeight="1" x14ac:dyDescent="0.25">
      <c r="A187" s="15"/>
      <c r="B187" s="12"/>
      <c r="AE187" s="1" t="str">
        <f ca="1">IFERROR(MATCH(A188,OFFSET(Grades!$A$1,MATCH(Rates!$B$4,LIST,0),2,1,SUMIF(Grades!$A:$A,Rates!$B$4,Grades!$B:$B)),0),"")</f>
        <v/>
      </c>
    </row>
    <row r="188" spans="1:31" ht="18.75" customHeight="1" x14ac:dyDescent="0.25">
      <c r="A188" s="15"/>
      <c r="B188" s="12"/>
      <c r="AE188" s="1" t="str">
        <f ca="1">IFERROR(MATCH(A189,OFFSET(Grades!$A$1,MATCH(Rates!$B$4,LIST,0),2,1,SUMIF(Grades!$A:$A,Rates!$B$4,Grades!$B:$B)),0),"")</f>
        <v/>
      </c>
    </row>
    <row r="189" spans="1:31" ht="18.75" customHeight="1" x14ac:dyDescent="0.25">
      <c r="A189" s="15"/>
      <c r="B189" s="12"/>
      <c r="AE189" s="1" t="str">
        <f ca="1">IFERROR(MATCH(A190,OFFSET(Grades!$A$1,MATCH(Rates!$B$4,LIST,0),2,1,SUMIF(Grades!$A:$A,Rates!$B$4,Grades!$B:$B)),0),"")</f>
        <v/>
      </c>
    </row>
    <row r="190" spans="1:31" ht="18.75" customHeight="1" x14ac:dyDescent="0.25">
      <c r="A190" s="15"/>
      <c r="B190" s="12"/>
      <c r="AE190" s="1" t="str">
        <f ca="1">IFERROR(MATCH(A191,OFFSET(Grades!$A$1,MATCH(Rates!$B$4,LIST,0),2,1,SUMIF(Grades!$A:$A,Rates!$B$4,Grades!$B:$B)),0),"")</f>
        <v/>
      </c>
    </row>
    <row r="191" spans="1:31" ht="18.75" customHeight="1" x14ac:dyDescent="0.25">
      <c r="A191" s="15"/>
      <c r="B191" s="12"/>
      <c r="AE191" s="1" t="str">
        <f ca="1">IFERROR(MATCH(A192,OFFSET(Grades!$A$1,MATCH(Rates!$B$4,LIST,0),2,1,SUMIF(Grades!$A:$A,Rates!$B$4,Grades!$B:$B)),0),"")</f>
        <v/>
      </c>
    </row>
    <row r="192" spans="1:31" ht="18.75" customHeight="1" x14ac:dyDescent="0.25">
      <c r="A192" s="15"/>
      <c r="B192" s="12"/>
      <c r="AE192" s="1" t="str">
        <f ca="1">IFERROR(MATCH(A193,OFFSET(Grades!$A$1,MATCH(Rates!$B$4,LIST,0),2,1,SUMIF(Grades!$A:$A,Rates!$B$4,Grades!$B:$B)),0),"")</f>
        <v/>
      </c>
    </row>
    <row r="193" spans="1:31" ht="18.75" customHeight="1" x14ac:dyDescent="0.25">
      <c r="A193" s="15"/>
      <c r="B193" s="12"/>
      <c r="AE193" s="1" t="str">
        <f ca="1">IFERROR(MATCH(A194,OFFSET(Grades!$A$1,MATCH(Rates!$B$4,LIST,0),2,1,SUMIF(Grades!$A:$A,Rates!$B$4,Grades!$B:$B)),0),"")</f>
        <v/>
      </c>
    </row>
    <row r="194" spans="1:31" ht="18.75" customHeight="1" x14ac:dyDescent="0.25">
      <c r="A194" s="15"/>
      <c r="B194" s="12"/>
      <c r="AE194" s="1" t="str">
        <f ca="1">IFERROR(MATCH(A195,OFFSET(Grades!$A$1,MATCH(Rates!$B$4,LIST,0),2,1,SUMIF(Grades!$A:$A,Rates!$B$4,Grades!$B:$B)),0),"")</f>
        <v/>
      </c>
    </row>
    <row r="195" spans="1:31" ht="18.75" customHeight="1" x14ac:dyDescent="0.25">
      <c r="A195" s="15"/>
      <c r="B195" s="12"/>
      <c r="AE195" s="1" t="str">
        <f ca="1">IFERROR(MATCH(A196,OFFSET(Grades!$A$1,MATCH(Rates!$B$4,LIST,0),2,1,SUMIF(Grades!$A:$A,Rates!$B$4,Grades!$B:$B)),0),"")</f>
        <v/>
      </c>
    </row>
    <row r="196" spans="1:31" ht="18.75" customHeight="1" x14ac:dyDescent="0.25">
      <c r="A196" s="15"/>
      <c r="B196" s="12"/>
      <c r="AE196" s="1" t="str">
        <f ca="1">IFERROR(MATCH(A197,OFFSET(Grades!$A$1,MATCH(Rates!$B$4,LIST,0),2,1,SUMIF(Grades!$A:$A,Rates!$B$4,Grades!$B:$B)),0),"")</f>
        <v/>
      </c>
    </row>
    <row r="197" spans="1:31" ht="18.75" customHeight="1" x14ac:dyDescent="0.25">
      <c r="A197" s="15"/>
      <c r="B197" s="12"/>
      <c r="AE197" s="1" t="str">
        <f ca="1">IFERROR(MATCH(A198,OFFSET(Grades!$A$1,MATCH(Rates!$B$4,LIST,0),2,1,SUMIF(Grades!$A:$A,Rates!$B$4,Grades!$B:$B)),0),"")</f>
        <v/>
      </c>
    </row>
    <row r="198" spans="1:31" ht="18.75" customHeight="1" x14ac:dyDescent="0.25">
      <c r="A198" s="15"/>
      <c r="B198" s="12"/>
      <c r="AE198" s="1" t="str">
        <f ca="1">IFERROR(MATCH(A199,OFFSET(Grades!$A$1,MATCH(Rates!$B$4,LIST,0),2,1,SUMIF(Grades!$A:$A,Rates!$B$4,Grades!$B:$B)),0),"")</f>
        <v/>
      </c>
    </row>
    <row r="199" spans="1:31" ht="18.75" customHeight="1" x14ac:dyDescent="0.25">
      <c r="A199" s="15"/>
      <c r="B199" s="12"/>
      <c r="AE199" s="1" t="str">
        <f ca="1">IFERROR(MATCH(A200,OFFSET(Grades!$A$1,MATCH(Rates!$B$4,LIST,0),2,1,SUMIF(Grades!$A:$A,Rates!$B$4,Grades!$B:$B)),0),"")</f>
        <v/>
      </c>
    </row>
    <row r="200" spans="1:31" ht="18.75" customHeight="1" x14ac:dyDescent="0.25">
      <c r="A200" s="15"/>
      <c r="B200" s="12"/>
      <c r="AE200" s="1" t="str">
        <f ca="1">IFERROR(MATCH(A201,OFFSET(Grades!$A$1,MATCH(Rates!$B$4,LIST,0),2,1,SUMIF(Grades!$A:$A,Rates!$B$4,Grades!$B:$B)),0),"")</f>
        <v/>
      </c>
    </row>
    <row r="201" spans="1:31" ht="18.75" customHeight="1" x14ac:dyDescent="0.25">
      <c r="A201" s="15"/>
      <c r="B201" s="12"/>
      <c r="AE201" s="1" t="str">
        <f ca="1">IFERROR(MATCH(A202,OFFSET(Grades!$A$1,MATCH(Rates!$B$4,LIST,0),2,1,SUMIF(Grades!$A:$A,Rates!$B$4,Grades!$B:$B)),0),"")</f>
        <v/>
      </c>
    </row>
    <row r="202" spans="1:31" ht="18.75" customHeight="1" x14ac:dyDescent="0.25">
      <c r="A202" s="15"/>
      <c r="B202" s="12"/>
      <c r="AE202" s="1" t="str">
        <f ca="1">IFERROR(MATCH(A203,OFFSET(Grades!$A$1,MATCH(Rates!$B$4,LIST,0),2,1,SUMIF(Grades!$A:$A,Rates!$B$4,Grades!$B:$B)),0),"")</f>
        <v/>
      </c>
    </row>
    <row r="203" spans="1:31" ht="18.75" customHeight="1" x14ac:dyDescent="0.25">
      <c r="A203" s="15"/>
      <c r="B203" s="12"/>
      <c r="AE203" s="1" t="str">
        <f ca="1">IFERROR(MATCH(A204,OFFSET(Grades!$A$1,MATCH(Rates!$B$4,LIST,0),2,1,SUMIF(Grades!$A:$A,Rates!$B$4,Grades!$B:$B)),0),"")</f>
        <v/>
      </c>
    </row>
    <row r="204" spans="1:31" ht="18.75" customHeight="1" x14ac:dyDescent="0.25">
      <c r="A204" s="15"/>
      <c r="B204" s="12"/>
      <c r="AE204" s="1" t="str">
        <f ca="1">IFERROR(MATCH(A205,OFFSET(Grades!$A$1,MATCH(Rates!$B$4,LIST,0),2,1,SUMIF(Grades!$A:$A,Rates!$B$4,Grades!$B:$B)),0),"")</f>
        <v/>
      </c>
    </row>
    <row r="205" spans="1:31" ht="18.75" customHeight="1" x14ac:dyDescent="0.25">
      <c r="A205" s="15"/>
      <c r="B205" s="12"/>
      <c r="AE205" s="1" t="str">
        <f ca="1">IFERROR(MATCH(A206,OFFSET(Grades!$A$1,MATCH(Rates!$B$4,LIST,0),2,1,SUMIF(Grades!$A:$A,Rates!$B$4,Grades!$B:$B)),0),"")</f>
        <v/>
      </c>
    </row>
    <row r="206" spans="1:31" ht="18.75" customHeight="1" x14ac:dyDescent="0.25">
      <c r="A206" s="15"/>
      <c r="B206" s="12"/>
      <c r="AE206" s="1" t="str">
        <f ca="1">IFERROR(MATCH(A207,OFFSET(Grades!$A$1,MATCH(Rates!$B$4,LIST,0),2,1,SUMIF(Grades!$A:$A,Rates!$B$4,Grades!$B:$B)),0),"")</f>
        <v/>
      </c>
    </row>
    <row r="207" spans="1:31" ht="18.75" customHeight="1" x14ac:dyDescent="0.25">
      <c r="A207" s="15"/>
      <c r="B207" s="12"/>
      <c r="AE207" s="1" t="str">
        <f ca="1">IFERROR(MATCH(A208,OFFSET(Grades!$A$1,MATCH(Rates!$B$4,LIST,0),2,1,SUMIF(Grades!$A:$A,Rates!$B$4,Grades!$B:$B)),0),"")</f>
        <v/>
      </c>
    </row>
    <row r="208" spans="1:31" ht="18.75" customHeight="1" x14ac:dyDescent="0.25">
      <c r="A208" s="15"/>
      <c r="B208" s="12"/>
      <c r="AE208" s="1" t="str">
        <f ca="1">IFERROR(MATCH(A209,OFFSET(Grades!$A$1,MATCH(Rates!$B$4,LIST,0),2,1,SUMIF(Grades!$A:$A,Rates!$B$4,Grades!$B:$B)),0),"")</f>
        <v/>
      </c>
    </row>
    <row r="209" spans="1:31" ht="18.75" customHeight="1" x14ac:dyDescent="0.25">
      <c r="A209" s="15"/>
      <c r="B209" s="12"/>
      <c r="AE209" s="1" t="str">
        <f ca="1">IFERROR(MATCH(A210,OFFSET(Grades!$A$1,MATCH(Rates!$B$4,LIST,0),2,1,SUMIF(Grades!$A:$A,Rates!$B$4,Grades!$B:$B)),0),"")</f>
        <v/>
      </c>
    </row>
    <row r="210" spans="1:31" ht="18.75" customHeight="1" x14ac:dyDescent="0.25">
      <c r="A210" s="15"/>
      <c r="B210" s="12"/>
      <c r="AE210" s="1" t="str">
        <f ca="1">IFERROR(MATCH(A211,OFFSET(Grades!$A$1,MATCH(Rates!$B$4,LIST,0),2,1,SUMIF(Grades!$A:$A,Rates!$B$4,Grades!$B:$B)),0),"")</f>
        <v/>
      </c>
    </row>
    <row r="211" spans="1:31" ht="18.75" customHeight="1" x14ac:dyDescent="0.25">
      <c r="A211" s="15"/>
      <c r="B211" s="12"/>
      <c r="AE211" s="1" t="str">
        <f ca="1">IFERROR(MATCH(A212,OFFSET(Grades!$A$1,MATCH(Rates!$B$4,LIST,0),2,1,SUMIF(Grades!$A:$A,Rates!$B$4,Grades!$B:$B)),0),"")</f>
        <v/>
      </c>
    </row>
    <row r="212" spans="1:31" ht="18.75" customHeight="1" x14ac:dyDescent="0.25">
      <c r="A212" s="15"/>
      <c r="B212" s="12"/>
      <c r="AE212" s="1" t="str">
        <f ca="1">IFERROR(MATCH(A213,OFFSET(Grades!$A$1,MATCH(Rates!$B$4,LIST,0),2,1,SUMIF(Grades!$A:$A,Rates!$B$4,Grades!$B:$B)),0),"")</f>
        <v/>
      </c>
    </row>
    <row r="213" spans="1:31" ht="18.75" customHeight="1" x14ac:dyDescent="0.25">
      <c r="A213" s="15"/>
      <c r="B213" s="12"/>
      <c r="AE213" s="1" t="str">
        <f ca="1">IFERROR(MATCH(A214,OFFSET(Grades!$A$1,MATCH(Rates!$B$4,LIST,0),2,1,SUMIF(Grades!$A:$A,Rates!$B$4,Grades!$B:$B)),0),"")</f>
        <v/>
      </c>
    </row>
    <row r="214" spans="1:31" ht="18.75" customHeight="1" x14ac:dyDescent="0.25">
      <c r="A214" s="15"/>
      <c r="B214" s="12"/>
      <c r="AE214" s="1" t="str">
        <f ca="1">IFERROR(MATCH(A215,OFFSET(Grades!$A$1,MATCH(Rates!$B$4,LIST,0),2,1,SUMIF(Grades!$A:$A,Rates!$B$4,Grades!$B:$B)),0),"")</f>
        <v/>
      </c>
    </row>
    <row r="215" spans="1:31" ht="18.75" customHeight="1" x14ac:dyDescent="0.25">
      <c r="A215" s="15"/>
      <c r="B215" s="12"/>
      <c r="AE215" s="1" t="str">
        <f ca="1">IFERROR(MATCH(A216,OFFSET(Grades!$A$1,MATCH(Rates!$B$4,LIST,0),2,1,SUMIF(Grades!$A:$A,Rates!$B$4,Grades!$B:$B)),0),"")</f>
        <v/>
      </c>
    </row>
    <row r="216" spans="1:31" ht="18.75" customHeight="1" x14ac:dyDescent="0.25">
      <c r="A216" s="15"/>
      <c r="B216" s="12"/>
      <c r="AE216" s="1" t="str">
        <f ca="1">IFERROR(MATCH(A217,OFFSET(Grades!$A$1,MATCH(Rates!$B$4,LIST,0),2,1,SUMIF(Grades!$A:$A,Rates!$B$4,Grades!$B:$B)),0),"")</f>
        <v/>
      </c>
    </row>
    <row r="217" spans="1:31" ht="18.75" customHeight="1" x14ac:dyDescent="0.25">
      <c r="A217" s="15"/>
      <c r="B217" s="12"/>
      <c r="AE217" s="1" t="str">
        <f ca="1">IFERROR(MATCH(A218,OFFSET(Grades!$A$1,MATCH(Rates!$B$4,LIST,0),2,1,SUMIF(Grades!$A:$A,Rates!$B$4,Grades!$B:$B)),0),"")</f>
        <v/>
      </c>
    </row>
    <row r="218" spans="1:31" ht="18.75" customHeight="1" x14ac:dyDescent="0.25">
      <c r="A218" s="15"/>
      <c r="B218" s="12"/>
      <c r="AE218" s="1" t="str">
        <f ca="1">IFERROR(MATCH(A219,OFFSET(Grades!$A$1,MATCH(Rates!$B$4,LIST,0),2,1,SUMIF(Grades!$A:$A,Rates!$B$4,Grades!$B:$B)),0),"")</f>
        <v/>
      </c>
    </row>
    <row r="219" spans="1:31" ht="18.75" customHeight="1" x14ac:dyDescent="0.25">
      <c r="A219" s="15"/>
      <c r="B219" s="12"/>
      <c r="AE219" s="1" t="str">
        <f ca="1">IFERROR(MATCH(A220,OFFSET(Grades!$A$1,MATCH(Rates!$B$4,LIST,0),2,1,SUMIF(Grades!$A:$A,Rates!$B$4,Grades!$B:$B)),0),"")</f>
        <v/>
      </c>
    </row>
    <row r="220" spans="1:31" ht="18.75" customHeight="1" x14ac:dyDescent="0.25">
      <c r="A220" s="15"/>
      <c r="B220" s="12"/>
      <c r="AE220" s="1" t="str">
        <f ca="1">IFERROR(MATCH(A221,OFFSET(Grades!$A$1,MATCH(Rates!$B$4,LIST,0),2,1,SUMIF(Grades!$A:$A,Rates!$B$4,Grades!$B:$B)),0),"")</f>
        <v/>
      </c>
    </row>
    <row r="221" spans="1:31" ht="18.75" customHeight="1" x14ac:dyDescent="0.25">
      <c r="A221" s="15"/>
      <c r="B221" s="12"/>
      <c r="AE221" s="1" t="str">
        <f ca="1">IFERROR(MATCH(A222,OFFSET(Grades!$A$1,MATCH(Rates!$B$4,LIST,0),2,1,SUMIF(Grades!$A:$A,Rates!$B$4,Grades!$B:$B)),0),"")</f>
        <v/>
      </c>
    </row>
    <row r="222" spans="1:31" ht="18.75" customHeight="1" x14ac:dyDescent="0.25">
      <c r="A222" s="15"/>
      <c r="B222" s="12"/>
      <c r="AE222" s="1" t="str">
        <f ca="1">IFERROR(MATCH(A223,OFFSET(Grades!$A$1,MATCH(Rates!$B$4,LIST,0),2,1,SUMIF(Grades!$A:$A,Rates!$B$4,Grades!$B:$B)),0),"")</f>
        <v/>
      </c>
    </row>
    <row r="223" spans="1:31" ht="18.75" customHeight="1" x14ac:dyDescent="0.25">
      <c r="A223" s="15"/>
      <c r="B223" s="12"/>
      <c r="AE223" s="1" t="str">
        <f ca="1">IFERROR(MATCH(A224,OFFSET(Grades!$A$1,MATCH(Rates!$B$4,LIST,0),2,1,SUMIF(Grades!$A:$A,Rates!$B$4,Grades!$B:$B)),0),"")</f>
        <v/>
      </c>
    </row>
    <row r="224" spans="1:31" ht="18.75" customHeight="1" x14ac:dyDescent="0.25">
      <c r="A224" s="15"/>
      <c r="B224" s="12"/>
      <c r="AE224" s="1" t="str">
        <f ca="1">IFERROR(MATCH(A225,OFFSET(Grades!$A$1,MATCH(Rates!$B$4,LIST,0),2,1,SUMIF(Grades!$A:$A,Rates!$B$4,Grades!$B:$B)),0),"")</f>
        <v/>
      </c>
    </row>
    <row r="225" spans="1:31" ht="18.75" customHeight="1" x14ac:dyDescent="0.25">
      <c r="A225" s="15"/>
      <c r="B225" s="12"/>
      <c r="AE225" s="1" t="str">
        <f ca="1">IFERROR(MATCH(A226,OFFSET(Grades!$A$1,MATCH(Rates!$B$4,LIST,0),2,1,SUMIF(Grades!$A:$A,Rates!$B$4,Grades!$B:$B)),0),"")</f>
        <v/>
      </c>
    </row>
    <row r="226" spans="1:31" ht="18.75" customHeight="1" x14ac:dyDescent="0.25">
      <c r="A226" s="15"/>
      <c r="B226" s="12"/>
      <c r="AE226" s="1" t="str">
        <f ca="1">IFERROR(MATCH(A227,OFFSET(Grades!$A$1,MATCH(Rates!$B$4,LIST,0),2,1,SUMIF(Grades!$A:$A,Rates!$B$4,Grades!$B:$B)),0),"")</f>
        <v/>
      </c>
    </row>
    <row r="227" spans="1:31" ht="18.75" customHeight="1" x14ac:dyDescent="0.25">
      <c r="A227" s="15"/>
      <c r="B227" s="12"/>
      <c r="AE227" s="1" t="str">
        <f ca="1">IFERROR(MATCH(A228,OFFSET(Grades!$A$1,MATCH(Rates!$B$4,LIST,0),2,1,SUMIF(Grades!$A:$A,Rates!$B$4,Grades!$B:$B)),0),"")</f>
        <v/>
      </c>
    </row>
    <row r="228" spans="1:31" ht="18.75" customHeight="1" x14ac:dyDescent="0.25">
      <c r="A228" s="15"/>
      <c r="B228" s="12"/>
      <c r="AE228" s="1" t="str">
        <f ca="1">IFERROR(MATCH(A229,OFFSET(Grades!$A$1,MATCH(Rates!$B$4,LIST,0),2,1,SUMIF(Grades!$A:$A,Rates!$B$4,Grades!$B:$B)),0),"")</f>
        <v/>
      </c>
    </row>
    <row r="229" spans="1:31" ht="18.75" customHeight="1" x14ac:dyDescent="0.25">
      <c r="A229" s="15"/>
      <c r="B229" s="12"/>
      <c r="AE229" s="1" t="str">
        <f ca="1">IFERROR(MATCH(A230,OFFSET(Grades!$A$1,MATCH(Rates!$B$4,LIST,0),2,1,SUMIF(Grades!$A:$A,Rates!$B$4,Grades!$B:$B)),0),"")</f>
        <v/>
      </c>
    </row>
    <row r="230" spans="1:31" ht="18.75" customHeight="1" x14ac:dyDescent="0.25">
      <c r="A230" s="15"/>
      <c r="B230" s="12"/>
      <c r="AE230" s="1" t="str">
        <f ca="1">IFERROR(MATCH(A231,OFFSET(Grades!$A$1,MATCH(Rates!$B$4,LIST,0),2,1,SUMIF(Grades!$A:$A,Rates!$B$4,Grades!$B:$B)),0),"")</f>
        <v/>
      </c>
    </row>
    <row r="231" spans="1:31" ht="18.75" customHeight="1" x14ac:dyDescent="0.25">
      <c r="A231" s="15"/>
      <c r="B231" s="12"/>
      <c r="AE231" s="1" t="str">
        <f ca="1">IFERROR(MATCH(A232,OFFSET(Grades!$A$1,MATCH(Rates!$B$4,LIST,0),2,1,SUMIF(Grades!$A:$A,Rates!$B$4,Grades!$B:$B)),0),"")</f>
        <v/>
      </c>
    </row>
    <row r="232" spans="1:31" ht="18.75" customHeight="1" x14ac:dyDescent="0.25">
      <c r="A232" s="15"/>
      <c r="B232" s="12"/>
      <c r="AE232" s="1" t="str">
        <f ca="1">IFERROR(MATCH(A233,OFFSET(Grades!$A$1,MATCH(Rates!$B$4,LIST,0),2,1,SUMIF(Grades!$A:$A,Rates!$B$4,Grades!$B:$B)),0),"")</f>
        <v/>
      </c>
    </row>
    <row r="233" spans="1:31" ht="18.75" customHeight="1" x14ac:dyDescent="0.25">
      <c r="A233" s="15"/>
      <c r="B233" s="12"/>
      <c r="AE233" s="1" t="str">
        <f ca="1">IFERROR(MATCH(A234,OFFSET(Grades!$A$1,MATCH(Rates!$B$4,LIST,0),2,1,SUMIF(Grades!$A:$A,Rates!$B$4,Grades!$B:$B)),0),"")</f>
        <v/>
      </c>
    </row>
    <row r="234" spans="1:31" ht="18.75" customHeight="1" x14ac:dyDescent="0.25">
      <c r="A234" s="15"/>
      <c r="B234" s="12"/>
      <c r="AE234" s="1" t="str">
        <f ca="1">IFERROR(MATCH(A235,OFFSET(Grades!$A$1,MATCH(Rates!$B$4,LIST,0),2,1,SUMIF(Grades!$A:$A,Rates!$B$4,Grades!$B:$B)),0),"")</f>
        <v/>
      </c>
    </row>
    <row r="235" spans="1:31" ht="18.75" customHeight="1" x14ac:dyDescent="0.25">
      <c r="A235" s="15"/>
      <c r="B235" s="12"/>
      <c r="AE235" s="1" t="str">
        <f ca="1">IFERROR(MATCH(A236,OFFSET(Grades!$A$1,MATCH(Rates!$B$4,LIST,0),2,1,SUMIF(Grades!$A:$A,Rates!$B$4,Grades!$B:$B)),0),"")</f>
        <v/>
      </c>
    </row>
    <row r="236" spans="1:31" ht="18.75" customHeight="1" x14ac:dyDescent="0.25">
      <c r="A236" s="15"/>
      <c r="B236" s="12"/>
      <c r="AE236" s="1" t="str">
        <f ca="1">IFERROR(MATCH(A237,OFFSET(Grades!$A$1,MATCH(Rates!$B$4,LIST,0),2,1,SUMIF(Grades!$A:$A,Rates!$B$4,Grades!$B:$B)),0),"")</f>
        <v/>
      </c>
    </row>
    <row r="237" spans="1:31" ht="18.75" customHeight="1" x14ac:dyDescent="0.25">
      <c r="A237" s="15"/>
      <c r="B237" s="12"/>
      <c r="AE237" s="1" t="str">
        <f ca="1">IFERROR(MATCH(A238,OFFSET(Grades!$A$1,MATCH(Rates!$B$4,LIST,0),2,1,SUMIF(Grades!$A:$A,Rates!$B$4,Grades!$B:$B)),0),"")</f>
        <v/>
      </c>
    </row>
    <row r="238" spans="1:31" ht="18.75" customHeight="1" x14ac:dyDescent="0.25">
      <c r="A238" s="15"/>
      <c r="B238" s="12"/>
      <c r="AE238" s="1" t="str">
        <f ca="1">IFERROR(MATCH(A239,OFFSET(Grades!$A$1,MATCH(Rates!$B$4,LIST,0),2,1,SUMIF(Grades!$A:$A,Rates!$B$4,Grades!$B:$B)),0),"")</f>
        <v/>
      </c>
    </row>
    <row r="239" spans="1:31" ht="18.75" customHeight="1" x14ac:dyDescent="0.25">
      <c r="A239" s="15"/>
      <c r="B239" s="12"/>
      <c r="AE239" s="1" t="str">
        <f ca="1">IFERROR(MATCH(A240,OFFSET(Grades!$A$1,MATCH(Rates!$B$4,LIST,0),2,1,SUMIF(Grades!$A:$A,Rates!$B$4,Grades!$B:$B)),0),"")</f>
        <v/>
      </c>
    </row>
    <row r="240" spans="1:31" ht="18.75" customHeight="1" x14ac:dyDescent="0.25">
      <c r="A240" s="15"/>
      <c r="B240" s="12"/>
      <c r="AE240" s="1" t="str">
        <f ca="1">IFERROR(MATCH(A241,OFFSET(Grades!$A$1,MATCH(Rates!$B$4,LIST,0),2,1,SUMIF(Grades!$A:$A,Rates!$B$4,Grades!$B:$B)),0),"")</f>
        <v/>
      </c>
    </row>
    <row r="241" spans="1:31" ht="18.75" customHeight="1" x14ac:dyDescent="0.25">
      <c r="A241" s="15"/>
      <c r="B241" s="12"/>
      <c r="AE241" s="1" t="str">
        <f ca="1">IFERROR(MATCH(A242,OFFSET(Grades!$A$1,MATCH(Rates!$B$4,LIST,0),2,1,SUMIF(Grades!$A:$A,Rates!$B$4,Grades!$B:$B)),0),"")</f>
        <v/>
      </c>
    </row>
    <row r="242" spans="1:31" ht="18.75" customHeight="1" x14ac:dyDescent="0.25">
      <c r="A242" s="15"/>
      <c r="B242" s="12"/>
      <c r="AE242" s="1" t="str">
        <f ca="1">IFERROR(MATCH(A243,OFFSET(Grades!$A$1,MATCH(Rates!$B$4,LIST,0),2,1,SUMIF(Grades!$A:$A,Rates!$B$4,Grades!$B:$B)),0),"")</f>
        <v/>
      </c>
    </row>
    <row r="243" spans="1:31" ht="18.75" customHeight="1" x14ac:dyDescent="0.25">
      <c r="A243" s="15"/>
      <c r="B243" s="12"/>
      <c r="AE243" s="1" t="str">
        <f ca="1">IFERROR(MATCH(A244,OFFSET(Grades!$A$1,MATCH(Rates!$B$4,LIST,0),2,1,SUMIF(Grades!$A:$A,Rates!$B$4,Grades!$B:$B)),0),"")</f>
        <v/>
      </c>
    </row>
    <row r="244" spans="1:31" ht="18.75" customHeight="1" x14ac:dyDescent="0.25">
      <c r="A244" s="15"/>
      <c r="B244" s="12"/>
      <c r="AE244" s="1" t="str">
        <f ca="1">IFERROR(MATCH(A245,OFFSET(Grades!$A$1,MATCH(Rates!$B$4,LIST,0),2,1,SUMIF(Grades!$A:$A,Rates!$B$4,Grades!$B:$B)),0),"")</f>
        <v/>
      </c>
    </row>
    <row r="245" spans="1:31" ht="18.75" customHeight="1" x14ac:dyDescent="0.25">
      <c r="A245" s="15"/>
      <c r="B245" s="12"/>
      <c r="AE245" s="1" t="str">
        <f ca="1">IFERROR(MATCH(A246,OFFSET(Grades!$A$1,MATCH(Rates!$B$4,LIST,0),2,1,SUMIF(Grades!$A:$A,Rates!$B$4,Grades!$B:$B)),0),"")</f>
        <v/>
      </c>
    </row>
    <row r="246" spans="1:31" ht="18.75" customHeight="1" x14ac:dyDescent="0.25">
      <c r="A246" s="15"/>
      <c r="B246" s="12"/>
      <c r="AE246" s="1" t="str">
        <f ca="1">IFERROR(MATCH(A247,OFFSET(Grades!$A$1,MATCH(Rates!$B$4,LIST,0),2,1,SUMIF(Grades!$A:$A,Rates!$B$4,Grades!$B:$B)),0),"")</f>
        <v/>
      </c>
    </row>
    <row r="247" spans="1:31" ht="18.75" customHeight="1" x14ac:dyDescent="0.25">
      <c r="A247" s="15"/>
      <c r="B247" s="12"/>
      <c r="AE247" s="1" t="str">
        <f ca="1">IFERROR(MATCH(A248,OFFSET(Grades!$A$1,MATCH(Rates!$B$4,LIST,0),2,1,SUMIF(Grades!$A:$A,Rates!$B$4,Grades!$B:$B)),0),"")</f>
        <v/>
      </c>
    </row>
    <row r="248" spans="1:31" ht="18.75" customHeight="1" x14ac:dyDescent="0.25">
      <c r="A248" s="15"/>
      <c r="B248" s="12"/>
      <c r="AE248" s="1" t="str">
        <f ca="1">IFERROR(MATCH(A249,OFFSET(Grades!$A$1,MATCH(Rates!$B$4,LIST,0),2,1,SUMIF(Grades!$A:$A,Rates!$B$4,Grades!$B:$B)),0),"")</f>
        <v/>
      </c>
    </row>
    <row r="249" spans="1:31" ht="18.75" customHeight="1" x14ac:dyDescent="0.25">
      <c r="A249" s="15"/>
      <c r="B249" s="12"/>
      <c r="AE249" s="1" t="str">
        <f ca="1">IFERROR(MATCH(A250,OFFSET(Grades!$A$1,MATCH(Rates!$B$4,LIST,0),2,1,SUMIF(Grades!$A:$A,Rates!$B$4,Grades!$B:$B)),0),"")</f>
        <v/>
      </c>
    </row>
    <row r="250" spans="1:31" ht="18.75" customHeight="1" x14ac:dyDescent="0.25">
      <c r="A250" s="15"/>
      <c r="B250" s="12"/>
      <c r="AE250" s="1" t="str">
        <f ca="1">IFERROR(MATCH(A251,OFFSET(Grades!$A$1,MATCH(Rates!$B$4,LIST,0),2,1,SUMIF(Grades!$A:$A,Rates!$B$4,Grades!$B:$B)),0),"")</f>
        <v/>
      </c>
    </row>
    <row r="251" spans="1:31" ht="18.75" customHeight="1" x14ac:dyDescent="0.25">
      <c r="A251" s="15"/>
      <c r="B251" s="12"/>
      <c r="AE251" s="1" t="str">
        <f ca="1">IFERROR(MATCH(A252,OFFSET(Grades!$A$1,MATCH(Rates!$B$4,LIST,0),2,1,SUMIF(Grades!$A:$A,Rates!$B$4,Grades!$B:$B)),0),"")</f>
        <v/>
      </c>
    </row>
    <row r="252" spans="1:31" ht="18.75" customHeight="1" x14ac:dyDescent="0.25">
      <c r="A252" s="15"/>
      <c r="B252" s="12"/>
      <c r="AE252" s="1" t="str">
        <f ca="1">IFERROR(MATCH(A253,OFFSET(Grades!$A$1,MATCH(Rates!$B$4,LIST,0),2,1,SUMIF(Grades!$A:$A,Rates!$B$4,Grades!$B:$B)),0),"")</f>
        <v/>
      </c>
    </row>
    <row r="253" spans="1:31" ht="18.75" customHeight="1" x14ac:dyDescent="0.25">
      <c r="A253" s="15"/>
      <c r="B253" s="12"/>
      <c r="AE253" s="1" t="str">
        <f ca="1">IFERROR(MATCH(A254,OFFSET(Grades!$A$1,MATCH(Rates!$B$4,LIST,0),2,1,SUMIF(Grades!$A:$A,Rates!$B$4,Grades!$B:$B)),0),"")</f>
        <v/>
      </c>
    </row>
    <row r="254" spans="1:31" ht="18.75" customHeight="1" x14ac:dyDescent="0.25">
      <c r="A254" s="15"/>
      <c r="B254" s="12"/>
      <c r="AE254" s="1" t="str">
        <f ca="1">IFERROR(MATCH(A255,OFFSET(Grades!$A$1,MATCH(Rates!$B$4,LIST,0),2,1,SUMIF(Grades!$A:$A,Rates!$B$4,Grades!$B:$B)),0),"")</f>
        <v/>
      </c>
    </row>
    <row r="255" spans="1:31" ht="18.75" customHeight="1" x14ac:dyDescent="0.25">
      <c r="A255" s="15"/>
      <c r="B255" s="12"/>
      <c r="AE255" s="1" t="str">
        <f ca="1">IFERROR(MATCH(A256,OFFSET(Grades!$A$1,MATCH(Rates!$B$4,LIST,0),2,1,SUMIF(Grades!$A:$A,Rates!$B$4,Grades!$B:$B)),0),"")</f>
        <v/>
      </c>
    </row>
    <row r="256" spans="1:31" ht="18.75" customHeight="1" x14ac:dyDescent="0.25">
      <c r="A256" s="15"/>
      <c r="B256" s="12"/>
      <c r="AE256" s="1" t="str">
        <f ca="1">IFERROR(MATCH(A257,OFFSET(Grades!$A$1,MATCH(Rates!$B$4,LIST,0),2,1,SUMIF(Grades!$A:$A,Rates!$B$4,Grades!$B:$B)),0),"")</f>
        <v/>
      </c>
    </row>
    <row r="257" spans="1:31" ht="18.75" customHeight="1" x14ac:dyDescent="0.25">
      <c r="A257" s="15"/>
      <c r="B257" s="12"/>
      <c r="AE257" s="1" t="str">
        <f ca="1">IFERROR(MATCH(A258,OFFSET(Grades!$A$1,MATCH(Rates!$B$4,LIST,0),2,1,SUMIF(Grades!$A:$A,Rates!$B$4,Grades!$B:$B)),0),"")</f>
        <v/>
      </c>
    </row>
    <row r="258" spans="1:31" ht="18.75" customHeight="1" x14ac:dyDescent="0.25">
      <c r="A258" s="15"/>
      <c r="B258" s="12"/>
      <c r="AE258" s="1" t="str">
        <f ca="1">IFERROR(MATCH(A259,OFFSET(Grades!$A$1,MATCH(Rates!$B$4,LIST,0),2,1,SUMIF(Grades!$A:$A,Rates!$B$4,Grades!$B:$B)),0),"")</f>
        <v/>
      </c>
    </row>
    <row r="259" spans="1:31" ht="18.75" customHeight="1" x14ac:dyDescent="0.25">
      <c r="A259" s="15"/>
      <c r="B259" s="12"/>
      <c r="AE259" s="1" t="str">
        <f ca="1">IFERROR(MATCH(A260,OFFSET(Grades!$A$1,MATCH(Rates!$B$4,LIST,0),2,1,SUMIF(Grades!$A:$A,Rates!$B$4,Grades!$B:$B)),0),"")</f>
        <v/>
      </c>
    </row>
    <row r="260" spans="1:31" ht="18.75" customHeight="1" x14ac:dyDescent="0.25">
      <c r="A260" s="15"/>
      <c r="B260" s="12"/>
      <c r="AE260" s="1" t="str">
        <f ca="1">IFERROR(MATCH(A261,OFFSET(Grades!$A$1,MATCH(Rates!$B$4,LIST,0),2,1,SUMIF(Grades!$A:$A,Rates!$B$4,Grades!$B:$B)),0),"")</f>
        <v/>
      </c>
    </row>
    <row r="261" spans="1:31" ht="18.75" customHeight="1" x14ac:dyDescent="0.25">
      <c r="A261" s="15"/>
      <c r="B261" s="12"/>
      <c r="AE261" s="1" t="str">
        <f ca="1">IFERROR(MATCH(A262,OFFSET(Grades!$A$1,MATCH(Rates!$B$4,LIST,0),2,1,SUMIF(Grades!$A:$A,Rates!$B$4,Grades!$B:$B)),0),"")</f>
        <v/>
      </c>
    </row>
    <row r="262" spans="1:31" ht="18.75" customHeight="1" x14ac:dyDescent="0.25">
      <c r="A262" s="15"/>
      <c r="B262" s="12"/>
      <c r="AE262" s="1" t="str">
        <f ca="1">IFERROR(MATCH(A263,OFFSET(Grades!$A$1,MATCH(Rates!$B$4,LIST,0),2,1,SUMIF(Grades!$A:$A,Rates!$B$4,Grades!$B:$B)),0),"")</f>
        <v/>
      </c>
    </row>
    <row r="263" spans="1:31" ht="18.75" customHeight="1" x14ac:dyDescent="0.25">
      <c r="A263" s="15"/>
      <c r="B263" s="12"/>
      <c r="AE263" s="1" t="str">
        <f ca="1">IFERROR(MATCH(A264,OFFSET(Grades!$A$1,MATCH(Rates!$B$4,LIST,0),2,1,SUMIF(Grades!$A:$A,Rates!$B$4,Grades!$B:$B)),0),"")</f>
        <v/>
      </c>
    </row>
    <row r="264" spans="1:31" ht="18.75" customHeight="1" x14ac:dyDescent="0.25">
      <c r="A264" s="15"/>
      <c r="B264" s="12"/>
      <c r="AE264" s="1" t="str">
        <f ca="1">IFERROR(MATCH(A265,OFFSET(Grades!$A$1,MATCH(Rates!$B$4,LIST,0),2,1,SUMIF(Grades!$A:$A,Rates!$B$4,Grades!$B:$B)),0),"")</f>
        <v/>
      </c>
    </row>
    <row r="265" spans="1:31" ht="18.75" customHeight="1" x14ac:dyDescent="0.25">
      <c r="A265" s="15"/>
      <c r="B265" s="12"/>
      <c r="AE265" s="1" t="str">
        <f ca="1">IFERROR(MATCH(A266,OFFSET(Grades!$A$1,MATCH(Rates!$B$4,LIST,0),2,1,SUMIF(Grades!$A:$A,Rates!$B$4,Grades!$B:$B)),0),"")</f>
        <v/>
      </c>
    </row>
    <row r="266" spans="1:31" ht="18.75" customHeight="1" x14ac:dyDescent="0.25">
      <c r="A266" s="15"/>
      <c r="B266" s="12"/>
      <c r="AE266" s="1" t="str">
        <f ca="1">IFERROR(MATCH(A267,OFFSET(Grades!$A$1,MATCH(Rates!$B$4,LIST,0),2,1,SUMIF(Grades!$A:$A,Rates!$B$4,Grades!$B:$B)),0),"")</f>
        <v/>
      </c>
    </row>
    <row r="267" spans="1:31" ht="18.75" customHeight="1" x14ac:dyDescent="0.25">
      <c r="A267" s="15"/>
      <c r="B267" s="12"/>
      <c r="AE267" s="1" t="str">
        <f ca="1">IFERROR(MATCH(A268,OFFSET(Grades!$A$1,MATCH(Rates!$B$4,LIST,0),2,1,SUMIF(Grades!$A:$A,Rates!$B$4,Grades!$B:$B)),0),"")</f>
        <v/>
      </c>
    </row>
    <row r="268" spans="1:31" ht="18.75" customHeight="1" x14ac:dyDescent="0.25">
      <c r="A268" s="15"/>
      <c r="B268" s="12"/>
      <c r="AE268" s="1" t="str">
        <f ca="1">IFERROR(MATCH(A269,OFFSET(Grades!$A$1,MATCH(Rates!$B$4,LIST,0),2,1,SUMIF(Grades!$A:$A,Rates!$B$4,Grades!$B:$B)),0),"")</f>
        <v/>
      </c>
    </row>
    <row r="269" spans="1:31" ht="18.75" customHeight="1" x14ac:dyDescent="0.25">
      <c r="A269" s="15"/>
      <c r="B269" s="12"/>
      <c r="AE269" s="1" t="str">
        <f ca="1">IFERROR(MATCH(A270,OFFSET(Grades!$A$1,MATCH(Rates!$B$4,LIST,0),2,1,SUMIF(Grades!$A:$A,Rates!$B$4,Grades!$B:$B)),0),"")</f>
        <v/>
      </c>
    </row>
    <row r="270" spans="1:31" ht="18.75" customHeight="1" x14ac:dyDescent="0.25">
      <c r="A270" s="15"/>
      <c r="B270" s="12"/>
      <c r="AE270" s="1" t="str">
        <f ca="1">IFERROR(MATCH(A271,OFFSET(Grades!$A$1,MATCH(Rates!$B$4,LIST,0),2,1,SUMIF(Grades!$A:$A,Rates!$B$4,Grades!$B:$B)),0),"")</f>
        <v/>
      </c>
    </row>
    <row r="271" spans="1:31" ht="18.75" customHeight="1" x14ac:dyDescent="0.25">
      <c r="A271" s="15"/>
      <c r="B271" s="12"/>
      <c r="AE271" s="1" t="str">
        <f ca="1">IFERROR(MATCH(A272,OFFSET(Grades!$A$1,MATCH(Rates!$B$4,LIST,0),2,1,SUMIF(Grades!$A:$A,Rates!$B$4,Grades!$B:$B)),0),"")</f>
        <v/>
      </c>
    </row>
    <row r="272" spans="1:31" ht="18.75" customHeight="1" x14ac:dyDescent="0.25">
      <c r="A272" s="15"/>
      <c r="B272" s="12"/>
      <c r="AE272" s="1" t="str">
        <f ca="1">IFERROR(MATCH(A273,OFFSET(Grades!$A$1,MATCH(Rates!$B$4,LIST,0),2,1,SUMIF(Grades!$A:$A,Rates!$B$4,Grades!$B:$B)),0),"")</f>
        <v/>
      </c>
    </row>
    <row r="273" spans="1:31" ht="18.75" customHeight="1" x14ac:dyDescent="0.25">
      <c r="A273" s="15"/>
      <c r="B273" s="12"/>
      <c r="AE273" s="1" t="str">
        <f ca="1">IFERROR(MATCH(A274,OFFSET(Grades!$A$1,MATCH(Rates!$B$4,LIST,0),2,1,SUMIF(Grades!$A:$A,Rates!$B$4,Grades!$B:$B)),0),"")</f>
        <v/>
      </c>
    </row>
    <row r="274" spans="1:31" ht="18.75" customHeight="1" x14ac:dyDescent="0.25">
      <c r="A274" s="15"/>
      <c r="B274" s="12"/>
      <c r="AE274" s="1" t="str">
        <f ca="1">IFERROR(MATCH(A275,OFFSET(Grades!$A$1,MATCH(Rates!$B$4,LIST,0),2,1,SUMIF(Grades!$A:$A,Rates!$B$4,Grades!$B:$B)),0),"")</f>
        <v/>
      </c>
    </row>
    <row r="275" spans="1:31" ht="18.75" customHeight="1" x14ac:dyDescent="0.25">
      <c r="A275" s="15"/>
      <c r="B275" s="12"/>
      <c r="AE275" s="1" t="str">
        <f ca="1">IFERROR(MATCH(A276,OFFSET(Grades!$A$1,MATCH(Rates!$B$4,LIST,0),2,1,SUMIF(Grades!$A:$A,Rates!$B$4,Grades!$B:$B)),0),"")</f>
        <v/>
      </c>
    </row>
    <row r="276" spans="1:31" ht="18.75" customHeight="1" x14ac:dyDescent="0.25">
      <c r="A276" s="15"/>
      <c r="B276" s="12"/>
      <c r="AE276" s="1" t="str">
        <f ca="1">IFERROR(MATCH(A277,OFFSET(Grades!$A$1,MATCH(Rates!$B$4,LIST,0),2,1,SUMIF(Grades!$A:$A,Rates!$B$4,Grades!$B:$B)),0),"")</f>
        <v/>
      </c>
    </row>
    <row r="277" spans="1:31" ht="18.75" customHeight="1" x14ac:dyDescent="0.25">
      <c r="A277" s="15"/>
      <c r="B277" s="12"/>
      <c r="AE277" s="1" t="str">
        <f ca="1">IFERROR(MATCH(A278,OFFSET(Grades!$A$1,MATCH(Rates!$B$4,LIST,0),2,1,SUMIF(Grades!$A:$A,Rates!$B$4,Grades!$B:$B)),0),"")</f>
        <v/>
      </c>
    </row>
    <row r="278" spans="1:31" ht="18.75" customHeight="1" x14ac:dyDescent="0.25">
      <c r="A278" s="15"/>
      <c r="B278" s="12"/>
      <c r="AE278" s="1" t="str">
        <f ca="1">IFERROR(MATCH(A279,OFFSET(Grades!$A$1,MATCH(Rates!$B$4,LIST,0),2,1,SUMIF(Grades!$A:$A,Rates!$B$4,Grades!$B:$B)),0),"")</f>
        <v/>
      </c>
    </row>
    <row r="279" spans="1:31" ht="18.75" customHeight="1" x14ac:dyDescent="0.25">
      <c r="A279" s="15"/>
      <c r="B279" s="12"/>
      <c r="AE279" s="1" t="str">
        <f ca="1">IFERROR(MATCH(A280,OFFSET(Grades!$A$1,MATCH(Rates!$B$4,LIST,0),2,1,SUMIF(Grades!$A:$A,Rates!$B$4,Grades!$B:$B)),0),"")</f>
        <v/>
      </c>
    </row>
    <row r="280" spans="1:31" ht="18.75" customHeight="1" x14ac:dyDescent="0.25">
      <c r="A280" s="15"/>
      <c r="B280" s="12"/>
      <c r="AE280" s="1" t="str">
        <f ca="1">IFERROR(MATCH(A281,OFFSET(Grades!$A$1,MATCH(Rates!$B$4,LIST,0),2,1,SUMIF(Grades!$A:$A,Rates!$B$4,Grades!$B:$B)),0),"")</f>
        <v/>
      </c>
    </row>
    <row r="281" spans="1:31" x14ac:dyDescent="0.25">
      <c r="AE281" s="1" t="str">
        <f ca="1">IFERROR(MATCH(A282,OFFSET(Grades!$A$1,MATCH(Rates!$B$4,LIST,0),2,1,SUMIF(Grades!$A:$A,Rates!$B$4,Grades!$B:$B)),0),"")</f>
        <v/>
      </c>
    </row>
    <row r="282" spans="1:31" x14ac:dyDescent="0.25">
      <c r="AE282" s="1" t="str">
        <f ca="1">IFERROR(MATCH(A283,OFFSET(Grades!$A$1,MATCH(Rates!$B$4,LIST,0),2,1,SUMIF(Grades!$A:$A,Rates!$B$4,Grades!$B:$B)),0),"")</f>
        <v/>
      </c>
    </row>
    <row r="283" spans="1:31" x14ac:dyDescent="0.25">
      <c r="AE283" s="1" t="str">
        <f ca="1">IFERROR(MATCH(A284,OFFSET(Grades!$A$1,MATCH(Rates!$B$4,LIST,0),2,1,SUMIF(Grades!$A:$A,Rates!$B$4,Grades!$B:$B)),0),"")</f>
        <v/>
      </c>
    </row>
    <row r="284" spans="1:31" x14ac:dyDescent="0.25">
      <c r="AE284" s="1" t="str">
        <f ca="1">IFERROR(MATCH(A285,OFFSET(Grades!$A$1,MATCH(Rates!$B$4,LIST,0),2,1,SUMIF(Grades!$A:$A,Rates!$B$4,Grades!$B:$B)),0),"")</f>
        <v/>
      </c>
    </row>
    <row r="285" spans="1:31" x14ac:dyDescent="0.25">
      <c r="AE285" s="1" t="str">
        <f ca="1">IFERROR(MATCH(A286,OFFSET(Grades!$A$1,MATCH(Rates!$B$4,LIST,0),2,1,SUMIF(Grades!$A:$A,Rates!$B$4,Grades!$B:$B)),0),"")</f>
        <v/>
      </c>
    </row>
  </sheetData>
  <printOptions horizontalCentered="1"/>
  <pageMargins left="0.23622047244094491" right="0.23622047244094491" top="0.55118110236220474" bottom="0.3937007874015748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78"/>
  <sheetViews>
    <sheetView workbookViewId="0">
      <pane xSplit="2" ySplit="1" topLeftCell="C2" activePane="bottomRight" state="frozenSplit"/>
      <selection activeCell="BI6" sqref="BI6"/>
      <selection pane="topRight" activeCell="BI6" sqref="BI6"/>
      <selection pane="bottomLeft" activeCell="BI6" sqref="BI6"/>
      <selection pane="bottomRight" activeCell="A31" sqref="A31"/>
    </sheetView>
  </sheetViews>
  <sheetFormatPr defaultColWidth="9.140625" defaultRowHeight="15" x14ac:dyDescent="0.25"/>
  <cols>
    <col min="1" max="1" width="89.5703125" style="21" customWidth="1"/>
    <col min="2" max="2" width="10" style="21" customWidth="1"/>
    <col min="3" max="20" width="9.140625" style="21" customWidth="1"/>
    <col min="21" max="21" width="10.85546875" style="21" bestFit="1" customWidth="1"/>
    <col min="22" max="22" width="12.140625" style="21" bestFit="1" customWidth="1"/>
    <col min="23" max="23" width="9.140625" style="21" customWidth="1"/>
    <col min="24" max="70" width="9.140625" style="21"/>
    <col min="71" max="71" width="9.140625" style="60"/>
    <col min="72" max="16384" width="9.140625" style="21"/>
  </cols>
  <sheetData>
    <row r="1" spans="1:71" ht="25.5" customHeight="1" x14ac:dyDescent="0.25">
      <c r="A1" s="19" t="s">
        <v>7</v>
      </c>
      <c r="B1" s="19" t="s">
        <v>8</v>
      </c>
      <c r="C1" s="1">
        <v>1</v>
      </c>
      <c r="D1" s="1">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1">
        <v>25</v>
      </c>
      <c r="AB1" s="1">
        <v>26</v>
      </c>
      <c r="AC1" s="1">
        <v>27</v>
      </c>
      <c r="AD1" s="1">
        <v>28</v>
      </c>
      <c r="AE1" s="1">
        <v>29</v>
      </c>
      <c r="AF1" s="1">
        <v>30</v>
      </c>
      <c r="AG1" s="1">
        <v>31</v>
      </c>
      <c r="AH1" s="1">
        <v>32</v>
      </c>
      <c r="AI1" s="1">
        <v>33</v>
      </c>
      <c r="AJ1" s="1">
        <v>34</v>
      </c>
      <c r="AK1" s="1">
        <v>35</v>
      </c>
      <c r="AL1" s="1">
        <v>36</v>
      </c>
      <c r="AM1" s="1">
        <v>37</v>
      </c>
      <c r="AN1" s="1">
        <v>38</v>
      </c>
      <c r="AO1" s="1">
        <v>39</v>
      </c>
      <c r="AP1" s="1">
        <v>40</v>
      </c>
      <c r="AQ1" s="1">
        <v>41</v>
      </c>
      <c r="AR1" s="1">
        <v>42</v>
      </c>
      <c r="AS1" s="1">
        <v>43</v>
      </c>
      <c r="AT1" s="1">
        <v>44</v>
      </c>
      <c r="AU1" s="1">
        <v>45</v>
      </c>
      <c r="AV1" s="1">
        <v>46</v>
      </c>
      <c r="AW1" s="1">
        <v>47</v>
      </c>
      <c r="AX1" s="1">
        <v>48</v>
      </c>
      <c r="AY1" s="1">
        <v>49</v>
      </c>
      <c r="AZ1" s="1">
        <v>50</v>
      </c>
      <c r="BA1" s="1">
        <v>51</v>
      </c>
      <c r="BB1" s="1">
        <v>52</v>
      </c>
      <c r="BC1" s="1">
        <v>53</v>
      </c>
      <c r="BD1" s="1">
        <v>54</v>
      </c>
      <c r="BE1" s="1">
        <v>55</v>
      </c>
      <c r="BF1" s="1">
        <v>56</v>
      </c>
      <c r="BG1" s="1">
        <v>57</v>
      </c>
      <c r="BH1" s="19" t="s">
        <v>9</v>
      </c>
      <c r="BI1" s="19" t="s">
        <v>10</v>
      </c>
      <c r="BJ1" s="19" t="s">
        <v>11</v>
      </c>
      <c r="BK1" s="81" t="s">
        <v>20</v>
      </c>
      <c r="BL1" s="81"/>
      <c r="BM1" s="81"/>
      <c r="BN1" s="81"/>
      <c r="BO1" s="20" t="s">
        <v>4</v>
      </c>
      <c r="BP1" s="20" t="s">
        <v>5</v>
      </c>
      <c r="BQ1" s="20" t="s">
        <v>2</v>
      </c>
      <c r="BR1" s="20" t="s">
        <v>3</v>
      </c>
      <c r="BS1" s="62" t="s">
        <v>87</v>
      </c>
    </row>
    <row r="2" spans="1:71" x14ac:dyDescent="0.25">
      <c r="A2" s="32" t="s">
        <v>52</v>
      </c>
      <c r="B2" s="19"/>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9"/>
      <c r="BI2" s="19"/>
      <c r="BJ2" s="19"/>
      <c r="BK2" s="19"/>
      <c r="BL2" s="19"/>
      <c r="BM2" s="19"/>
      <c r="BN2" s="19"/>
      <c r="BO2" s="20"/>
      <c r="BP2" s="20"/>
      <c r="BQ2" s="20"/>
      <c r="BR2" s="20"/>
      <c r="BS2" s="61"/>
    </row>
    <row r="3" spans="1:71" x14ac:dyDescent="0.25">
      <c r="A3" s="22" t="s">
        <v>86</v>
      </c>
      <c r="B3" s="23">
        <f t="shared" ref="B3:B29" si="0">IF(A3="","",COUNTA(C3:BG3))</f>
        <v>55</v>
      </c>
      <c r="C3" s="20">
        <v>3</v>
      </c>
      <c r="D3" s="20">
        <v>4</v>
      </c>
      <c r="E3" s="20">
        <v>5</v>
      </c>
      <c r="F3" s="20">
        <v>6</v>
      </c>
      <c r="G3" s="20">
        <v>7</v>
      </c>
      <c r="H3" s="20">
        <v>8</v>
      </c>
      <c r="I3" s="20">
        <v>9</v>
      </c>
      <c r="J3" s="20">
        <v>10</v>
      </c>
      <c r="K3" s="20">
        <v>11</v>
      </c>
      <c r="L3" s="20">
        <v>12</v>
      </c>
      <c r="M3" s="20">
        <v>13</v>
      </c>
      <c r="N3" s="20">
        <v>14</v>
      </c>
      <c r="O3" s="20">
        <v>15</v>
      </c>
      <c r="P3" s="20">
        <v>16</v>
      </c>
      <c r="Q3" s="20">
        <v>17</v>
      </c>
      <c r="R3" s="20">
        <v>18</v>
      </c>
      <c r="S3" s="20">
        <v>19</v>
      </c>
      <c r="T3" s="20">
        <v>20</v>
      </c>
      <c r="U3" s="20">
        <v>21</v>
      </c>
      <c r="V3" s="20">
        <v>22</v>
      </c>
      <c r="W3" s="20">
        <v>23</v>
      </c>
      <c r="X3" s="20">
        <v>24</v>
      </c>
      <c r="Y3" s="20">
        <v>25</v>
      </c>
      <c r="Z3" s="20">
        <v>26</v>
      </c>
      <c r="AA3" s="20">
        <v>27</v>
      </c>
      <c r="AB3" s="20">
        <v>28</v>
      </c>
      <c r="AC3" s="20">
        <v>29</v>
      </c>
      <c r="AD3" s="20">
        <v>30</v>
      </c>
      <c r="AE3" s="20">
        <v>31</v>
      </c>
      <c r="AF3" s="20">
        <v>32</v>
      </c>
      <c r="AG3" s="20">
        <v>33</v>
      </c>
      <c r="AH3" s="20">
        <v>34</v>
      </c>
      <c r="AI3" s="20">
        <v>35</v>
      </c>
      <c r="AJ3" s="20">
        <v>36</v>
      </c>
      <c r="AK3" s="20">
        <v>37</v>
      </c>
      <c r="AL3" s="20">
        <v>38</v>
      </c>
      <c r="AM3" s="20">
        <v>39</v>
      </c>
      <c r="AN3" s="20">
        <v>40</v>
      </c>
      <c r="AO3" s="20">
        <v>41</v>
      </c>
      <c r="AP3" s="20">
        <v>42</v>
      </c>
      <c r="AQ3" s="20">
        <v>43</v>
      </c>
      <c r="AR3" s="20">
        <v>44</v>
      </c>
      <c r="AS3" s="20">
        <v>45</v>
      </c>
      <c r="AT3" s="20">
        <v>46</v>
      </c>
      <c r="AU3" s="20">
        <v>47</v>
      </c>
      <c r="AV3" s="20">
        <v>48</v>
      </c>
      <c r="AW3" s="20">
        <v>49</v>
      </c>
      <c r="AX3" s="20">
        <v>50</v>
      </c>
      <c r="AY3" s="20">
        <v>51</v>
      </c>
      <c r="AZ3" s="20">
        <v>52</v>
      </c>
      <c r="BA3" s="20">
        <v>53</v>
      </c>
      <c r="BB3" s="20">
        <v>54</v>
      </c>
      <c r="BC3" s="20">
        <v>55</v>
      </c>
      <c r="BD3" s="20">
        <v>56</v>
      </c>
      <c r="BE3" s="20">
        <v>57</v>
      </c>
      <c r="BF3" s="20"/>
      <c r="BG3" s="20"/>
      <c r="BK3" s="20" t="s">
        <v>4</v>
      </c>
      <c r="BL3" s="20" t="s">
        <v>5</v>
      </c>
      <c r="BM3" s="20" t="s">
        <v>2</v>
      </c>
      <c r="BN3" s="20" t="s">
        <v>3</v>
      </c>
      <c r="BO3" s="20">
        <f t="shared" ref="BO3:BR16" si="1">COUNTIF($BK3:$BN3,BO$1)</f>
        <v>1</v>
      </c>
      <c r="BP3" s="20">
        <f t="shared" si="1"/>
        <v>1</v>
      </c>
      <c r="BQ3" s="20">
        <f t="shared" si="1"/>
        <v>1</v>
      </c>
      <c r="BR3" s="20">
        <f t="shared" si="1"/>
        <v>1</v>
      </c>
      <c r="BS3" s="63" t="s">
        <v>88</v>
      </c>
    </row>
    <row r="4" spans="1:71" x14ac:dyDescent="0.25">
      <c r="A4" s="22" t="s">
        <v>15</v>
      </c>
      <c r="B4" s="23">
        <f t="shared" si="0"/>
        <v>10</v>
      </c>
      <c r="C4" s="20">
        <v>3</v>
      </c>
      <c r="D4" s="20">
        <v>4</v>
      </c>
      <c r="E4" s="20">
        <v>5</v>
      </c>
      <c r="F4" s="20">
        <v>6</v>
      </c>
      <c r="G4" s="20">
        <v>7</v>
      </c>
      <c r="H4" s="20">
        <v>8</v>
      </c>
      <c r="I4" s="20">
        <v>9</v>
      </c>
      <c r="J4" s="20">
        <v>10</v>
      </c>
      <c r="K4" s="20">
        <v>11</v>
      </c>
      <c r="L4" s="20">
        <v>12</v>
      </c>
      <c r="M4" s="20"/>
      <c r="N4" s="20"/>
      <c r="BH4" s="20">
        <v>3</v>
      </c>
      <c r="BI4" s="20">
        <v>6</v>
      </c>
      <c r="BJ4" s="20">
        <v>12</v>
      </c>
      <c r="BK4" s="20" t="s">
        <v>2</v>
      </c>
      <c r="BL4" s="20" t="s">
        <v>3</v>
      </c>
      <c r="BO4" s="20">
        <f t="shared" si="1"/>
        <v>0</v>
      </c>
      <c r="BP4" s="20">
        <f t="shared" si="1"/>
        <v>0</v>
      </c>
      <c r="BQ4" s="20">
        <f t="shared" si="1"/>
        <v>1</v>
      </c>
      <c r="BR4" s="20">
        <f t="shared" si="1"/>
        <v>1</v>
      </c>
      <c r="BS4" s="63" t="s">
        <v>88</v>
      </c>
    </row>
    <row r="5" spans="1:71" x14ac:dyDescent="0.25">
      <c r="A5" s="22" t="s">
        <v>16</v>
      </c>
      <c r="B5" s="23">
        <f t="shared" si="0"/>
        <v>13</v>
      </c>
      <c r="C5" s="20">
        <v>9</v>
      </c>
      <c r="D5" s="20">
        <v>10</v>
      </c>
      <c r="E5" s="20">
        <v>11</v>
      </c>
      <c r="F5" s="20">
        <v>12</v>
      </c>
      <c r="G5" s="20">
        <v>13</v>
      </c>
      <c r="H5" s="20">
        <v>14</v>
      </c>
      <c r="I5" s="20">
        <v>15</v>
      </c>
      <c r="J5" s="20">
        <v>16</v>
      </c>
      <c r="K5" s="20">
        <v>17</v>
      </c>
      <c r="L5" s="20">
        <v>18</v>
      </c>
      <c r="M5" s="20">
        <v>19</v>
      </c>
      <c r="N5" s="20">
        <v>20</v>
      </c>
      <c r="O5" s="20">
        <v>21</v>
      </c>
      <c r="BH5" s="20">
        <v>9</v>
      </c>
      <c r="BI5" s="20">
        <v>15</v>
      </c>
      <c r="BJ5" s="20">
        <v>21</v>
      </c>
      <c r="BK5" s="20" t="s">
        <v>2</v>
      </c>
      <c r="BL5" s="20" t="s">
        <v>3</v>
      </c>
      <c r="BO5" s="20">
        <f t="shared" si="1"/>
        <v>0</v>
      </c>
      <c r="BP5" s="20">
        <f t="shared" si="1"/>
        <v>0</v>
      </c>
      <c r="BQ5" s="20">
        <f t="shared" si="1"/>
        <v>1</v>
      </c>
      <c r="BR5" s="20">
        <f t="shared" si="1"/>
        <v>1</v>
      </c>
      <c r="BS5" s="63"/>
    </row>
    <row r="6" spans="1:71" x14ac:dyDescent="0.25">
      <c r="A6" s="22" t="s">
        <v>17</v>
      </c>
      <c r="B6" s="23">
        <f t="shared" si="0"/>
        <v>13</v>
      </c>
      <c r="C6" s="20">
        <v>18</v>
      </c>
      <c r="D6" s="20">
        <v>19</v>
      </c>
      <c r="E6" s="20">
        <v>20</v>
      </c>
      <c r="F6" s="20">
        <v>21</v>
      </c>
      <c r="G6" s="20">
        <v>22</v>
      </c>
      <c r="H6" s="20">
        <v>23</v>
      </c>
      <c r="I6" s="20">
        <v>24</v>
      </c>
      <c r="J6" s="20">
        <v>25</v>
      </c>
      <c r="K6" s="20">
        <v>26</v>
      </c>
      <c r="L6" s="20">
        <v>27</v>
      </c>
      <c r="M6" s="20">
        <v>28</v>
      </c>
      <c r="N6" s="20">
        <v>29</v>
      </c>
      <c r="O6" s="20">
        <v>30</v>
      </c>
      <c r="BH6" s="20">
        <v>18</v>
      </c>
      <c r="BI6" s="20">
        <v>24</v>
      </c>
      <c r="BJ6" s="20">
        <v>30</v>
      </c>
      <c r="BK6" s="20" t="s">
        <v>2</v>
      </c>
      <c r="BL6" s="20" t="s">
        <v>3</v>
      </c>
      <c r="BO6" s="20">
        <f t="shared" si="1"/>
        <v>0</v>
      </c>
      <c r="BP6" s="20">
        <f t="shared" si="1"/>
        <v>0</v>
      </c>
      <c r="BQ6" s="20">
        <f t="shared" si="1"/>
        <v>1</v>
      </c>
      <c r="BR6" s="20">
        <f t="shared" si="1"/>
        <v>1</v>
      </c>
    </row>
    <row r="7" spans="1:71" x14ac:dyDescent="0.25">
      <c r="A7" s="22" t="s">
        <v>18</v>
      </c>
      <c r="B7" s="23">
        <f t="shared" si="0"/>
        <v>13</v>
      </c>
      <c r="C7" s="20">
        <v>27</v>
      </c>
      <c r="D7" s="20">
        <v>28</v>
      </c>
      <c r="E7" s="20">
        <v>29</v>
      </c>
      <c r="F7" s="20">
        <v>30</v>
      </c>
      <c r="G7" s="20">
        <v>31</v>
      </c>
      <c r="H7" s="20">
        <v>32</v>
      </c>
      <c r="I7" s="20">
        <v>33</v>
      </c>
      <c r="J7" s="20">
        <v>34</v>
      </c>
      <c r="K7" s="20">
        <v>35</v>
      </c>
      <c r="L7" s="20">
        <v>36</v>
      </c>
      <c r="M7" s="20">
        <v>37</v>
      </c>
      <c r="N7" s="20">
        <v>38</v>
      </c>
      <c r="O7" s="20">
        <v>39</v>
      </c>
      <c r="BH7" s="20">
        <v>27</v>
      </c>
      <c r="BI7" s="20">
        <v>36</v>
      </c>
      <c r="BJ7" s="20">
        <v>39</v>
      </c>
      <c r="BK7" s="20" t="s">
        <v>4</v>
      </c>
      <c r="BO7" s="20">
        <f t="shared" si="1"/>
        <v>1</v>
      </c>
      <c r="BP7" s="20">
        <f t="shared" si="1"/>
        <v>0</v>
      </c>
      <c r="BQ7" s="20">
        <f t="shared" si="1"/>
        <v>0</v>
      </c>
      <c r="BR7" s="20">
        <f t="shared" si="1"/>
        <v>0</v>
      </c>
    </row>
    <row r="8" spans="1:71" x14ac:dyDescent="0.25">
      <c r="A8" s="22" t="s">
        <v>19</v>
      </c>
      <c r="B8" s="23">
        <f t="shared" si="0"/>
        <v>3</v>
      </c>
      <c r="C8" s="20">
        <v>23</v>
      </c>
      <c r="D8" s="20">
        <v>24</v>
      </c>
      <c r="E8" s="20">
        <v>26</v>
      </c>
      <c r="BH8" s="20"/>
      <c r="BI8" s="20"/>
      <c r="BJ8" s="20"/>
      <c r="BK8" s="20" t="s">
        <v>4</v>
      </c>
      <c r="BO8" s="20">
        <f t="shared" si="1"/>
        <v>1</v>
      </c>
      <c r="BP8" s="20">
        <f t="shared" si="1"/>
        <v>0</v>
      </c>
      <c r="BQ8" s="20">
        <f t="shared" si="1"/>
        <v>0</v>
      </c>
      <c r="BR8" s="20">
        <f t="shared" si="1"/>
        <v>0</v>
      </c>
    </row>
    <row r="9" spans="1:71" x14ac:dyDescent="0.25">
      <c r="A9" s="22" t="s">
        <v>21</v>
      </c>
      <c r="B9" s="23">
        <f t="shared" si="0"/>
        <v>13</v>
      </c>
      <c r="C9" s="20">
        <v>36</v>
      </c>
      <c r="D9" s="20">
        <v>37</v>
      </c>
      <c r="E9" s="20">
        <v>38</v>
      </c>
      <c r="F9" s="20">
        <v>39</v>
      </c>
      <c r="G9" s="20">
        <v>40</v>
      </c>
      <c r="H9" s="20">
        <v>41</v>
      </c>
      <c r="I9" s="20">
        <v>42</v>
      </c>
      <c r="J9" s="20">
        <v>43</v>
      </c>
      <c r="K9" s="20">
        <v>44</v>
      </c>
      <c r="L9" s="20">
        <v>45</v>
      </c>
      <c r="M9" s="20">
        <v>46</v>
      </c>
      <c r="N9" s="20">
        <v>47</v>
      </c>
      <c r="O9" s="20">
        <v>48</v>
      </c>
      <c r="BH9" s="20">
        <v>36</v>
      </c>
      <c r="BI9" s="20">
        <v>43</v>
      </c>
      <c r="BJ9" s="20">
        <v>48</v>
      </c>
      <c r="BK9" s="20" t="s">
        <v>4</v>
      </c>
      <c r="BO9" s="20">
        <f t="shared" si="1"/>
        <v>1</v>
      </c>
      <c r="BP9" s="20">
        <f t="shared" si="1"/>
        <v>0</v>
      </c>
      <c r="BQ9" s="20">
        <f t="shared" si="1"/>
        <v>0</v>
      </c>
      <c r="BR9" s="20">
        <f t="shared" si="1"/>
        <v>0</v>
      </c>
    </row>
    <row r="10" spans="1:71" x14ac:dyDescent="0.25">
      <c r="A10" s="22" t="s">
        <v>22</v>
      </c>
      <c r="B10" s="23">
        <f t="shared" si="0"/>
        <v>13</v>
      </c>
      <c r="C10" s="20">
        <v>45</v>
      </c>
      <c r="D10" s="20">
        <v>46</v>
      </c>
      <c r="E10" s="20">
        <v>47</v>
      </c>
      <c r="F10" s="20">
        <v>48</v>
      </c>
      <c r="G10" s="20">
        <v>49</v>
      </c>
      <c r="H10" s="20">
        <v>50</v>
      </c>
      <c r="I10" s="20">
        <v>51</v>
      </c>
      <c r="J10" s="20">
        <v>52</v>
      </c>
      <c r="K10" s="20">
        <v>53</v>
      </c>
      <c r="L10" s="20">
        <v>54</v>
      </c>
      <c r="M10" s="20">
        <v>55</v>
      </c>
      <c r="N10" s="20">
        <v>56</v>
      </c>
      <c r="O10" s="20">
        <v>57</v>
      </c>
      <c r="BH10" s="20">
        <v>45</v>
      </c>
      <c r="BI10" s="20">
        <v>51</v>
      </c>
      <c r="BJ10" s="20">
        <v>57</v>
      </c>
      <c r="BK10" s="20" t="s">
        <v>4</v>
      </c>
      <c r="BO10" s="20">
        <f t="shared" si="1"/>
        <v>1</v>
      </c>
      <c r="BP10" s="20">
        <f t="shared" si="1"/>
        <v>0</v>
      </c>
      <c r="BQ10" s="20">
        <f t="shared" si="1"/>
        <v>0</v>
      </c>
      <c r="BR10" s="20">
        <f t="shared" si="1"/>
        <v>0</v>
      </c>
    </row>
    <row r="11" spans="1:71" x14ac:dyDescent="0.25">
      <c r="A11" s="22" t="s">
        <v>23</v>
      </c>
      <c r="B11" s="23">
        <f t="shared" si="0"/>
        <v>26</v>
      </c>
      <c r="C11" s="20">
        <v>1</v>
      </c>
      <c r="D11" s="20">
        <v>2</v>
      </c>
      <c r="E11" s="20">
        <v>3</v>
      </c>
      <c r="F11" s="20">
        <v>4</v>
      </c>
      <c r="G11" s="20">
        <v>5</v>
      </c>
      <c r="H11" s="20">
        <v>6</v>
      </c>
      <c r="I11" s="20">
        <v>7</v>
      </c>
      <c r="J11" s="20">
        <v>8</v>
      </c>
      <c r="K11" s="20">
        <v>9</v>
      </c>
      <c r="L11" s="20">
        <v>10</v>
      </c>
      <c r="M11" s="20">
        <v>11</v>
      </c>
      <c r="N11" s="20">
        <v>12</v>
      </c>
      <c r="O11" s="20">
        <v>13</v>
      </c>
      <c r="P11" s="20">
        <v>14</v>
      </c>
      <c r="Q11" s="20">
        <v>15</v>
      </c>
      <c r="R11" s="20">
        <v>16</v>
      </c>
      <c r="S11" s="20">
        <v>17</v>
      </c>
      <c r="T11" s="20">
        <v>18</v>
      </c>
      <c r="U11" s="20">
        <v>19</v>
      </c>
      <c r="V11" s="20">
        <v>20</v>
      </c>
      <c r="W11" s="20">
        <v>21</v>
      </c>
      <c r="X11" s="20">
        <v>22</v>
      </c>
      <c r="Y11" s="20">
        <v>23</v>
      </c>
      <c r="Z11" s="20">
        <v>24</v>
      </c>
      <c r="AA11" s="20">
        <v>25</v>
      </c>
      <c r="AB11" s="20">
        <v>26</v>
      </c>
      <c r="BH11" s="20">
        <v>1</v>
      </c>
      <c r="BI11" s="20">
        <v>17</v>
      </c>
      <c r="BJ11" s="20">
        <v>26</v>
      </c>
      <c r="BK11" s="20" t="s">
        <v>4</v>
      </c>
      <c r="BO11" s="20">
        <f t="shared" si="1"/>
        <v>1</v>
      </c>
      <c r="BP11" s="20">
        <f t="shared" si="1"/>
        <v>0</v>
      </c>
      <c r="BQ11" s="20">
        <f t="shared" si="1"/>
        <v>0</v>
      </c>
      <c r="BR11" s="20">
        <f t="shared" si="1"/>
        <v>0</v>
      </c>
    </row>
    <row r="12" spans="1:71" x14ac:dyDescent="0.25">
      <c r="A12" s="22" t="s">
        <v>24</v>
      </c>
      <c r="B12" s="23">
        <f t="shared" si="0"/>
        <v>7</v>
      </c>
      <c r="C12" s="20">
        <v>9</v>
      </c>
      <c r="D12" s="20">
        <v>10</v>
      </c>
      <c r="E12" s="20">
        <v>11</v>
      </c>
      <c r="F12" s="20">
        <v>12</v>
      </c>
      <c r="G12" s="20">
        <v>13</v>
      </c>
      <c r="H12" s="20">
        <v>14</v>
      </c>
      <c r="I12" s="20">
        <v>15</v>
      </c>
      <c r="BH12" s="20">
        <v>9</v>
      </c>
      <c r="BI12" s="20">
        <v>12</v>
      </c>
      <c r="BJ12" s="20">
        <v>15</v>
      </c>
      <c r="BK12" s="20" t="s">
        <v>2</v>
      </c>
      <c r="BL12" s="20" t="s">
        <v>3</v>
      </c>
      <c r="BO12" s="20">
        <f t="shared" si="1"/>
        <v>0</v>
      </c>
      <c r="BP12" s="20">
        <f t="shared" si="1"/>
        <v>0</v>
      </c>
      <c r="BQ12" s="20">
        <f t="shared" si="1"/>
        <v>1</v>
      </c>
      <c r="BR12" s="20">
        <f t="shared" si="1"/>
        <v>1</v>
      </c>
    </row>
    <row r="13" spans="1:71" x14ac:dyDescent="0.25">
      <c r="A13" s="22" t="s">
        <v>25</v>
      </c>
      <c r="B13" s="23">
        <f t="shared" si="0"/>
        <v>7</v>
      </c>
      <c r="C13" s="20">
        <v>16</v>
      </c>
      <c r="D13" s="20">
        <v>17</v>
      </c>
      <c r="E13" s="20">
        <v>18</v>
      </c>
      <c r="F13" s="20">
        <v>19</v>
      </c>
      <c r="G13" s="20">
        <v>20</v>
      </c>
      <c r="H13" s="20">
        <v>21</v>
      </c>
      <c r="I13" s="20">
        <v>22</v>
      </c>
      <c r="BH13" s="20">
        <v>16</v>
      </c>
      <c r="BI13" s="20">
        <v>19</v>
      </c>
      <c r="BJ13" s="20">
        <v>22</v>
      </c>
      <c r="BK13" s="20" t="s">
        <v>2</v>
      </c>
      <c r="BL13" s="20" t="s">
        <v>3</v>
      </c>
      <c r="BO13" s="20">
        <f t="shared" si="1"/>
        <v>0</v>
      </c>
      <c r="BP13" s="20">
        <f t="shared" si="1"/>
        <v>0</v>
      </c>
      <c r="BQ13" s="20">
        <f t="shared" si="1"/>
        <v>1</v>
      </c>
      <c r="BR13" s="20">
        <f t="shared" si="1"/>
        <v>1</v>
      </c>
    </row>
    <row r="14" spans="1:71" x14ac:dyDescent="0.25">
      <c r="A14" s="22" t="s">
        <v>26</v>
      </c>
      <c r="B14" s="23">
        <f t="shared" si="0"/>
        <v>8</v>
      </c>
      <c r="C14" s="20">
        <v>1</v>
      </c>
      <c r="D14" s="20">
        <v>2</v>
      </c>
      <c r="E14" s="20">
        <v>3</v>
      </c>
      <c r="F14" s="20">
        <v>4</v>
      </c>
      <c r="G14" s="20">
        <v>5</v>
      </c>
      <c r="H14" s="20">
        <v>6</v>
      </c>
      <c r="I14" s="20">
        <v>7</v>
      </c>
      <c r="J14" s="20">
        <v>8</v>
      </c>
      <c r="BH14" s="20"/>
      <c r="BI14" s="20"/>
      <c r="BJ14" s="20"/>
      <c r="BK14" s="20" t="s">
        <v>4</v>
      </c>
      <c r="BL14" s="20" t="s">
        <v>5</v>
      </c>
      <c r="BO14" s="20">
        <f t="shared" si="1"/>
        <v>1</v>
      </c>
      <c r="BP14" s="20">
        <f t="shared" si="1"/>
        <v>1</v>
      </c>
      <c r="BQ14" s="20">
        <f t="shared" si="1"/>
        <v>0</v>
      </c>
      <c r="BR14" s="20">
        <f t="shared" si="1"/>
        <v>0</v>
      </c>
    </row>
    <row r="15" spans="1:71" x14ac:dyDescent="0.25">
      <c r="A15" s="22" t="s">
        <v>27</v>
      </c>
      <c r="B15" s="23">
        <f t="shared" si="0"/>
        <v>5</v>
      </c>
      <c r="C15" s="20">
        <v>19</v>
      </c>
      <c r="D15" s="20">
        <v>20</v>
      </c>
      <c r="E15" s="20">
        <v>21</v>
      </c>
      <c r="F15" s="20">
        <v>22</v>
      </c>
      <c r="G15" s="20">
        <v>23</v>
      </c>
      <c r="BH15" s="20"/>
      <c r="BI15" s="20"/>
      <c r="BJ15" s="20"/>
      <c r="BK15" s="20" t="s">
        <v>4</v>
      </c>
      <c r="BL15" s="20" t="s">
        <v>5</v>
      </c>
      <c r="BO15" s="20">
        <f t="shared" si="1"/>
        <v>1</v>
      </c>
      <c r="BP15" s="20">
        <f t="shared" si="1"/>
        <v>1</v>
      </c>
      <c r="BQ15" s="20">
        <f t="shared" si="1"/>
        <v>0</v>
      </c>
      <c r="BR15" s="20">
        <f t="shared" si="1"/>
        <v>0</v>
      </c>
    </row>
    <row r="16" spans="1:71" x14ac:dyDescent="0.25">
      <c r="A16" s="22" t="s">
        <v>28</v>
      </c>
      <c r="B16" s="23">
        <f t="shared" si="0"/>
        <v>11</v>
      </c>
      <c r="C16" s="20">
        <v>1</v>
      </c>
      <c r="D16" s="20">
        <v>2</v>
      </c>
      <c r="E16" s="20">
        <v>3</v>
      </c>
      <c r="F16" s="20">
        <v>4</v>
      </c>
      <c r="G16" s="20">
        <v>5</v>
      </c>
      <c r="H16" s="20">
        <v>6</v>
      </c>
      <c r="I16" s="20">
        <v>7</v>
      </c>
      <c r="J16" s="20">
        <v>8</v>
      </c>
      <c r="K16" s="20">
        <v>9</v>
      </c>
      <c r="L16" s="20">
        <v>10</v>
      </c>
      <c r="M16" s="20">
        <v>11</v>
      </c>
      <c r="BH16" s="20"/>
      <c r="BI16" s="20"/>
      <c r="BJ16" s="20"/>
      <c r="BK16" s="20" t="s">
        <v>4</v>
      </c>
      <c r="BL16" s="20" t="s">
        <v>5</v>
      </c>
      <c r="BO16" s="20">
        <f t="shared" si="1"/>
        <v>1</v>
      </c>
      <c r="BP16" s="20">
        <f t="shared" si="1"/>
        <v>1</v>
      </c>
      <c r="BQ16" s="20">
        <f t="shared" si="1"/>
        <v>0</v>
      </c>
      <c r="BR16" s="20">
        <f t="shared" si="1"/>
        <v>0</v>
      </c>
    </row>
    <row r="17" spans="1:71" x14ac:dyDescent="0.25">
      <c r="A17" s="22" t="s">
        <v>54</v>
      </c>
      <c r="B17" s="23">
        <f>IF(A17="","",COUNTA(C17:BE17))</f>
        <v>11</v>
      </c>
      <c r="C17" s="20">
        <v>1</v>
      </c>
      <c r="D17" s="20">
        <v>2</v>
      </c>
      <c r="E17" s="20">
        <v>3</v>
      </c>
      <c r="F17" s="20">
        <v>4</v>
      </c>
      <c r="G17" s="20">
        <v>5</v>
      </c>
      <c r="H17" s="20">
        <v>6</v>
      </c>
      <c r="I17" s="20">
        <v>7</v>
      </c>
      <c r="J17" s="20">
        <v>8</v>
      </c>
      <c r="K17" s="20">
        <v>9</v>
      </c>
      <c r="L17" s="20">
        <v>10</v>
      </c>
      <c r="M17" s="21">
        <v>11</v>
      </c>
      <c r="BF17" s="20"/>
      <c r="BG17" s="20"/>
      <c r="BH17" s="20"/>
      <c r="BI17" s="20" t="s">
        <v>2</v>
      </c>
      <c r="BJ17" s="20" t="s">
        <v>3</v>
      </c>
      <c r="BM17" s="20">
        <f>COUNTIF($BI17:$BL17,BO$1)</f>
        <v>0</v>
      </c>
      <c r="BN17" s="20">
        <f>COUNTIF($BI17:$BL17,BP$1)</f>
        <v>0</v>
      </c>
      <c r="BO17" s="20">
        <f>COUNTIF($BI17:$BL17,BQ$1)</f>
        <v>1</v>
      </c>
      <c r="BP17" s="20">
        <f>COUNTIF($BI17:$BL17,BR$1)</f>
        <v>1</v>
      </c>
      <c r="BQ17" s="60"/>
      <c r="BS17" s="21"/>
    </row>
    <row r="18" spans="1:71" x14ac:dyDescent="0.25">
      <c r="A18" s="22" t="s">
        <v>31</v>
      </c>
      <c r="B18" s="23">
        <f t="shared" si="0"/>
        <v>13</v>
      </c>
      <c r="C18" s="20">
        <v>27</v>
      </c>
      <c r="D18" s="20">
        <v>28</v>
      </c>
      <c r="E18" s="20">
        <v>29</v>
      </c>
      <c r="F18" s="20">
        <v>30</v>
      </c>
      <c r="G18" s="20">
        <v>31</v>
      </c>
      <c r="H18" s="20">
        <v>32</v>
      </c>
      <c r="I18" s="20">
        <v>33</v>
      </c>
      <c r="J18" s="20">
        <v>34</v>
      </c>
      <c r="K18" s="20">
        <v>35</v>
      </c>
      <c r="L18" s="20">
        <v>36</v>
      </c>
      <c r="M18" s="20">
        <v>37</v>
      </c>
      <c r="N18" s="20">
        <v>38</v>
      </c>
      <c r="O18" s="20">
        <v>39</v>
      </c>
      <c r="BH18" s="20">
        <v>27</v>
      </c>
      <c r="BI18" s="20">
        <v>36</v>
      </c>
      <c r="BJ18" s="20">
        <v>39</v>
      </c>
      <c r="BK18" s="20" t="s">
        <v>4</v>
      </c>
      <c r="BO18" s="20">
        <f t="shared" ref="BO18:BR33" si="2">COUNTIF($BK18:$BN18,BO$1)</f>
        <v>1</v>
      </c>
      <c r="BP18" s="20">
        <f t="shared" si="2"/>
        <v>0</v>
      </c>
      <c r="BQ18" s="20">
        <f t="shared" si="2"/>
        <v>0</v>
      </c>
      <c r="BR18" s="20">
        <f t="shared" si="2"/>
        <v>0</v>
      </c>
    </row>
    <row r="19" spans="1:71" x14ac:dyDescent="0.25">
      <c r="A19" s="22" t="s">
        <v>32</v>
      </c>
      <c r="B19" s="23">
        <f t="shared" si="0"/>
        <v>7</v>
      </c>
      <c r="C19" s="20">
        <v>23</v>
      </c>
      <c r="D19" s="20">
        <v>24</v>
      </c>
      <c r="E19" s="20">
        <v>26</v>
      </c>
      <c r="F19" s="20">
        <v>27</v>
      </c>
      <c r="G19" s="20">
        <v>28</v>
      </c>
      <c r="H19" s="20">
        <v>29</v>
      </c>
      <c r="I19" s="20">
        <v>30</v>
      </c>
      <c r="BH19" s="20">
        <v>23</v>
      </c>
      <c r="BI19" s="20">
        <v>26</v>
      </c>
      <c r="BJ19" s="20">
        <v>30</v>
      </c>
      <c r="BK19" s="20" t="s">
        <v>4</v>
      </c>
      <c r="BO19" s="20">
        <f t="shared" si="2"/>
        <v>1</v>
      </c>
      <c r="BP19" s="20">
        <f t="shared" si="2"/>
        <v>0</v>
      </c>
      <c r="BQ19" s="20">
        <f t="shared" si="2"/>
        <v>0</v>
      </c>
      <c r="BR19" s="20">
        <f t="shared" si="2"/>
        <v>0</v>
      </c>
    </row>
    <row r="20" spans="1:71" x14ac:dyDescent="0.25">
      <c r="A20" s="22" t="s">
        <v>33</v>
      </c>
      <c r="B20" s="23">
        <f t="shared" si="0"/>
        <v>3</v>
      </c>
      <c r="C20" s="20">
        <v>23</v>
      </c>
      <c r="D20" s="20">
        <v>24</v>
      </c>
      <c r="E20" s="20">
        <v>26</v>
      </c>
      <c r="BH20" s="20"/>
      <c r="BI20" s="20"/>
      <c r="BJ20" s="20"/>
      <c r="BK20" s="20" t="s">
        <v>4</v>
      </c>
      <c r="BO20" s="20">
        <f t="shared" si="2"/>
        <v>1</v>
      </c>
      <c r="BP20" s="20">
        <f t="shared" si="2"/>
        <v>0</v>
      </c>
      <c r="BQ20" s="20">
        <f t="shared" si="2"/>
        <v>0</v>
      </c>
      <c r="BR20" s="20">
        <f t="shared" si="2"/>
        <v>0</v>
      </c>
    </row>
    <row r="21" spans="1:71" x14ac:dyDescent="0.25">
      <c r="A21" s="22" t="s">
        <v>34</v>
      </c>
      <c r="B21" s="23">
        <f t="shared" si="0"/>
        <v>13</v>
      </c>
      <c r="C21" s="20">
        <v>36</v>
      </c>
      <c r="D21" s="20">
        <v>37</v>
      </c>
      <c r="E21" s="20">
        <v>38</v>
      </c>
      <c r="F21" s="20">
        <v>39</v>
      </c>
      <c r="G21" s="20">
        <v>40</v>
      </c>
      <c r="H21" s="20">
        <v>41</v>
      </c>
      <c r="I21" s="20">
        <v>42</v>
      </c>
      <c r="J21" s="20">
        <v>43</v>
      </c>
      <c r="K21" s="20">
        <v>44</v>
      </c>
      <c r="L21" s="20">
        <v>45</v>
      </c>
      <c r="M21" s="20">
        <v>46</v>
      </c>
      <c r="N21" s="20">
        <v>47</v>
      </c>
      <c r="O21" s="20">
        <v>48</v>
      </c>
      <c r="BH21" s="20">
        <v>36</v>
      </c>
      <c r="BI21" s="20">
        <v>43</v>
      </c>
      <c r="BJ21" s="20">
        <v>48</v>
      </c>
      <c r="BK21" s="20" t="s">
        <v>4</v>
      </c>
      <c r="BO21" s="20">
        <f t="shared" si="2"/>
        <v>1</v>
      </c>
      <c r="BP21" s="20">
        <f t="shared" si="2"/>
        <v>0</v>
      </c>
      <c r="BQ21" s="20">
        <f t="shared" si="2"/>
        <v>0</v>
      </c>
      <c r="BR21" s="20">
        <f t="shared" si="2"/>
        <v>0</v>
      </c>
    </row>
    <row r="22" spans="1:71" x14ac:dyDescent="0.25">
      <c r="A22" s="22" t="s">
        <v>35</v>
      </c>
      <c r="B22" s="23">
        <f t="shared" si="0"/>
        <v>16</v>
      </c>
      <c r="C22" s="20">
        <v>33</v>
      </c>
      <c r="D22" s="20">
        <v>34</v>
      </c>
      <c r="E22" s="20">
        <v>35</v>
      </c>
      <c r="F22" s="20">
        <v>36</v>
      </c>
      <c r="G22" s="20">
        <v>37</v>
      </c>
      <c r="H22" s="20">
        <v>38</v>
      </c>
      <c r="I22" s="20">
        <v>39</v>
      </c>
      <c r="J22" s="20">
        <v>40</v>
      </c>
      <c r="K22" s="20">
        <v>41</v>
      </c>
      <c r="L22" s="20">
        <v>42</v>
      </c>
      <c r="M22" s="20">
        <v>43</v>
      </c>
      <c r="N22" s="20">
        <v>44</v>
      </c>
      <c r="O22" s="20">
        <v>45</v>
      </c>
      <c r="P22" s="20">
        <v>46</v>
      </c>
      <c r="Q22" s="20">
        <v>47</v>
      </c>
      <c r="R22" s="20">
        <v>48</v>
      </c>
      <c r="BH22" s="20">
        <v>33</v>
      </c>
      <c r="BI22" s="20">
        <v>43</v>
      </c>
      <c r="BJ22" s="20">
        <v>48</v>
      </c>
      <c r="BK22" s="20" t="s">
        <v>4</v>
      </c>
      <c r="BO22" s="20">
        <f t="shared" si="2"/>
        <v>1</v>
      </c>
      <c r="BP22" s="20">
        <f t="shared" si="2"/>
        <v>0</v>
      </c>
      <c r="BQ22" s="20">
        <f t="shared" si="2"/>
        <v>0</v>
      </c>
      <c r="BR22" s="20">
        <f t="shared" si="2"/>
        <v>0</v>
      </c>
    </row>
    <row r="23" spans="1:71" x14ac:dyDescent="0.25">
      <c r="A23" s="22" t="s">
        <v>36</v>
      </c>
      <c r="B23" s="23">
        <f t="shared" si="0"/>
        <v>13</v>
      </c>
      <c r="C23" s="20">
        <v>36</v>
      </c>
      <c r="D23" s="20">
        <v>37</v>
      </c>
      <c r="E23" s="20">
        <v>38</v>
      </c>
      <c r="F23" s="20">
        <v>39</v>
      </c>
      <c r="G23" s="20">
        <v>40</v>
      </c>
      <c r="H23" s="20">
        <v>41</v>
      </c>
      <c r="I23" s="20">
        <v>42</v>
      </c>
      <c r="J23" s="20">
        <v>43</v>
      </c>
      <c r="K23" s="20">
        <v>44</v>
      </c>
      <c r="L23" s="20">
        <v>45</v>
      </c>
      <c r="M23" s="20">
        <v>46</v>
      </c>
      <c r="N23" s="20">
        <v>47</v>
      </c>
      <c r="O23" s="20">
        <v>48</v>
      </c>
      <c r="BH23" s="20">
        <v>36</v>
      </c>
      <c r="BI23" s="20">
        <v>43</v>
      </c>
      <c r="BJ23" s="20">
        <v>48</v>
      </c>
      <c r="BK23" s="20" t="s">
        <v>4</v>
      </c>
      <c r="BO23" s="20">
        <f t="shared" si="2"/>
        <v>1</v>
      </c>
      <c r="BP23" s="20">
        <f t="shared" si="2"/>
        <v>0</v>
      </c>
      <c r="BQ23" s="20">
        <f t="shared" si="2"/>
        <v>0</v>
      </c>
      <c r="BR23" s="20">
        <f t="shared" si="2"/>
        <v>0</v>
      </c>
    </row>
    <row r="24" spans="1:71" x14ac:dyDescent="0.25">
      <c r="A24" s="22" t="s">
        <v>37</v>
      </c>
      <c r="B24" s="23">
        <f t="shared" si="0"/>
        <v>13</v>
      </c>
      <c r="C24" s="20">
        <v>45</v>
      </c>
      <c r="D24" s="20">
        <v>46</v>
      </c>
      <c r="E24" s="20">
        <v>47</v>
      </c>
      <c r="F24" s="20">
        <v>48</v>
      </c>
      <c r="G24" s="20">
        <v>49</v>
      </c>
      <c r="H24" s="20">
        <v>50</v>
      </c>
      <c r="I24" s="20">
        <v>51</v>
      </c>
      <c r="J24" s="20">
        <v>52</v>
      </c>
      <c r="K24" s="20">
        <v>53</v>
      </c>
      <c r="L24" s="20">
        <v>54</v>
      </c>
      <c r="M24" s="20">
        <v>55</v>
      </c>
      <c r="N24" s="20">
        <v>56</v>
      </c>
      <c r="O24" s="20">
        <v>57</v>
      </c>
      <c r="BH24" s="20">
        <v>45</v>
      </c>
      <c r="BI24" s="20">
        <v>51</v>
      </c>
      <c r="BJ24" s="20">
        <v>57</v>
      </c>
      <c r="BK24" s="20" t="s">
        <v>4</v>
      </c>
      <c r="BO24" s="20">
        <f t="shared" si="2"/>
        <v>1</v>
      </c>
      <c r="BP24" s="20">
        <f t="shared" si="2"/>
        <v>0</v>
      </c>
      <c r="BQ24" s="20">
        <f t="shared" si="2"/>
        <v>0</v>
      </c>
      <c r="BR24" s="20">
        <f t="shared" si="2"/>
        <v>0</v>
      </c>
    </row>
    <row r="25" spans="1:71" x14ac:dyDescent="0.25">
      <c r="A25" s="22" t="s">
        <v>38</v>
      </c>
      <c r="B25" s="23">
        <f t="shared" si="0"/>
        <v>13</v>
      </c>
      <c r="C25" s="20">
        <v>45</v>
      </c>
      <c r="D25" s="20">
        <v>46</v>
      </c>
      <c r="E25" s="20">
        <v>47</v>
      </c>
      <c r="F25" s="20">
        <v>48</v>
      </c>
      <c r="G25" s="20">
        <v>49</v>
      </c>
      <c r="H25" s="20">
        <v>50</v>
      </c>
      <c r="I25" s="20">
        <v>51</v>
      </c>
      <c r="J25" s="20">
        <v>52</v>
      </c>
      <c r="K25" s="20">
        <v>53</v>
      </c>
      <c r="L25" s="20">
        <v>54</v>
      </c>
      <c r="M25" s="20">
        <v>55</v>
      </c>
      <c r="N25" s="20">
        <v>56</v>
      </c>
      <c r="O25" s="20">
        <v>57</v>
      </c>
      <c r="BH25" s="20">
        <v>45</v>
      </c>
      <c r="BI25" s="20">
        <v>51</v>
      </c>
      <c r="BJ25" s="20">
        <v>57</v>
      </c>
      <c r="BK25" s="20" t="s">
        <v>4</v>
      </c>
      <c r="BO25" s="20">
        <f t="shared" si="2"/>
        <v>1</v>
      </c>
      <c r="BP25" s="20">
        <f t="shared" si="2"/>
        <v>0</v>
      </c>
      <c r="BQ25" s="20">
        <f t="shared" si="2"/>
        <v>0</v>
      </c>
      <c r="BR25" s="20">
        <f t="shared" si="2"/>
        <v>0</v>
      </c>
    </row>
    <row r="26" spans="1:71" x14ac:dyDescent="0.25">
      <c r="A26" s="22" t="s">
        <v>39</v>
      </c>
      <c r="B26" s="23">
        <f t="shared" si="0"/>
        <v>26</v>
      </c>
      <c r="C26" s="20">
        <v>1</v>
      </c>
      <c r="D26" s="20">
        <v>2</v>
      </c>
      <c r="E26" s="20">
        <v>3</v>
      </c>
      <c r="F26" s="20">
        <v>4</v>
      </c>
      <c r="G26" s="20">
        <v>5</v>
      </c>
      <c r="H26" s="20">
        <v>6</v>
      </c>
      <c r="I26" s="20">
        <v>7</v>
      </c>
      <c r="J26" s="20">
        <v>8</v>
      </c>
      <c r="K26" s="20">
        <v>9</v>
      </c>
      <c r="L26" s="20">
        <v>10</v>
      </c>
      <c r="M26" s="20">
        <v>11</v>
      </c>
      <c r="N26" s="20">
        <v>12</v>
      </c>
      <c r="O26" s="20">
        <v>13</v>
      </c>
      <c r="P26" s="20">
        <v>14</v>
      </c>
      <c r="Q26" s="20">
        <v>15</v>
      </c>
      <c r="R26" s="20">
        <v>16</v>
      </c>
      <c r="S26" s="20">
        <v>17</v>
      </c>
      <c r="T26" s="20">
        <v>18</v>
      </c>
      <c r="U26" s="20">
        <v>19</v>
      </c>
      <c r="V26" s="20">
        <v>20</v>
      </c>
      <c r="W26" s="20">
        <v>21</v>
      </c>
      <c r="X26" s="20">
        <v>22</v>
      </c>
      <c r="Y26" s="20">
        <v>23</v>
      </c>
      <c r="Z26" s="20">
        <v>24</v>
      </c>
      <c r="AA26" s="20">
        <v>25</v>
      </c>
      <c r="AB26" s="20">
        <v>26</v>
      </c>
      <c r="BH26" s="20">
        <v>1</v>
      </c>
      <c r="BI26" s="20">
        <v>17</v>
      </c>
      <c r="BJ26" s="20">
        <v>26</v>
      </c>
      <c r="BK26" s="20" t="s">
        <v>4</v>
      </c>
      <c r="BO26" s="20">
        <f t="shared" si="2"/>
        <v>1</v>
      </c>
      <c r="BP26" s="20">
        <f t="shared" si="2"/>
        <v>0</v>
      </c>
      <c r="BQ26" s="20">
        <f t="shared" si="2"/>
        <v>0</v>
      </c>
      <c r="BR26" s="20">
        <f t="shared" si="2"/>
        <v>0</v>
      </c>
    </row>
    <row r="27" spans="1:71" x14ac:dyDescent="0.25">
      <c r="A27" s="22" t="s">
        <v>40</v>
      </c>
      <c r="B27" s="23">
        <f t="shared" si="0"/>
        <v>4</v>
      </c>
      <c r="C27" s="20">
        <v>3</v>
      </c>
      <c r="D27" s="20">
        <v>4</v>
      </c>
      <c r="E27" s="20">
        <v>5</v>
      </c>
      <c r="F27" s="20">
        <v>6</v>
      </c>
      <c r="G27" s="20"/>
      <c r="BH27" s="20"/>
      <c r="BI27" s="20"/>
      <c r="BJ27" s="20"/>
      <c r="BK27" s="20" t="s">
        <v>2</v>
      </c>
      <c r="BL27" s="20" t="s">
        <v>3</v>
      </c>
      <c r="BO27" s="20">
        <f t="shared" si="2"/>
        <v>0</v>
      </c>
      <c r="BP27" s="20">
        <f t="shared" si="2"/>
        <v>0</v>
      </c>
      <c r="BQ27" s="20">
        <f t="shared" si="2"/>
        <v>1</v>
      </c>
      <c r="BR27" s="20">
        <f t="shared" si="2"/>
        <v>1</v>
      </c>
      <c r="BS27" s="63" t="s">
        <v>88</v>
      </c>
    </row>
    <row r="28" spans="1:71" x14ac:dyDescent="0.25">
      <c r="A28" s="24" t="s">
        <v>41</v>
      </c>
      <c r="B28" s="23">
        <f t="shared" si="0"/>
        <v>10</v>
      </c>
      <c r="C28" s="20">
        <v>3</v>
      </c>
      <c r="D28" s="20">
        <v>4</v>
      </c>
      <c r="E28" s="20">
        <v>5</v>
      </c>
      <c r="F28" s="20">
        <v>6</v>
      </c>
      <c r="G28" s="20">
        <v>7</v>
      </c>
      <c r="H28" s="20">
        <v>8</v>
      </c>
      <c r="I28" s="20">
        <v>9</v>
      </c>
      <c r="J28" s="20">
        <v>10</v>
      </c>
      <c r="K28" s="20">
        <v>11</v>
      </c>
      <c r="L28" s="20">
        <v>12</v>
      </c>
      <c r="M28" s="20"/>
      <c r="N28" s="20"/>
      <c r="BH28" s="20">
        <v>3</v>
      </c>
      <c r="BI28" s="20">
        <v>6</v>
      </c>
      <c r="BJ28" s="20">
        <v>12</v>
      </c>
      <c r="BK28" s="20" t="s">
        <v>2</v>
      </c>
      <c r="BL28" s="20" t="s">
        <v>3</v>
      </c>
      <c r="BO28" s="20">
        <f t="shared" si="2"/>
        <v>0</v>
      </c>
      <c r="BP28" s="20">
        <f t="shared" si="2"/>
        <v>0</v>
      </c>
      <c r="BQ28" s="20">
        <f t="shared" si="2"/>
        <v>1</v>
      </c>
      <c r="BR28" s="20">
        <f t="shared" si="2"/>
        <v>1</v>
      </c>
      <c r="BS28" s="63" t="s">
        <v>88</v>
      </c>
    </row>
    <row r="29" spans="1:71" x14ac:dyDescent="0.25">
      <c r="A29" s="24" t="s">
        <v>42</v>
      </c>
      <c r="B29" s="23">
        <f t="shared" si="0"/>
        <v>13</v>
      </c>
      <c r="C29" s="20">
        <v>9</v>
      </c>
      <c r="D29" s="20">
        <v>10</v>
      </c>
      <c r="E29" s="20">
        <v>11</v>
      </c>
      <c r="F29" s="20">
        <v>12</v>
      </c>
      <c r="G29" s="20">
        <v>13</v>
      </c>
      <c r="H29" s="20">
        <v>14</v>
      </c>
      <c r="I29" s="20">
        <v>15</v>
      </c>
      <c r="J29" s="20">
        <v>16</v>
      </c>
      <c r="K29" s="20">
        <v>17</v>
      </c>
      <c r="L29" s="20">
        <v>18</v>
      </c>
      <c r="M29" s="20">
        <v>19</v>
      </c>
      <c r="N29" s="20">
        <v>20</v>
      </c>
      <c r="O29" s="20">
        <v>21</v>
      </c>
      <c r="BH29" s="20">
        <v>9</v>
      </c>
      <c r="BI29" s="20">
        <v>15</v>
      </c>
      <c r="BJ29" s="20">
        <v>21</v>
      </c>
      <c r="BK29" s="20" t="s">
        <v>2</v>
      </c>
      <c r="BL29" s="20" t="s">
        <v>3</v>
      </c>
      <c r="BO29" s="20">
        <f t="shared" si="2"/>
        <v>0</v>
      </c>
      <c r="BP29" s="20">
        <f t="shared" si="2"/>
        <v>0</v>
      </c>
      <c r="BQ29" s="20">
        <f t="shared" si="2"/>
        <v>1</v>
      </c>
      <c r="BR29" s="20">
        <f t="shared" si="2"/>
        <v>1</v>
      </c>
    </row>
    <row r="30" spans="1:71" x14ac:dyDescent="0.25">
      <c r="A30" s="24" t="s">
        <v>43</v>
      </c>
      <c r="B30" s="23">
        <f t="shared" ref="B30:B61" si="3">IF(A30="","",COUNTA(C30:BG30))</f>
        <v>13</v>
      </c>
      <c r="C30" s="20">
        <v>18</v>
      </c>
      <c r="D30" s="20">
        <v>19</v>
      </c>
      <c r="E30" s="20">
        <v>20</v>
      </c>
      <c r="F30" s="20">
        <v>21</v>
      </c>
      <c r="G30" s="20">
        <v>22</v>
      </c>
      <c r="H30" s="20">
        <v>23</v>
      </c>
      <c r="I30" s="20">
        <v>24</v>
      </c>
      <c r="J30" s="20">
        <v>25</v>
      </c>
      <c r="K30" s="20">
        <v>26</v>
      </c>
      <c r="L30" s="20">
        <v>27</v>
      </c>
      <c r="M30" s="20">
        <v>28</v>
      </c>
      <c r="N30" s="20">
        <v>29</v>
      </c>
      <c r="O30" s="20">
        <v>30</v>
      </c>
      <c r="BH30" s="20">
        <v>18</v>
      </c>
      <c r="BI30" s="20">
        <v>24</v>
      </c>
      <c r="BJ30" s="20">
        <v>30</v>
      </c>
      <c r="BK30" s="20" t="s">
        <v>2</v>
      </c>
      <c r="BL30" s="20" t="s">
        <v>3</v>
      </c>
      <c r="BO30" s="20">
        <f t="shared" si="2"/>
        <v>0</v>
      </c>
      <c r="BP30" s="20">
        <f t="shared" si="2"/>
        <v>0</v>
      </c>
      <c r="BQ30" s="20">
        <f t="shared" si="2"/>
        <v>1</v>
      </c>
      <c r="BR30" s="20">
        <f t="shared" si="2"/>
        <v>1</v>
      </c>
    </row>
    <row r="31" spans="1:71" x14ac:dyDescent="0.25">
      <c r="A31" s="24" t="s">
        <v>44</v>
      </c>
      <c r="B31" s="23">
        <f t="shared" si="3"/>
        <v>13</v>
      </c>
      <c r="C31" s="20">
        <v>27</v>
      </c>
      <c r="D31" s="20">
        <v>28</v>
      </c>
      <c r="E31" s="20">
        <v>29</v>
      </c>
      <c r="F31" s="20">
        <v>30</v>
      </c>
      <c r="G31" s="20">
        <v>31</v>
      </c>
      <c r="H31" s="20">
        <v>32</v>
      </c>
      <c r="I31" s="20">
        <v>33</v>
      </c>
      <c r="J31" s="20">
        <v>34</v>
      </c>
      <c r="K31" s="20">
        <v>35</v>
      </c>
      <c r="L31" s="20">
        <v>36</v>
      </c>
      <c r="M31" s="20">
        <v>37</v>
      </c>
      <c r="N31" s="20">
        <v>38</v>
      </c>
      <c r="O31" s="20">
        <v>39</v>
      </c>
      <c r="BH31" s="20">
        <v>27</v>
      </c>
      <c r="BI31" s="20">
        <v>36</v>
      </c>
      <c r="BJ31" s="20">
        <v>39</v>
      </c>
      <c r="BK31" s="20" t="s">
        <v>4</v>
      </c>
      <c r="BO31" s="20">
        <f t="shared" si="2"/>
        <v>1</v>
      </c>
      <c r="BP31" s="20">
        <f t="shared" si="2"/>
        <v>0</v>
      </c>
      <c r="BQ31" s="20">
        <f t="shared" si="2"/>
        <v>0</v>
      </c>
      <c r="BR31" s="20">
        <f t="shared" si="2"/>
        <v>0</v>
      </c>
    </row>
    <row r="32" spans="1:71" x14ac:dyDescent="0.25">
      <c r="A32" s="24" t="s">
        <v>45</v>
      </c>
      <c r="B32" s="23">
        <f t="shared" si="3"/>
        <v>13</v>
      </c>
      <c r="C32" s="20">
        <v>36</v>
      </c>
      <c r="D32" s="20">
        <v>37</v>
      </c>
      <c r="E32" s="20">
        <v>38</v>
      </c>
      <c r="F32" s="20">
        <v>39</v>
      </c>
      <c r="G32" s="20">
        <v>40</v>
      </c>
      <c r="H32" s="20">
        <v>41</v>
      </c>
      <c r="I32" s="20">
        <v>42</v>
      </c>
      <c r="J32" s="20">
        <v>43</v>
      </c>
      <c r="K32" s="20">
        <v>44</v>
      </c>
      <c r="L32" s="20">
        <v>45</v>
      </c>
      <c r="M32" s="20">
        <v>46</v>
      </c>
      <c r="N32" s="20">
        <v>47</v>
      </c>
      <c r="O32" s="20">
        <v>48</v>
      </c>
      <c r="BH32" s="20">
        <v>36</v>
      </c>
      <c r="BI32" s="20">
        <v>43</v>
      </c>
      <c r="BJ32" s="20">
        <v>48</v>
      </c>
      <c r="BK32" s="20" t="s">
        <v>4</v>
      </c>
      <c r="BO32" s="20">
        <f t="shared" si="2"/>
        <v>1</v>
      </c>
      <c r="BP32" s="20">
        <f t="shared" si="2"/>
        <v>0</v>
      </c>
      <c r="BQ32" s="20">
        <f t="shared" si="2"/>
        <v>0</v>
      </c>
      <c r="BR32" s="20">
        <f t="shared" si="2"/>
        <v>0</v>
      </c>
    </row>
    <row r="33" spans="1:71" x14ac:dyDescent="0.25">
      <c r="A33" s="21" t="s">
        <v>66</v>
      </c>
      <c r="B33" s="23">
        <f t="shared" si="3"/>
        <v>1</v>
      </c>
      <c r="C33" s="21">
        <v>3</v>
      </c>
      <c r="BK33" s="21" t="s">
        <v>2</v>
      </c>
      <c r="BL33" s="21" t="s">
        <v>3</v>
      </c>
      <c r="BO33" s="20">
        <f t="shared" si="2"/>
        <v>0</v>
      </c>
      <c r="BP33" s="20">
        <f t="shared" si="2"/>
        <v>0</v>
      </c>
      <c r="BQ33" s="20">
        <f t="shared" si="2"/>
        <v>1</v>
      </c>
      <c r="BR33" s="20">
        <f t="shared" si="2"/>
        <v>1</v>
      </c>
      <c r="BS33" s="63" t="s">
        <v>88</v>
      </c>
    </row>
    <row r="34" spans="1:71" x14ac:dyDescent="0.25">
      <c r="A34" s="21" t="s">
        <v>67</v>
      </c>
      <c r="B34" s="23">
        <f t="shared" si="3"/>
        <v>1</v>
      </c>
      <c r="C34" s="21">
        <v>4</v>
      </c>
      <c r="BK34" s="21" t="s">
        <v>2</v>
      </c>
      <c r="BL34" s="21" t="s">
        <v>3</v>
      </c>
      <c r="BO34" s="20">
        <f t="shared" ref="BO34:BR46" si="4">COUNTIF($BK34:$BN34,BO$1)</f>
        <v>0</v>
      </c>
      <c r="BP34" s="20">
        <f t="shared" si="4"/>
        <v>0</v>
      </c>
      <c r="BQ34" s="20">
        <f t="shared" si="4"/>
        <v>1</v>
      </c>
      <c r="BR34" s="20">
        <f t="shared" si="4"/>
        <v>1</v>
      </c>
    </row>
    <row r="35" spans="1:71" x14ac:dyDescent="0.25">
      <c r="A35" s="21" t="s">
        <v>68</v>
      </c>
      <c r="B35" s="23">
        <f t="shared" si="3"/>
        <v>1</v>
      </c>
      <c r="C35" s="21">
        <v>5</v>
      </c>
      <c r="BK35" s="21" t="s">
        <v>2</v>
      </c>
      <c r="BL35" s="21" t="s">
        <v>3</v>
      </c>
      <c r="BO35" s="20">
        <f t="shared" si="4"/>
        <v>0</v>
      </c>
      <c r="BP35" s="20">
        <f t="shared" si="4"/>
        <v>0</v>
      </c>
      <c r="BQ35" s="20">
        <f t="shared" si="4"/>
        <v>1</v>
      </c>
      <c r="BR35" s="20">
        <f t="shared" si="4"/>
        <v>1</v>
      </c>
    </row>
    <row r="36" spans="1:71" x14ac:dyDescent="0.25">
      <c r="A36" s="21" t="s">
        <v>69</v>
      </c>
      <c r="B36" s="23">
        <f t="shared" si="3"/>
        <v>1</v>
      </c>
      <c r="C36" s="21">
        <v>6</v>
      </c>
      <c r="BK36" s="21" t="s">
        <v>2</v>
      </c>
      <c r="BL36" s="21" t="s">
        <v>3</v>
      </c>
      <c r="BO36" s="20">
        <f t="shared" si="4"/>
        <v>0</v>
      </c>
      <c r="BP36" s="20">
        <f t="shared" si="4"/>
        <v>0</v>
      </c>
      <c r="BQ36" s="20">
        <f t="shared" si="4"/>
        <v>1</v>
      </c>
      <c r="BR36" s="20">
        <f t="shared" si="4"/>
        <v>1</v>
      </c>
    </row>
    <row r="37" spans="1:71" x14ac:dyDescent="0.25">
      <c r="A37" s="21" t="s">
        <v>70</v>
      </c>
      <c r="B37" s="23">
        <f t="shared" si="3"/>
        <v>1</v>
      </c>
      <c r="C37" s="21">
        <v>7</v>
      </c>
      <c r="BK37" s="21" t="s">
        <v>2</v>
      </c>
      <c r="BL37" s="21" t="s">
        <v>3</v>
      </c>
      <c r="BO37" s="20">
        <f t="shared" si="4"/>
        <v>0</v>
      </c>
      <c r="BP37" s="20">
        <f t="shared" si="4"/>
        <v>0</v>
      </c>
      <c r="BQ37" s="20">
        <f t="shared" si="4"/>
        <v>1</v>
      </c>
      <c r="BR37" s="20">
        <f t="shared" si="4"/>
        <v>1</v>
      </c>
    </row>
    <row r="38" spans="1:71" x14ac:dyDescent="0.25">
      <c r="A38" s="21" t="s">
        <v>71</v>
      </c>
      <c r="B38" s="23">
        <f t="shared" si="3"/>
        <v>1</v>
      </c>
      <c r="C38" s="21">
        <v>10</v>
      </c>
      <c r="BK38" s="21" t="s">
        <v>2</v>
      </c>
      <c r="BL38" s="21" t="s">
        <v>3</v>
      </c>
      <c r="BO38" s="20">
        <f t="shared" si="4"/>
        <v>0</v>
      </c>
      <c r="BP38" s="20">
        <f t="shared" si="4"/>
        <v>0</v>
      </c>
      <c r="BQ38" s="20">
        <f t="shared" si="4"/>
        <v>1</v>
      </c>
      <c r="BR38" s="20">
        <f t="shared" si="4"/>
        <v>1</v>
      </c>
    </row>
    <row r="39" spans="1:71" x14ac:dyDescent="0.25">
      <c r="A39" s="21" t="s">
        <v>72</v>
      </c>
      <c r="B39" s="23">
        <f t="shared" si="3"/>
        <v>1</v>
      </c>
      <c r="C39" s="21">
        <v>15</v>
      </c>
      <c r="BK39" s="21" t="s">
        <v>2</v>
      </c>
      <c r="BL39" s="21" t="s">
        <v>3</v>
      </c>
      <c r="BO39" s="20">
        <f t="shared" si="4"/>
        <v>0</v>
      </c>
      <c r="BP39" s="20">
        <f t="shared" si="4"/>
        <v>0</v>
      </c>
      <c r="BQ39" s="20">
        <f t="shared" si="4"/>
        <v>1</v>
      </c>
      <c r="BR39" s="20">
        <f t="shared" si="4"/>
        <v>1</v>
      </c>
    </row>
    <row r="40" spans="1:71" x14ac:dyDescent="0.25">
      <c r="A40" s="21" t="s">
        <v>73</v>
      </c>
      <c r="B40" s="23">
        <f t="shared" si="3"/>
        <v>1</v>
      </c>
      <c r="C40" s="21">
        <v>21</v>
      </c>
      <c r="BK40" s="21" t="s">
        <v>2</v>
      </c>
      <c r="BL40" s="21" t="s">
        <v>3</v>
      </c>
      <c r="BO40" s="20">
        <f t="shared" si="4"/>
        <v>0</v>
      </c>
      <c r="BP40" s="20">
        <f t="shared" si="4"/>
        <v>0</v>
      </c>
      <c r="BQ40" s="20">
        <f t="shared" si="4"/>
        <v>1</v>
      </c>
      <c r="BR40" s="20">
        <f t="shared" si="4"/>
        <v>1</v>
      </c>
    </row>
    <row r="41" spans="1:71" x14ac:dyDescent="0.25">
      <c r="A41" s="21" t="s">
        <v>74</v>
      </c>
      <c r="B41" s="23">
        <f t="shared" si="3"/>
        <v>1</v>
      </c>
      <c r="C41" s="21">
        <v>24</v>
      </c>
      <c r="BK41" s="21" t="s">
        <v>2</v>
      </c>
      <c r="BL41" s="21" t="s">
        <v>3</v>
      </c>
      <c r="BO41" s="20">
        <f t="shared" si="4"/>
        <v>0</v>
      </c>
      <c r="BP41" s="20">
        <f t="shared" si="4"/>
        <v>0</v>
      </c>
      <c r="BQ41" s="20">
        <f t="shared" si="4"/>
        <v>1</v>
      </c>
      <c r="BR41" s="20">
        <f t="shared" si="4"/>
        <v>1</v>
      </c>
    </row>
    <row r="42" spans="1:71" x14ac:dyDescent="0.25">
      <c r="B42" s="23" t="str">
        <f t="shared" si="3"/>
        <v/>
      </c>
      <c r="BK42" s="21" t="s">
        <v>2</v>
      </c>
      <c r="BL42" s="21" t="s">
        <v>3</v>
      </c>
      <c r="BO42" s="20">
        <f t="shared" si="4"/>
        <v>0</v>
      </c>
      <c r="BP42" s="20">
        <f t="shared" si="4"/>
        <v>0</v>
      </c>
      <c r="BQ42" s="20">
        <f t="shared" si="4"/>
        <v>1</v>
      </c>
      <c r="BR42" s="20">
        <f t="shared" si="4"/>
        <v>1</v>
      </c>
    </row>
    <row r="43" spans="1:71" x14ac:dyDescent="0.25">
      <c r="B43" s="23" t="str">
        <f t="shared" si="3"/>
        <v/>
      </c>
      <c r="BK43" s="21" t="s">
        <v>2</v>
      </c>
      <c r="BL43" s="21" t="s">
        <v>3</v>
      </c>
      <c r="BO43" s="20">
        <f t="shared" si="4"/>
        <v>0</v>
      </c>
      <c r="BP43" s="20">
        <f t="shared" si="4"/>
        <v>0</v>
      </c>
      <c r="BQ43" s="20">
        <f t="shared" si="4"/>
        <v>1</v>
      </c>
      <c r="BR43" s="20">
        <f t="shared" si="4"/>
        <v>1</v>
      </c>
    </row>
    <row r="44" spans="1:71" x14ac:dyDescent="0.25">
      <c r="B44" s="23" t="str">
        <f t="shared" si="3"/>
        <v/>
      </c>
      <c r="BK44" s="21" t="s">
        <v>2</v>
      </c>
      <c r="BL44" s="21" t="s">
        <v>3</v>
      </c>
      <c r="BO44" s="20">
        <f t="shared" si="4"/>
        <v>0</v>
      </c>
      <c r="BP44" s="20">
        <f t="shared" si="4"/>
        <v>0</v>
      </c>
      <c r="BQ44" s="20">
        <f t="shared" si="4"/>
        <v>1</v>
      </c>
      <c r="BR44" s="20">
        <f t="shared" si="4"/>
        <v>1</v>
      </c>
    </row>
    <row r="45" spans="1:71" x14ac:dyDescent="0.25">
      <c r="B45" s="23" t="str">
        <f t="shared" si="3"/>
        <v/>
      </c>
      <c r="BO45" s="20">
        <f t="shared" si="4"/>
        <v>0</v>
      </c>
      <c r="BP45" s="20">
        <f t="shared" si="4"/>
        <v>0</v>
      </c>
      <c r="BQ45" s="20">
        <f t="shared" si="4"/>
        <v>0</v>
      </c>
      <c r="BR45" s="20">
        <f t="shared" si="4"/>
        <v>0</v>
      </c>
    </row>
    <row r="46" spans="1:71" x14ac:dyDescent="0.25">
      <c r="B46" s="23" t="str">
        <f t="shared" si="3"/>
        <v/>
      </c>
      <c r="BO46" s="20">
        <f t="shared" si="4"/>
        <v>0</v>
      </c>
      <c r="BP46" s="20">
        <f t="shared" si="4"/>
        <v>0</v>
      </c>
      <c r="BQ46" s="20">
        <f t="shared" si="4"/>
        <v>0</v>
      </c>
      <c r="BR46" s="20">
        <f t="shared" si="4"/>
        <v>0</v>
      </c>
    </row>
    <row r="47" spans="1:71" x14ac:dyDescent="0.25">
      <c r="B47" s="23" t="str">
        <f t="shared" si="3"/>
        <v/>
      </c>
    </row>
    <row r="48" spans="1:71" x14ac:dyDescent="0.25">
      <c r="B48" s="23" t="str">
        <f t="shared" si="3"/>
        <v/>
      </c>
    </row>
    <row r="49" spans="2:2" x14ac:dyDescent="0.25">
      <c r="B49" s="23" t="str">
        <f t="shared" si="3"/>
        <v/>
      </c>
    </row>
    <row r="50" spans="2:2" x14ac:dyDescent="0.25">
      <c r="B50" s="23" t="str">
        <f t="shared" si="3"/>
        <v/>
      </c>
    </row>
    <row r="51" spans="2:2" x14ac:dyDescent="0.25">
      <c r="B51" s="23" t="str">
        <f t="shared" si="3"/>
        <v/>
      </c>
    </row>
    <row r="52" spans="2:2" x14ac:dyDescent="0.25">
      <c r="B52" s="23" t="str">
        <f t="shared" si="3"/>
        <v/>
      </c>
    </row>
    <row r="53" spans="2:2" x14ac:dyDescent="0.25">
      <c r="B53" s="23" t="str">
        <f t="shared" si="3"/>
        <v/>
      </c>
    </row>
    <row r="54" spans="2:2" x14ac:dyDescent="0.25">
      <c r="B54" s="23" t="str">
        <f t="shared" si="3"/>
        <v/>
      </c>
    </row>
    <row r="55" spans="2:2" x14ac:dyDescent="0.25">
      <c r="B55" s="23" t="str">
        <f t="shared" si="3"/>
        <v/>
      </c>
    </row>
    <row r="56" spans="2:2" x14ac:dyDescent="0.25">
      <c r="B56" s="23" t="str">
        <f t="shared" si="3"/>
        <v/>
      </c>
    </row>
    <row r="57" spans="2:2" x14ac:dyDescent="0.25">
      <c r="B57" s="23" t="str">
        <f t="shared" si="3"/>
        <v/>
      </c>
    </row>
    <row r="58" spans="2:2" x14ac:dyDescent="0.25">
      <c r="B58" s="23" t="str">
        <f t="shared" si="3"/>
        <v/>
      </c>
    </row>
    <row r="59" spans="2:2" x14ac:dyDescent="0.25">
      <c r="B59" s="23" t="str">
        <f t="shared" si="3"/>
        <v/>
      </c>
    </row>
    <row r="60" spans="2:2" x14ac:dyDescent="0.25">
      <c r="B60" s="23" t="str">
        <f t="shared" si="3"/>
        <v/>
      </c>
    </row>
    <row r="61" spans="2:2" x14ac:dyDescent="0.25">
      <c r="B61" s="23" t="str">
        <f t="shared" si="3"/>
        <v/>
      </c>
    </row>
    <row r="62" spans="2:2" x14ac:dyDescent="0.25">
      <c r="B62" s="23" t="str">
        <f t="shared" ref="B62:B78" si="5">IF(A62="","",COUNTA(C62:BG62))</f>
        <v/>
      </c>
    </row>
    <row r="63" spans="2:2" x14ac:dyDescent="0.25">
      <c r="B63" s="23" t="str">
        <f t="shared" si="5"/>
        <v/>
      </c>
    </row>
    <row r="64" spans="2:2" x14ac:dyDescent="0.25">
      <c r="B64" s="23" t="str">
        <f t="shared" si="5"/>
        <v/>
      </c>
    </row>
    <row r="65" spans="2:2" x14ac:dyDescent="0.25">
      <c r="B65" s="23" t="str">
        <f t="shared" si="5"/>
        <v/>
      </c>
    </row>
    <row r="66" spans="2:2" x14ac:dyDescent="0.25">
      <c r="B66" s="23" t="str">
        <f t="shared" si="5"/>
        <v/>
      </c>
    </row>
    <row r="67" spans="2:2" x14ac:dyDescent="0.25">
      <c r="B67" s="23" t="str">
        <f t="shared" si="5"/>
        <v/>
      </c>
    </row>
    <row r="68" spans="2:2" x14ac:dyDescent="0.25">
      <c r="B68" s="23" t="str">
        <f t="shared" si="5"/>
        <v/>
      </c>
    </row>
    <row r="69" spans="2:2" x14ac:dyDescent="0.25">
      <c r="B69" s="23" t="str">
        <f t="shared" si="5"/>
        <v/>
      </c>
    </row>
    <row r="70" spans="2:2" x14ac:dyDescent="0.25">
      <c r="B70" s="23" t="str">
        <f t="shared" si="5"/>
        <v/>
      </c>
    </row>
    <row r="71" spans="2:2" x14ac:dyDescent="0.25">
      <c r="B71" s="23" t="str">
        <f t="shared" si="5"/>
        <v/>
      </c>
    </row>
    <row r="72" spans="2:2" x14ac:dyDescent="0.25">
      <c r="B72" s="23" t="str">
        <f t="shared" si="5"/>
        <v/>
      </c>
    </row>
    <row r="73" spans="2:2" x14ac:dyDescent="0.25">
      <c r="B73" s="23" t="str">
        <f t="shared" si="5"/>
        <v/>
      </c>
    </row>
    <row r="74" spans="2:2" x14ac:dyDescent="0.25">
      <c r="B74" s="23" t="str">
        <f t="shared" si="5"/>
        <v/>
      </c>
    </row>
    <row r="75" spans="2:2" x14ac:dyDescent="0.25">
      <c r="B75" s="23" t="str">
        <f t="shared" si="5"/>
        <v/>
      </c>
    </row>
    <row r="76" spans="2:2" x14ac:dyDescent="0.25">
      <c r="B76" s="23" t="str">
        <f t="shared" si="5"/>
        <v/>
      </c>
    </row>
    <row r="77" spans="2:2" x14ac:dyDescent="0.25">
      <c r="B77" s="23" t="str">
        <f t="shared" si="5"/>
        <v/>
      </c>
    </row>
    <row r="78" spans="2:2" x14ac:dyDescent="0.25">
      <c r="B78" s="23" t="str">
        <f t="shared" si="5"/>
        <v/>
      </c>
    </row>
  </sheetData>
  <sheetProtection selectLockedCells="1"/>
  <autoFilter ref="A1:BJ78"/>
  <mergeCells count="1">
    <mergeCell ref="BK1:BN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Rates</vt:lpstr>
      <vt:lpstr>Thresholds_Rates</vt:lpstr>
      <vt:lpstr>Points_Lookup</vt:lpstr>
      <vt:lpstr>Grades</vt:lpstr>
      <vt:lpstr>Rates!Print_Area</vt:lpstr>
    </vt:vector>
  </TitlesOfParts>
  <Company>The University of Nottingham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Salary-Scales-On-Costs-Pay-Award-Aug-2014-(April-2014-NI)</dc:title>
  <dc:creator>Tanya Robinson</dc:creator>
  <cp:lastModifiedBy>Hadwin Benjamin</cp:lastModifiedBy>
  <cp:lastPrinted>2017-04-28T10:56:34Z</cp:lastPrinted>
  <dcterms:created xsi:type="dcterms:W3CDTF">2011-11-03T09:54:30Z</dcterms:created>
  <dcterms:modified xsi:type="dcterms:W3CDTF">2017-08-29T09:06:19Z</dcterms:modified>
</cp:coreProperties>
</file>