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CCB2" lockStructure="1"/>
  <bookViews>
    <workbookView xWindow="-15" yWindow="4215" windowWidth="15420" windowHeight="4020"/>
  </bookViews>
  <sheets>
    <sheet name="Rates" sheetId="1" r:id="rId1"/>
    <sheet name="2-57 Point Scale" sheetId="6" r:id="rId2"/>
    <sheet name="Thresholds_Rates" sheetId="7" state="hidden" r:id="rId3"/>
    <sheet name="Notes &amp; Guidance" sheetId="5" r:id="rId4"/>
    <sheet name="Points_Lookup" sheetId="4" state="hidden" r:id="rId5"/>
    <sheet name="Grades" sheetId="2" state="hidden" r:id="rId6"/>
  </sheets>
  <definedNames>
    <definedName name="_xlnm._FilterDatabase" localSheetId="5" hidden="1">Grades!$A$1:$BJ$83</definedName>
    <definedName name="LIST">OFFSET(Grades!$A$2,0,0,COUNTA(Grades!$A:$A)-1,1)</definedName>
    <definedName name="_xlnm.Print_Area" localSheetId="1">'2-57 Point Scale'!$A$4:$T$60</definedName>
    <definedName name="_xlnm.Print_Area" localSheetId="0">Rates!$B$3:$P$35</definedName>
  </definedNames>
  <calcPr calcId="145621"/>
</workbook>
</file>

<file path=xl/calcChain.xml><?xml version="1.0" encoding="utf-8"?>
<calcChain xmlns="http://schemas.openxmlformats.org/spreadsheetml/2006/main">
  <c r="AC7" i="4" l="1"/>
  <c r="AC4" i="4"/>
  <c r="B70" i="4" l="1"/>
  <c r="B61" i="4"/>
  <c r="B60" i="4" l="1"/>
  <c r="AC13" i="4" l="1"/>
  <c r="AC12" i="4"/>
  <c r="T6" i="1"/>
  <c r="BO17" i="2"/>
  <c r="BP17" i="2"/>
  <c r="BQ17" i="2"/>
  <c r="BR17" i="2"/>
  <c r="AC10" i="4"/>
  <c r="AC11" i="4"/>
  <c r="B17" i="2"/>
  <c r="BR19" i="2"/>
  <c r="BQ19" i="2"/>
  <c r="BP19" i="2"/>
  <c r="BO19" i="2"/>
  <c r="B19" i="2"/>
  <c r="BR18" i="2"/>
  <c r="BQ18" i="2"/>
  <c r="BP18" i="2"/>
  <c r="BO18" i="2"/>
  <c r="B18" i="2"/>
  <c r="B71" i="4"/>
  <c r="AC8" i="4" s="1"/>
  <c r="B72" i="4"/>
  <c r="B73" i="4"/>
  <c r="B74" i="4"/>
  <c r="B75" i="4"/>
  <c r="B76" i="4"/>
  <c r="B77" i="4"/>
  <c r="B69" i="4"/>
  <c r="AC6" i="4" s="1"/>
  <c r="B62" i="4"/>
  <c r="AC5" i="4" s="1"/>
  <c r="B63" i="4"/>
  <c r="B64" i="4"/>
  <c r="B65" i="4"/>
  <c r="B66" i="4"/>
  <c r="B67" i="4"/>
  <c r="B68" i="4"/>
  <c r="AC3" i="4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C7" i="1"/>
  <c r="U7" i="1"/>
  <c r="T7" i="1"/>
  <c r="S7" i="1"/>
  <c r="R7" i="1"/>
  <c r="R6" i="1"/>
  <c r="V4" i="4"/>
  <c r="Y4" i="4" s="1"/>
  <c r="V5" i="4"/>
  <c r="W5" i="4" s="1"/>
  <c r="V6" i="4"/>
  <c r="Y6" i="4" s="1"/>
  <c r="V7" i="4"/>
  <c r="W7" i="4" s="1"/>
  <c r="V8" i="4"/>
  <c r="W8" i="4" s="1"/>
  <c r="V9" i="4"/>
  <c r="W9" i="4" s="1"/>
  <c r="V10" i="4"/>
  <c r="Y10" i="4" s="1"/>
  <c r="V11" i="4"/>
  <c r="W11" i="4" s="1"/>
  <c r="V12" i="4"/>
  <c r="W12" i="4" s="1"/>
  <c r="V13" i="4"/>
  <c r="W13" i="4" s="1"/>
  <c r="V14" i="4"/>
  <c r="Y14" i="4" s="1"/>
  <c r="V15" i="4"/>
  <c r="W15" i="4" s="1"/>
  <c r="V3" i="4"/>
  <c r="W3" i="4" s="1"/>
  <c r="Y8" i="4"/>
  <c r="O4" i="4"/>
  <c r="P4" i="4" s="1"/>
  <c r="O5" i="4"/>
  <c r="P5" i="4" s="1"/>
  <c r="O6" i="4"/>
  <c r="P6" i="4" s="1"/>
  <c r="O7" i="4"/>
  <c r="P7" i="4" s="1"/>
  <c r="O8" i="4"/>
  <c r="P8" i="4" s="1"/>
  <c r="O9" i="4"/>
  <c r="P9" i="4" s="1"/>
  <c r="O10" i="4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3" i="4"/>
  <c r="P3" i="4" s="1"/>
  <c r="BO4" i="2"/>
  <c r="BP4" i="2"/>
  <c r="BQ4" i="2"/>
  <c r="BR4" i="2"/>
  <c r="BO5" i="2"/>
  <c r="BP5" i="2"/>
  <c r="BQ5" i="2"/>
  <c r="BR5" i="2"/>
  <c r="BO6" i="2"/>
  <c r="BP6" i="2"/>
  <c r="BQ6" i="2"/>
  <c r="BR6" i="2"/>
  <c r="BO7" i="2"/>
  <c r="BP7" i="2"/>
  <c r="BQ7" i="2"/>
  <c r="BR7" i="2"/>
  <c r="BO8" i="2"/>
  <c r="BP8" i="2"/>
  <c r="BQ8" i="2"/>
  <c r="BR8" i="2"/>
  <c r="BO9" i="2"/>
  <c r="BP9" i="2"/>
  <c r="BQ9" i="2"/>
  <c r="BR9" i="2"/>
  <c r="BO10" i="2"/>
  <c r="BP10" i="2"/>
  <c r="BQ10" i="2"/>
  <c r="BR10" i="2"/>
  <c r="BO11" i="2"/>
  <c r="BP11" i="2"/>
  <c r="BQ11" i="2"/>
  <c r="BR11" i="2"/>
  <c r="BO12" i="2"/>
  <c r="BP12" i="2"/>
  <c r="BQ12" i="2"/>
  <c r="BR12" i="2"/>
  <c r="BO13" i="2"/>
  <c r="BP13" i="2"/>
  <c r="BQ13" i="2"/>
  <c r="BR13" i="2"/>
  <c r="BO14" i="2"/>
  <c r="BP14" i="2"/>
  <c r="BQ14" i="2"/>
  <c r="BR14" i="2"/>
  <c r="BO15" i="2"/>
  <c r="BP15" i="2"/>
  <c r="BQ15" i="2"/>
  <c r="BR15" i="2"/>
  <c r="BO16" i="2"/>
  <c r="BP16" i="2"/>
  <c r="BQ16" i="2"/>
  <c r="BR16" i="2"/>
  <c r="BO20" i="2"/>
  <c r="BP20" i="2"/>
  <c r="BQ20" i="2"/>
  <c r="BR20" i="2"/>
  <c r="BO21" i="2"/>
  <c r="BP21" i="2"/>
  <c r="BQ21" i="2"/>
  <c r="BR21" i="2"/>
  <c r="BO22" i="2"/>
  <c r="BP22" i="2"/>
  <c r="BQ22" i="2"/>
  <c r="BR22" i="2"/>
  <c r="BO23" i="2"/>
  <c r="BP23" i="2"/>
  <c r="BQ23" i="2"/>
  <c r="BR23" i="2"/>
  <c r="BO24" i="2"/>
  <c r="BP24" i="2"/>
  <c r="BQ24" i="2"/>
  <c r="BR24" i="2"/>
  <c r="BO25" i="2"/>
  <c r="BP25" i="2"/>
  <c r="BQ25" i="2"/>
  <c r="BR25" i="2"/>
  <c r="BO26" i="2"/>
  <c r="BP26" i="2"/>
  <c r="BQ26" i="2"/>
  <c r="BR26" i="2"/>
  <c r="BO27" i="2"/>
  <c r="BP27" i="2"/>
  <c r="BQ27" i="2"/>
  <c r="BR27" i="2"/>
  <c r="BO28" i="2"/>
  <c r="BP28" i="2"/>
  <c r="BQ28" i="2"/>
  <c r="BR28" i="2"/>
  <c r="BO29" i="2"/>
  <c r="BP29" i="2"/>
  <c r="BQ29" i="2"/>
  <c r="BR29" i="2"/>
  <c r="BO30" i="2"/>
  <c r="BP30" i="2"/>
  <c r="BQ30" i="2"/>
  <c r="BR30" i="2"/>
  <c r="BO31" i="2"/>
  <c r="BP31" i="2"/>
  <c r="BQ31" i="2"/>
  <c r="BR31" i="2"/>
  <c r="BO32" i="2"/>
  <c r="BP32" i="2"/>
  <c r="BQ32" i="2"/>
  <c r="BR32" i="2"/>
  <c r="BO33" i="2"/>
  <c r="BP33" i="2"/>
  <c r="BQ33" i="2"/>
  <c r="BR33" i="2"/>
  <c r="BO34" i="2"/>
  <c r="BP34" i="2"/>
  <c r="BQ34" i="2"/>
  <c r="BR34" i="2"/>
  <c r="BO35" i="2"/>
  <c r="BP35" i="2"/>
  <c r="BQ35" i="2"/>
  <c r="BR35" i="2"/>
  <c r="BO36" i="2"/>
  <c r="BP36" i="2"/>
  <c r="BQ36" i="2"/>
  <c r="BR36" i="2"/>
  <c r="BO37" i="2"/>
  <c r="BP37" i="2"/>
  <c r="BQ37" i="2"/>
  <c r="BR37" i="2"/>
  <c r="BP3" i="2"/>
  <c r="BQ3" i="2"/>
  <c r="BR3" i="2"/>
  <c r="BO3" i="2"/>
  <c r="Y12" i="4" l="1"/>
  <c r="W4" i="4"/>
  <c r="R4" i="4"/>
  <c r="R15" i="4"/>
  <c r="R13" i="4"/>
  <c r="R11" i="4"/>
  <c r="R9" i="4"/>
  <c r="R7" i="4"/>
  <c r="R5" i="4"/>
  <c r="R3" i="4"/>
  <c r="R14" i="4"/>
  <c r="R12" i="4"/>
  <c r="R10" i="4"/>
  <c r="R8" i="4"/>
  <c r="R6" i="4"/>
  <c r="W6" i="4"/>
  <c r="W10" i="4"/>
  <c r="W14" i="4"/>
  <c r="Y3" i="4"/>
  <c r="Y5" i="4"/>
  <c r="Y7" i="4"/>
  <c r="Y9" i="4"/>
  <c r="Y11" i="4"/>
  <c r="Y13" i="4"/>
  <c r="Y15" i="4"/>
  <c r="B5" i="2"/>
  <c r="B6" i="2"/>
  <c r="B7" i="2"/>
  <c r="B8" i="2"/>
  <c r="B9" i="2"/>
  <c r="B10" i="2"/>
  <c r="B11" i="2"/>
  <c r="B12" i="2"/>
  <c r="B13" i="2"/>
  <c r="B14" i="2"/>
  <c r="B15" i="2"/>
  <c r="B16" i="2"/>
  <c r="B20" i="2"/>
  <c r="B21" i="2"/>
  <c r="B22" i="2"/>
  <c r="B23" i="2"/>
  <c r="B24" i="2"/>
  <c r="B25" i="2"/>
  <c r="B26" i="2"/>
  <c r="B27" i="2"/>
  <c r="B29" i="2"/>
  <c r="B30" i="2"/>
  <c r="B31" i="2"/>
  <c r="B32" i="2"/>
  <c r="B33" i="2"/>
  <c r="B34" i="2"/>
  <c r="B35" i="2"/>
  <c r="B36" i="2"/>
  <c r="B37" i="2"/>
  <c r="B3" i="2"/>
  <c r="B28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4" i="2"/>
  <c r="AA4" i="1" l="1"/>
  <c r="AA1" i="1"/>
  <c r="F4" i="1" s="1"/>
  <c r="AE5" i="4"/>
  <c r="AE61" i="4" l="1"/>
  <c r="AE63" i="4"/>
  <c r="AE65" i="4"/>
  <c r="AE67" i="4"/>
  <c r="AE69" i="4"/>
  <c r="AE71" i="4"/>
  <c r="AE73" i="4"/>
  <c r="AE75" i="4"/>
  <c r="AE77" i="4"/>
  <c r="AE79" i="4"/>
  <c r="AE81" i="4"/>
  <c r="AE83" i="4"/>
  <c r="AE85" i="4"/>
  <c r="AE87" i="4"/>
  <c r="AE89" i="4"/>
  <c r="AE91" i="4"/>
  <c r="AE93" i="4"/>
  <c r="AE95" i="4"/>
  <c r="AE97" i="4"/>
  <c r="AE99" i="4"/>
  <c r="AE101" i="4"/>
  <c r="AE103" i="4"/>
  <c r="AE105" i="4"/>
  <c r="AE107" i="4"/>
  <c r="AE109" i="4"/>
  <c r="AE111" i="4"/>
  <c r="AE113" i="4"/>
  <c r="AE115" i="4"/>
  <c r="AE117" i="4"/>
  <c r="AE119" i="4"/>
  <c r="AE121" i="4"/>
  <c r="AE123" i="4"/>
  <c r="AE125" i="4"/>
  <c r="AE127" i="4"/>
  <c r="AE129" i="4"/>
  <c r="AE131" i="4"/>
  <c r="AE133" i="4"/>
  <c r="AE135" i="4"/>
  <c r="AE137" i="4"/>
  <c r="AE139" i="4"/>
  <c r="AE141" i="4"/>
  <c r="AE143" i="4"/>
  <c r="AE145" i="4"/>
  <c r="AE147" i="4"/>
  <c r="AE149" i="4"/>
  <c r="AE151" i="4"/>
  <c r="AE153" i="4"/>
  <c r="AE155" i="4"/>
  <c r="AE157" i="4"/>
  <c r="AE159" i="4"/>
  <c r="AE161" i="4"/>
  <c r="AE163" i="4"/>
  <c r="AE165" i="4"/>
  <c r="AE167" i="4"/>
  <c r="AE169" i="4"/>
  <c r="AE171" i="4"/>
  <c r="AE173" i="4"/>
  <c r="AE175" i="4"/>
  <c r="AE177" i="4"/>
  <c r="AE179" i="4"/>
  <c r="AE181" i="4"/>
  <c r="AE183" i="4"/>
  <c r="AE185" i="4"/>
  <c r="AE187" i="4"/>
  <c r="AE189" i="4"/>
  <c r="AE191" i="4"/>
  <c r="AE193" i="4"/>
  <c r="AE195" i="4"/>
  <c r="AE197" i="4"/>
  <c r="AE199" i="4"/>
  <c r="AE201" i="4"/>
  <c r="AE203" i="4"/>
  <c r="AE205" i="4"/>
  <c r="AE207" i="4"/>
  <c r="AE209" i="4"/>
  <c r="AE211" i="4"/>
  <c r="AE213" i="4"/>
  <c r="AE215" i="4"/>
  <c r="AE217" i="4"/>
  <c r="AE219" i="4"/>
  <c r="AE221" i="4"/>
  <c r="AE223" i="4"/>
  <c r="AE225" i="4"/>
  <c r="AE227" i="4"/>
  <c r="AE229" i="4"/>
  <c r="AE231" i="4"/>
  <c r="AE233" i="4"/>
  <c r="AE235" i="4"/>
  <c r="AE237" i="4"/>
  <c r="AE239" i="4"/>
  <c r="AE241" i="4"/>
  <c r="AE243" i="4"/>
  <c r="AE245" i="4"/>
  <c r="AE247" i="4"/>
  <c r="AE249" i="4"/>
  <c r="AE251" i="4"/>
  <c r="AE253" i="4"/>
  <c r="AE255" i="4"/>
  <c r="AE257" i="4"/>
  <c r="AE259" i="4"/>
  <c r="AE261" i="4"/>
  <c r="AE263" i="4"/>
  <c r="AE265" i="4"/>
  <c r="AE267" i="4"/>
  <c r="AE269" i="4"/>
  <c r="AE271" i="4"/>
  <c r="AE273" i="4"/>
  <c r="AE275" i="4"/>
  <c r="AE277" i="4"/>
  <c r="AE279" i="4"/>
  <c r="AE281" i="4"/>
  <c r="AE283" i="4"/>
  <c r="AE285" i="4"/>
  <c r="AE60" i="4"/>
  <c r="AE62" i="4"/>
  <c r="AE64" i="4"/>
  <c r="AE66" i="4"/>
  <c r="AE68" i="4"/>
  <c r="AE70" i="4"/>
  <c r="AE72" i="4"/>
  <c r="AE74" i="4"/>
  <c r="AE76" i="4"/>
  <c r="AE78" i="4"/>
  <c r="AE80" i="4"/>
  <c r="AE82" i="4"/>
  <c r="AE84" i="4"/>
  <c r="AE86" i="4"/>
  <c r="AE88" i="4"/>
  <c r="AE90" i="4"/>
  <c r="AE92" i="4"/>
  <c r="AE94" i="4"/>
  <c r="AE96" i="4"/>
  <c r="AE98" i="4"/>
  <c r="AE100" i="4"/>
  <c r="AE102" i="4"/>
  <c r="AE104" i="4"/>
  <c r="AE106" i="4"/>
  <c r="AE108" i="4"/>
  <c r="AE110" i="4"/>
  <c r="AE112" i="4"/>
  <c r="AE114" i="4"/>
  <c r="AE116" i="4"/>
  <c r="AE118" i="4"/>
  <c r="AE120" i="4"/>
  <c r="AE122" i="4"/>
  <c r="AE124" i="4"/>
  <c r="AE126" i="4"/>
  <c r="AE128" i="4"/>
  <c r="AE130" i="4"/>
  <c r="AE132" i="4"/>
  <c r="AE134" i="4"/>
  <c r="AE136" i="4"/>
  <c r="AE138" i="4"/>
  <c r="AE140" i="4"/>
  <c r="AE142" i="4"/>
  <c r="AE144" i="4"/>
  <c r="AE146" i="4"/>
  <c r="AE148" i="4"/>
  <c r="AE150" i="4"/>
  <c r="AE152" i="4"/>
  <c r="AE154" i="4"/>
  <c r="AE156" i="4"/>
  <c r="AE158" i="4"/>
  <c r="AE160" i="4"/>
  <c r="AE162" i="4"/>
  <c r="AE164" i="4"/>
  <c r="AE166" i="4"/>
  <c r="AE168" i="4"/>
  <c r="AE170" i="4"/>
  <c r="AE172" i="4"/>
  <c r="AE174" i="4"/>
  <c r="AE176" i="4"/>
  <c r="AE178" i="4"/>
  <c r="AE180" i="4"/>
  <c r="AE182" i="4"/>
  <c r="AE184" i="4"/>
  <c r="AE186" i="4"/>
  <c r="AE188" i="4"/>
  <c r="AE190" i="4"/>
  <c r="AE192" i="4"/>
  <c r="AE194" i="4"/>
  <c r="AE196" i="4"/>
  <c r="AE198" i="4"/>
  <c r="AE200" i="4"/>
  <c r="AE202" i="4"/>
  <c r="AE204" i="4"/>
  <c r="AE206" i="4"/>
  <c r="AE208" i="4"/>
  <c r="AE210" i="4"/>
  <c r="AE212" i="4"/>
  <c r="AE214" i="4"/>
  <c r="AE216" i="4"/>
  <c r="AE218" i="4"/>
  <c r="AE220" i="4"/>
  <c r="AE222" i="4"/>
  <c r="AE224" i="4"/>
  <c r="AE226" i="4"/>
  <c r="AE228" i="4"/>
  <c r="AE230" i="4"/>
  <c r="AE232" i="4"/>
  <c r="AE234" i="4"/>
  <c r="AE236" i="4"/>
  <c r="AE238" i="4"/>
  <c r="AE240" i="4"/>
  <c r="AE242" i="4"/>
  <c r="AE244" i="4"/>
  <c r="AE246" i="4"/>
  <c r="AE248" i="4"/>
  <c r="AE250" i="4"/>
  <c r="AE252" i="4"/>
  <c r="AE254" i="4"/>
  <c r="AE256" i="4"/>
  <c r="AE258" i="4"/>
  <c r="AE260" i="4"/>
  <c r="AE262" i="4"/>
  <c r="AE264" i="4"/>
  <c r="AE266" i="4"/>
  <c r="AE268" i="4"/>
  <c r="AE270" i="4"/>
  <c r="AE272" i="4"/>
  <c r="AE274" i="4"/>
  <c r="AE276" i="4"/>
  <c r="AE278" i="4"/>
  <c r="AE280" i="4"/>
  <c r="AE282" i="4"/>
  <c r="AE284" i="4"/>
  <c r="AE286" i="4"/>
  <c r="AE3" i="4"/>
  <c r="AE58" i="4"/>
  <c r="AE56" i="4"/>
  <c r="AE54" i="4"/>
  <c r="AE52" i="4"/>
  <c r="AE50" i="4"/>
  <c r="AE48" i="4"/>
  <c r="AE46" i="4"/>
  <c r="AE44" i="4"/>
  <c r="AE42" i="4"/>
  <c r="AE40" i="4"/>
  <c r="AE38" i="4"/>
  <c r="AE36" i="4"/>
  <c r="AE34" i="4"/>
  <c r="AE32" i="4"/>
  <c r="AE30" i="4"/>
  <c r="AE28" i="4"/>
  <c r="AE26" i="4"/>
  <c r="AE24" i="4"/>
  <c r="AE22" i="4"/>
  <c r="AE20" i="4"/>
  <c r="AE18" i="4"/>
  <c r="AE16" i="4"/>
  <c r="AE14" i="4"/>
  <c r="AE12" i="4"/>
  <c r="AE10" i="4"/>
  <c r="AE8" i="4"/>
  <c r="AE6" i="4"/>
  <c r="AE4" i="4"/>
  <c r="AE59" i="4"/>
  <c r="AE57" i="4"/>
  <c r="AE55" i="4"/>
  <c r="AE53" i="4"/>
  <c r="AE51" i="4"/>
  <c r="AE49" i="4"/>
  <c r="AE47" i="4"/>
  <c r="AE45" i="4"/>
  <c r="AE43" i="4"/>
  <c r="AE41" i="4"/>
  <c r="AE39" i="4"/>
  <c r="AE37" i="4"/>
  <c r="AE35" i="4"/>
  <c r="AE33" i="4"/>
  <c r="AE31" i="4"/>
  <c r="AE29" i="4"/>
  <c r="AE27" i="4"/>
  <c r="AE25" i="4"/>
  <c r="AE23" i="4"/>
  <c r="AE21" i="4"/>
  <c r="AE19" i="4"/>
  <c r="AE17" i="4"/>
  <c r="AE15" i="4"/>
  <c r="AE13" i="4"/>
  <c r="AE11" i="4"/>
  <c r="AE9" i="4"/>
  <c r="AE7" i="4"/>
  <c r="B8" i="1" l="1"/>
  <c r="C8" i="1" s="1"/>
  <c r="B10" i="1"/>
  <c r="C10" i="1" s="1"/>
  <c r="B12" i="1"/>
  <c r="B14" i="1"/>
  <c r="B16" i="1"/>
  <c r="C16" i="1" s="1"/>
  <c r="B18" i="1"/>
  <c r="B20" i="1"/>
  <c r="B22" i="1"/>
  <c r="B24" i="1"/>
  <c r="B26" i="1"/>
  <c r="B28" i="1"/>
  <c r="B30" i="1"/>
  <c r="B32" i="1"/>
  <c r="B34" i="1"/>
  <c r="B36" i="1"/>
  <c r="B38" i="1"/>
  <c r="J38" i="1" s="1"/>
  <c r="B40" i="1"/>
  <c r="J40" i="1" s="1"/>
  <c r="B42" i="1"/>
  <c r="J42" i="1" s="1"/>
  <c r="B44" i="1"/>
  <c r="J44" i="1" s="1"/>
  <c r="B46" i="1"/>
  <c r="J46" i="1" s="1"/>
  <c r="B48" i="1"/>
  <c r="J48" i="1" s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J37" i="1" s="1"/>
  <c r="B39" i="1"/>
  <c r="J39" i="1" s="1"/>
  <c r="B41" i="1"/>
  <c r="J41" i="1" s="1"/>
  <c r="B43" i="1"/>
  <c r="J43" i="1" s="1"/>
  <c r="B45" i="1"/>
  <c r="J45" i="1" s="1"/>
  <c r="B47" i="1"/>
  <c r="J47" i="1" s="1"/>
  <c r="B49" i="1"/>
  <c r="J49" i="1" s="1"/>
  <c r="B51" i="1"/>
  <c r="J51" i="1" s="1"/>
  <c r="B53" i="1"/>
  <c r="J53" i="1" s="1"/>
  <c r="B55" i="1"/>
  <c r="J55" i="1" s="1"/>
  <c r="B57" i="1"/>
  <c r="J57" i="1" s="1"/>
  <c r="B59" i="1"/>
  <c r="J59" i="1" s="1"/>
  <c r="B61" i="1"/>
  <c r="J61" i="1" s="1"/>
  <c r="B63" i="1"/>
  <c r="J63" i="1" s="1"/>
  <c r="B65" i="1"/>
  <c r="E65" i="1" s="1"/>
  <c r="B67" i="1"/>
  <c r="E67" i="1" s="1"/>
  <c r="B69" i="1"/>
  <c r="E69" i="1" s="1"/>
  <c r="B71" i="1"/>
  <c r="E71" i="1" s="1"/>
  <c r="B73" i="1"/>
  <c r="E73" i="1" s="1"/>
  <c r="B75" i="1"/>
  <c r="E75" i="1" s="1"/>
  <c r="B77" i="1"/>
  <c r="E77" i="1" s="1"/>
  <c r="B79" i="1"/>
  <c r="E79" i="1" s="1"/>
  <c r="B81" i="1"/>
  <c r="E81" i="1" s="1"/>
  <c r="B83" i="1"/>
  <c r="E83" i="1" s="1"/>
  <c r="B85" i="1"/>
  <c r="E85" i="1" s="1"/>
  <c r="B87" i="1"/>
  <c r="E87" i="1" s="1"/>
  <c r="B50" i="1"/>
  <c r="J50" i="1" s="1"/>
  <c r="B52" i="1"/>
  <c r="J52" i="1" s="1"/>
  <c r="B54" i="1"/>
  <c r="J54" i="1" s="1"/>
  <c r="B56" i="1"/>
  <c r="J56" i="1" s="1"/>
  <c r="B58" i="1"/>
  <c r="J58" i="1" s="1"/>
  <c r="B60" i="1"/>
  <c r="J60" i="1" s="1"/>
  <c r="B62" i="1"/>
  <c r="J62" i="1" s="1"/>
  <c r="B64" i="1"/>
  <c r="B66" i="1"/>
  <c r="E66" i="1" s="1"/>
  <c r="B68" i="1"/>
  <c r="E68" i="1" s="1"/>
  <c r="B70" i="1"/>
  <c r="E70" i="1" s="1"/>
  <c r="B72" i="1"/>
  <c r="E72" i="1" s="1"/>
  <c r="B74" i="1"/>
  <c r="E74" i="1" s="1"/>
  <c r="B76" i="1"/>
  <c r="E76" i="1" s="1"/>
  <c r="B78" i="1"/>
  <c r="E78" i="1" s="1"/>
  <c r="B80" i="1"/>
  <c r="E80" i="1" s="1"/>
  <c r="B82" i="1"/>
  <c r="E82" i="1" s="1"/>
  <c r="B84" i="1"/>
  <c r="E84" i="1" s="1"/>
  <c r="B86" i="1"/>
  <c r="E86" i="1" s="1"/>
  <c r="B88" i="1"/>
  <c r="E88" i="1" s="1"/>
  <c r="B90" i="1"/>
  <c r="E90" i="1" s="1"/>
  <c r="B92" i="1"/>
  <c r="E92" i="1" s="1"/>
  <c r="B94" i="1"/>
  <c r="E94" i="1" s="1"/>
  <c r="B96" i="1"/>
  <c r="E96" i="1" s="1"/>
  <c r="B98" i="1"/>
  <c r="E98" i="1" s="1"/>
  <c r="B100" i="1"/>
  <c r="E100" i="1" s="1"/>
  <c r="B102" i="1"/>
  <c r="E102" i="1" s="1"/>
  <c r="B104" i="1"/>
  <c r="E104" i="1" s="1"/>
  <c r="B106" i="1"/>
  <c r="E106" i="1" s="1"/>
  <c r="B108" i="1"/>
  <c r="E108" i="1" s="1"/>
  <c r="B110" i="1"/>
  <c r="E110" i="1" s="1"/>
  <c r="B112" i="1"/>
  <c r="E112" i="1" s="1"/>
  <c r="B114" i="1"/>
  <c r="E114" i="1" s="1"/>
  <c r="B116" i="1"/>
  <c r="E116" i="1" s="1"/>
  <c r="B118" i="1"/>
  <c r="E118" i="1" s="1"/>
  <c r="B120" i="1"/>
  <c r="E120" i="1" s="1"/>
  <c r="B122" i="1"/>
  <c r="E122" i="1" s="1"/>
  <c r="B124" i="1"/>
  <c r="E124" i="1" s="1"/>
  <c r="B126" i="1"/>
  <c r="E126" i="1" s="1"/>
  <c r="B128" i="1"/>
  <c r="E128" i="1" s="1"/>
  <c r="B130" i="1"/>
  <c r="E130" i="1" s="1"/>
  <c r="B132" i="1"/>
  <c r="E132" i="1" s="1"/>
  <c r="B134" i="1"/>
  <c r="E134" i="1" s="1"/>
  <c r="B136" i="1"/>
  <c r="E136" i="1" s="1"/>
  <c r="B138" i="1"/>
  <c r="E138" i="1" s="1"/>
  <c r="B140" i="1"/>
  <c r="E140" i="1" s="1"/>
  <c r="B142" i="1"/>
  <c r="E142" i="1" s="1"/>
  <c r="B144" i="1"/>
  <c r="E144" i="1" s="1"/>
  <c r="B146" i="1"/>
  <c r="E146" i="1" s="1"/>
  <c r="B148" i="1"/>
  <c r="E148" i="1" s="1"/>
  <c r="B150" i="1"/>
  <c r="E150" i="1" s="1"/>
  <c r="B152" i="1"/>
  <c r="E152" i="1" s="1"/>
  <c r="B154" i="1"/>
  <c r="E154" i="1" s="1"/>
  <c r="B156" i="1"/>
  <c r="E156" i="1" s="1"/>
  <c r="B158" i="1"/>
  <c r="E158" i="1" s="1"/>
  <c r="B160" i="1"/>
  <c r="E160" i="1" s="1"/>
  <c r="B162" i="1"/>
  <c r="E162" i="1" s="1"/>
  <c r="B164" i="1"/>
  <c r="E164" i="1" s="1"/>
  <c r="B166" i="1"/>
  <c r="E166" i="1" s="1"/>
  <c r="B89" i="1"/>
  <c r="E89" i="1" s="1"/>
  <c r="B91" i="1"/>
  <c r="E91" i="1" s="1"/>
  <c r="B93" i="1"/>
  <c r="E93" i="1" s="1"/>
  <c r="B95" i="1"/>
  <c r="E95" i="1" s="1"/>
  <c r="B97" i="1"/>
  <c r="E97" i="1" s="1"/>
  <c r="B99" i="1"/>
  <c r="E99" i="1" s="1"/>
  <c r="B101" i="1"/>
  <c r="E101" i="1" s="1"/>
  <c r="B103" i="1"/>
  <c r="E103" i="1" s="1"/>
  <c r="B105" i="1"/>
  <c r="E105" i="1" s="1"/>
  <c r="B107" i="1"/>
  <c r="E107" i="1" s="1"/>
  <c r="B109" i="1"/>
  <c r="E109" i="1" s="1"/>
  <c r="B111" i="1"/>
  <c r="E111" i="1" s="1"/>
  <c r="B113" i="1"/>
  <c r="E113" i="1" s="1"/>
  <c r="B115" i="1"/>
  <c r="E115" i="1" s="1"/>
  <c r="B117" i="1"/>
  <c r="E117" i="1" s="1"/>
  <c r="B119" i="1"/>
  <c r="E119" i="1" s="1"/>
  <c r="B121" i="1"/>
  <c r="E121" i="1" s="1"/>
  <c r="B123" i="1"/>
  <c r="E123" i="1" s="1"/>
  <c r="B125" i="1"/>
  <c r="E125" i="1" s="1"/>
  <c r="B127" i="1"/>
  <c r="E127" i="1" s="1"/>
  <c r="B129" i="1"/>
  <c r="E129" i="1" s="1"/>
  <c r="B131" i="1"/>
  <c r="E131" i="1" s="1"/>
  <c r="B133" i="1"/>
  <c r="E133" i="1" s="1"/>
  <c r="B135" i="1"/>
  <c r="E135" i="1" s="1"/>
  <c r="B137" i="1"/>
  <c r="E137" i="1" s="1"/>
  <c r="B139" i="1"/>
  <c r="E139" i="1" s="1"/>
  <c r="B141" i="1"/>
  <c r="E141" i="1" s="1"/>
  <c r="B143" i="1"/>
  <c r="E143" i="1" s="1"/>
  <c r="B145" i="1"/>
  <c r="E145" i="1" s="1"/>
  <c r="B147" i="1"/>
  <c r="E147" i="1" s="1"/>
  <c r="B149" i="1"/>
  <c r="E149" i="1" s="1"/>
  <c r="B151" i="1"/>
  <c r="E151" i="1" s="1"/>
  <c r="B153" i="1"/>
  <c r="E153" i="1" s="1"/>
  <c r="B155" i="1"/>
  <c r="E155" i="1" s="1"/>
  <c r="B157" i="1"/>
  <c r="E157" i="1" s="1"/>
  <c r="B159" i="1"/>
  <c r="E159" i="1" s="1"/>
  <c r="B161" i="1"/>
  <c r="E161" i="1" s="1"/>
  <c r="B163" i="1"/>
  <c r="E163" i="1" s="1"/>
  <c r="B165" i="1"/>
  <c r="E165" i="1" s="1"/>
  <c r="B168" i="1"/>
  <c r="E168" i="1" s="1"/>
  <c r="B170" i="1"/>
  <c r="E170" i="1" s="1"/>
  <c r="B172" i="1"/>
  <c r="E172" i="1" s="1"/>
  <c r="B167" i="1"/>
  <c r="E167" i="1" s="1"/>
  <c r="B169" i="1"/>
  <c r="E169" i="1" s="1"/>
  <c r="B171" i="1"/>
  <c r="E171" i="1" s="1"/>
  <c r="G62" i="1" l="1"/>
  <c r="H62" i="1"/>
  <c r="G58" i="1"/>
  <c r="H58" i="1"/>
  <c r="G54" i="1"/>
  <c r="H54" i="1"/>
  <c r="G50" i="1"/>
  <c r="H50" i="1"/>
  <c r="G61" i="1"/>
  <c r="H61" i="1"/>
  <c r="G57" i="1"/>
  <c r="H57" i="1"/>
  <c r="G53" i="1"/>
  <c r="H53" i="1"/>
  <c r="G49" i="1"/>
  <c r="H49" i="1"/>
  <c r="G45" i="1"/>
  <c r="H45" i="1"/>
  <c r="G41" i="1"/>
  <c r="H41" i="1"/>
  <c r="G37" i="1"/>
  <c r="H37" i="1"/>
  <c r="G33" i="1"/>
  <c r="G29" i="1"/>
  <c r="G46" i="1"/>
  <c r="H46" i="1"/>
  <c r="G42" i="1"/>
  <c r="H42" i="1"/>
  <c r="G38" i="1"/>
  <c r="H38" i="1"/>
  <c r="G34" i="1"/>
  <c r="G30" i="1"/>
  <c r="G60" i="1"/>
  <c r="H60" i="1"/>
  <c r="G56" i="1"/>
  <c r="H56" i="1"/>
  <c r="G52" i="1"/>
  <c r="H52" i="1"/>
  <c r="G63" i="1"/>
  <c r="H63" i="1"/>
  <c r="G59" i="1"/>
  <c r="H59" i="1"/>
  <c r="G55" i="1"/>
  <c r="H55" i="1"/>
  <c r="G51" i="1"/>
  <c r="H51" i="1"/>
  <c r="G47" i="1"/>
  <c r="H47" i="1"/>
  <c r="G43" i="1"/>
  <c r="H43" i="1"/>
  <c r="G39" i="1"/>
  <c r="H39" i="1"/>
  <c r="G35" i="1"/>
  <c r="G31" i="1"/>
  <c r="G48" i="1"/>
  <c r="H48" i="1"/>
  <c r="G44" i="1"/>
  <c r="H44" i="1"/>
  <c r="G40" i="1"/>
  <c r="H40" i="1"/>
  <c r="G36" i="1"/>
  <c r="G32" i="1"/>
  <c r="G25" i="1"/>
  <c r="G21" i="1"/>
  <c r="G26" i="1"/>
  <c r="G22" i="1"/>
  <c r="G27" i="1"/>
  <c r="G23" i="1"/>
  <c r="G19" i="1"/>
  <c r="G28" i="1"/>
  <c r="G24" i="1"/>
  <c r="G20" i="1"/>
  <c r="I101" i="1"/>
  <c r="I97" i="1"/>
  <c r="I93" i="1"/>
  <c r="I89" i="1"/>
  <c r="I100" i="1"/>
  <c r="I96" i="1"/>
  <c r="I92" i="1"/>
  <c r="I88" i="1"/>
  <c r="I84" i="1"/>
  <c r="I80" i="1"/>
  <c r="I76" i="1"/>
  <c r="I72" i="1"/>
  <c r="I68" i="1"/>
  <c r="I87" i="1"/>
  <c r="I83" i="1"/>
  <c r="I79" i="1"/>
  <c r="I75" i="1"/>
  <c r="I71" i="1"/>
  <c r="I67" i="1"/>
  <c r="I99" i="1"/>
  <c r="I95" i="1"/>
  <c r="I91" i="1"/>
  <c r="I102" i="1"/>
  <c r="I98" i="1"/>
  <c r="I94" i="1"/>
  <c r="I90" i="1"/>
  <c r="I86" i="1"/>
  <c r="I82" i="1"/>
  <c r="I78" i="1"/>
  <c r="I74" i="1"/>
  <c r="I70" i="1"/>
  <c r="I66" i="1"/>
  <c r="I85" i="1"/>
  <c r="I81" i="1"/>
  <c r="I77" i="1"/>
  <c r="I73" i="1"/>
  <c r="I69" i="1"/>
  <c r="I65" i="1"/>
  <c r="C64" i="1"/>
  <c r="E64" i="1" s="1"/>
  <c r="C60" i="1"/>
  <c r="I60" i="1" s="1"/>
  <c r="C56" i="1"/>
  <c r="E56" i="1" s="1"/>
  <c r="C52" i="1"/>
  <c r="I52" i="1" s="1"/>
  <c r="C63" i="1"/>
  <c r="E63" i="1" s="1"/>
  <c r="C59" i="1"/>
  <c r="I59" i="1" s="1"/>
  <c r="C55" i="1"/>
  <c r="E55" i="1" s="1"/>
  <c r="C51" i="1"/>
  <c r="I51" i="1" s="1"/>
  <c r="C47" i="1"/>
  <c r="E47" i="1" s="1"/>
  <c r="C43" i="1"/>
  <c r="I43" i="1" s="1"/>
  <c r="C39" i="1"/>
  <c r="E39" i="1" s="1"/>
  <c r="C35" i="1"/>
  <c r="I35" i="1" s="1"/>
  <c r="C31" i="1"/>
  <c r="I31" i="1" s="1"/>
  <c r="C27" i="1"/>
  <c r="I27" i="1" s="1"/>
  <c r="C23" i="1"/>
  <c r="I23" i="1" s="1"/>
  <c r="C19" i="1"/>
  <c r="E19" i="1" s="1"/>
  <c r="F19" i="1" s="1"/>
  <c r="C48" i="1"/>
  <c r="E48" i="1" s="1"/>
  <c r="C44" i="1"/>
  <c r="I44" i="1" s="1"/>
  <c r="C40" i="1"/>
  <c r="E40" i="1" s="1"/>
  <c r="C36" i="1"/>
  <c r="I36" i="1" s="1"/>
  <c r="C32" i="1"/>
  <c r="I32" i="1" s="1"/>
  <c r="C28" i="1"/>
  <c r="I28" i="1" s="1"/>
  <c r="C24" i="1"/>
  <c r="I24" i="1" s="1"/>
  <c r="C20" i="1"/>
  <c r="E20" i="1" s="1"/>
  <c r="F20" i="1" s="1"/>
  <c r="C62" i="1"/>
  <c r="I62" i="1" s="1"/>
  <c r="P62" i="1" s="1"/>
  <c r="C58" i="1"/>
  <c r="E58" i="1" s="1"/>
  <c r="C54" i="1"/>
  <c r="I54" i="1" s="1"/>
  <c r="C50" i="1"/>
  <c r="E50" i="1" s="1"/>
  <c r="C61" i="1"/>
  <c r="I61" i="1" s="1"/>
  <c r="C57" i="1"/>
  <c r="E57" i="1" s="1"/>
  <c r="C53" i="1"/>
  <c r="I53" i="1" s="1"/>
  <c r="C49" i="1"/>
  <c r="E49" i="1" s="1"/>
  <c r="C45" i="1"/>
  <c r="I45" i="1" s="1"/>
  <c r="C41" i="1"/>
  <c r="E41" i="1" s="1"/>
  <c r="C37" i="1"/>
  <c r="I37" i="1" s="1"/>
  <c r="C33" i="1"/>
  <c r="I33" i="1" s="1"/>
  <c r="C29" i="1"/>
  <c r="I29" i="1" s="1"/>
  <c r="C25" i="1"/>
  <c r="I25" i="1" s="1"/>
  <c r="C21" i="1"/>
  <c r="I21" i="1" s="1"/>
  <c r="C46" i="1"/>
  <c r="E46" i="1" s="1"/>
  <c r="C42" i="1"/>
  <c r="I42" i="1" s="1"/>
  <c r="C38" i="1"/>
  <c r="E38" i="1" s="1"/>
  <c r="C34" i="1"/>
  <c r="I34" i="1" s="1"/>
  <c r="C30" i="1"/>
  <c r="I30" i="1" s="1"/>
  <c r="C26" i="1"/>
  <c r="I26" i="1" s="1"/>
  <c r="C22" i="1"/>
  <c r="I22" i="1" s="1"/>
  <c r="C15" i="1"/>
  <c r="E15" i="1" s="1"/>
  <c r="F15" i="1" s="1"/>
  <c r="C11" i="1"/>
  <c r="E11" i="1" s="1"/>
  <c r="F11" i="1" s="1"/>
  <c r="E16" i="1"/>
  <c r="F16" i="1" s="1"/>
  <c r="G16" i="1" s="1"/>
  <c r="C12" i="1"/>
  <c r="E12" i="1" s="1"/>
  <c r="F12" i="1" s="1"/>
  <c r="C17" i="1"/>
  <c r="E17" i="1" s="1"/>
  <c r="F17" i="1" s="1"/>
  <c r="C13" i="1"/>
  <c r="E13" i="1" s="1"/>
  <c r="F13" i="1" s="1"/>
  <c r="C9" i="1"/>
  <c r="E9" i="1" s="1"/>
  <c r="F9" i="1" s="1"/>
  <c r="C18" i="1"/>
  <c r="E18" i="1" s="1"/>
  <c r="F18" i="1" s="1"/>
  <c r="C14" i="1"/>
  <c r="E14" i="1" s="1"/>
  <c r="F14" i="1" s="1"/>
  <c r="E10" i="1"/>
  <c r="F10" i="1" s="1"/>
  <c r="E8" i="1"/>
  <c r="F8" i="1" s="1"/>
  <c r="C169" i="1"/>
  <c r="C172" i="1"/>
  <c r="C168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85" i="1"/>
  <c r="C81" i="1"/>
  <c r="C77" i="1"/>
  <c r="C73" i="1"/>
  <c r="C69" i="1"/>
  <c r="C65" i="1"/>
  <c r="C171" i="1"/>
  <c r="C167" i="1"/>
  <c r="C170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87" i="1"/>
  <c r="C83" i="1"/>
  <c r="C79" i="1"/>
  <c r="C75" i="1"/>
  <c r="C71" i="1"/>
  <c r="C67" i="1"/>
  <c r="U99" i="1"/>
  <c r="U95" i="1"/>
  <c r="U91" i="1"/>
  <c r="U102" i="1"/>
  <c r="U98" i="1"/>
  <c r="U94" i="1"/>
  <c r="U90" i="1"/>
  <c r="U86" i="1"/>
  <c r="U82" i="1"/>
  <c r="U78" i="1"/>
  <c r="U74" i="1"/>
  <c r="U70" i="1"/>
  <c r="U66" i="1"/>
  <c r="U62" i="1"/>
  <c r="U58" i="1"/>
  <c r="U54" i="1"/>
  <c r="U50" i="1"/>
  <c r="U85" i="1"/>
  <c r="U81" i="1"/>
  <c r="U77" i="1"/>
  <c r="U73" i="1"/>
  <c r="U69" i="1"/>
  <c r="U65" i="1"/>
  <c r="U61" i="1"/>
  <c r="U57" i="1"/>
  <c r="U53" i="1"/>
  <c r="U49" i="1"/>
  <c r="U45" i="1"/>
  <c r="U41" i="1"/>
  <c r="U37" i="1"/>
  <c r="U33" i="1"/>
  <c r="U29" i="1"/>
  <c r="U25" i="1"/>
  <c r="U21" i="1"/>
  <c r="U46" i="1"/>
  <c r="U42" i="1"/>
  <c r="U38" i="1"/>
  <c r="U34" i="1"/>
  <c r="U30" i="1"/>
  <c r="U26" i="1"/>
  <c r="U22" i="1"/>
  <c r="U101" i="1"/>
  <c r="U97" i="1"/>
  <c r="U93" i="1"/>
  <c r="U89" i="1"/>
  <c r="U100" i="1"/>
  <c r="U96" i="1"/>
  <c r="U92" i="1"/>
  <c r="U88" i="1"/>
  <c r="U84" i="1"/>
  <c r="U80" i="1"/>
  <c r="U76" i="1"/>
  <c r="U72" i="1"/>
  <c r="U68" i="1"/>
  <c r="U64" i="1"/>
  <c r="U60" i="1"/>
  <c r="U56" i="1"/>
  <c r="U52" i="1"/>
  <c r="U87" i="1"/>
  <c r="U83" i="1"/>
  <c r="U79" i="1"/>
  <c r="U75" i="1"/>
  <c r="U71" i="1"/>
  <c r="U67" i="1"/>
  <c r="U63" i="1"/>
  <c r="U59" i="1"/>
  <c r="U55" i="1"/>
  <c r="U51" i="1"/>
  <c r="U47" i="1"/>
  <c r="U43" i="1"/>
  <c r="U39" i="1"/>
  <c r="U35" i="1"/>
  <c r="U31" i="1"/>
  <c r="U27" i="1"/>
  <c r="U23" i="1"/>
  <c r="U48" i="1"/>
  <c r="U44" i="1"/>
  <c r="U40" i="1"/>
  <c r="U36" i="1"/>
  <c r="U32" i="1"/>
  <c r="U28" i="1"/>
  <c r="U24" i="1"/>
  <c r="H169" i="1"/>
  <c r="H172" i="1"/>
  <c r="H168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85" i="1"/>
  <c r="H81" i="1"/>
  <c r="H77" i="1"/>
  <c r="H73" i="1"/>
  <c r="H69" i="1"/>
  <c r="H65" i="1"/>
  <c r="H171" i="1"/>
  <c r="H167" i="1"/>
  <c r="H170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87" i="1"/>
  <c r="H83" i="1"/>
  <c r="H79" i="1"/>
  <c r="H75" i="1"/>
  <c r="H71" i="1"/>
  <c r="H67" i="1"/>
  <c r="T99" i="1"/>
  <c r="T95" i="1"/>
  <c r="T91" i="1"/>
  <c r="T102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85" i="1"/>
  <c r="T81" i="1"/>
  <c r="T77" i="1"/>
  <c r="T73" i="1"/>
  <c r="T69" i="1"/>
  <c r="T65" i="1"/>
  <c r="T61" i="1"/>
  <c r="T57" i="1"/>
  <c r="T53" i="1"/>
  <c r="T49" i="1"/>
  <c r="T45" i="1"/>
  <c r="T41" i="1"/>
  <c r="T37" i="1"/>
  <c r="T33" i="1"/>
  <c r="T29" i="1"/>
  <c r="T25" i="1"/>
  <c r="T21" i="1"/>
  <c r="T17" i="1"/>
  <c r="T13" i="1"/>
  <c r="T9" i="1"/>
  <c r="T46" i="1"/>
  <c r="T42" i="1"/>
  <c r="T38" i="1"/>
  <c r="T34" i="1"/>
  <c r="T30" i="1"/>
  <c r="T26" i="1"/>
  <c r="T22" i="1"/>
  <c r="T18" i="1"/>
  <c r="T14" i="1"/>
  <c r="T10" i="1"/>
  <c r="T101" i="1"/>
  <c r="T97" i="1"/>
  <c r="T93" i="1"/>
  <c r="T89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87" i="1"/>
  <c r="T83" i="1"/>
  <c r="T79" i="1"/>
  <c r="T75" i="1"/>
  <c r="T71" i="1"/>
  <c r="T67" i="1"/>
  <c r="T63" i="1"/>
  <c r="T59" i="1"/>
  <c r="T55" i="1"/>
  <c r="T51" i="1"/>
  <c r="T47" i="1"/>
  <c r="T43" i="1"/>
  <c r="T39" i="1"/>
  <c r="T35" i="1"/>
  <c r="T31" i="1"/>
  <c r="T27" i="1"/>
  <c r="T23" i="1"/>
  <c r="T19" i="1"/>
  <c r="T15" i="1"/>
  <c r="T11" i="1"/>
  <c r="T48" i="1"/>
  <c r="T44" i="1"/>
  <c r="T40" i="1"/>
  <c r="T36" i="1"/>
  <c r="T32" i="1"/>
  <c r="T28" i="1"/>
  <c r="T24" i="1"/>
  <c r="T20" i="1"/>
  <c r="T16" i="1"/>
  <c r="T12" i="1"/>
  <c r="T8" i="1"/>
  <c r="R99" i="1"/>
  <c r="S99" i="1"/>
  <c r="R95" i="1"/>
  <c r="S95" i="1"/>
  <c r="R91" i="1"/>
  <c r="S91" i="1"/>
  <c r="R102" i="1"/>
  <c r="S102" i="1"/>
  <c r="R98" i="1"/>
  <c r="S98" i="1"/>
  <c r="R94" i="1"/>
  <c r="S94" i="1"/>
  <c r="R90" i="1"/>
  <c r="S90" i="1"/>
  <c r="R86" i="1"/>
  <c r="S86" i="1"/>
  <c r="R82" i="1"/>
  <c r="S82" i="1"/>
  <c r="R78" i="1"/>
  <c r="S78" i="1"/>
  <c r="R74" i="1"/>
  <c r="S74" i="1"/>
  <c r="R70" i="1"/>
  <c r="S70" i="1"/>
  <c r="R66" i="1"/>
  <c r="S66" i="1"/>
  <c r="R62" i="1"/>
  <c r="S62" i="1"/>
  <c r="R58" i="1"/>
  <c r="S58" i="1"/>
  <c r="R54" i="1"/>
  <c r="S54" i="1"/>
  <c r="R50" i="1"/>
  <c r="S50" i="1"/>
  <c r="R85" i="1"/>
  <c r="S85" i="1"/>
  <c r="R81" i="1"/>
  <c r="S81" i="1"/>
  <c r="R77" i="1"/>
  <c r="S77" i="1"/>
  <c r="R73" i="1"/>
  <c r="S73" i="1"/>
  <c r="R69" i="1"/>
  <c r="S69" i="1"/>
  <c r="R65" i="1"/>
  <c r="S65" i="1"/>
  <c r="R61" i="1"/>
  <c r="S61" i="1"/>
  <c r="R57" i="1"/>
  <c r="S57" i="1"/>
  <c r="R53" i="1"/>
  <c r="S53" i="1"/>
  <c r="R49" i="1"/>
  <c r="S49" i="1"/>
  <c r="R45" i="1"/>
  <c r="S45" i="1"/>
  <c r="R41" i="1"/>
  <c r="S41" i="1"/>
  <c r="R37" i="1"/>
  <c r="S37" i="1"/>
  <c r="R33" i="1"/>
  <c r="S33" i="1"/>
  <c r="R29" i="1"/>
  <c r="S29" i="1"/>
  <c r="R25" i="1"/>
  <c r="S25" i="1"/>
  <c r="R21" i="1"/>
  <c r="S21" i="1"/>
  <c r="R17" i="1"/>
  <c r="R13" i="1"/>
  <c r="R9" i="1"/>
  <c r="R46" i="1"/>
  <c r="S46" i="1"/>
  <c r="R42" i="1"/>
  <c r="S42" i="1"/>
  <c r="R38" i="1"/>
  <c r="S38" i="1"/>
  <c r="R34" i="1"/>
  <c r="S34" i="1"/>
  <c r="R30" i="1"/>
  <c r="S30" i="1"/>
  <c r="R26" i="1"/>
  <c r="S26" i="1"/>
  <c r="R22" i="1"/>
  <c r="S22" i="1"/>
  <c r="R18" i="1"/>
  <c r="R14" i="1"/>
  <c r="R10" i="1"/>
  <c r="R101" i="1"/>
  <c r="S101" i="1"/>
  <c r="R97" i="1"/>
  <c r="S97" i="1"/>
  <c r="R93" i="1"/>
  <c r="S93" i="1"/>
  <c r="R89" i="1"/>
  <c r="S89" i="1"/>
  <c r="R100" i="1"/>
  <c r="S100" i="1"/>
  <c r="R96" i="1"/>
  <c r="S96" i="1"/>
  <c r="R92" i="1"/>
  <c r="S92" i="1"/>
  <c r="R88" i="1"/>
  <c r="S88" i="1"/>
  <c r="R84" i="1"/>
  <c r="S84" i="1"/>
  <c r="R80" i="1"/>
  <c r="S80" i="1"/>
  <c r="R76" i="1"/>
  <c r="S76" i="1"/>
  <c r="R72" i="1"/>
  <c r="S72" i="1"/>
  <c r="R68" i="1"/>
  <c r="S68" i="1"/>
  <c r="R64" i="1"/>
  <c r="S64" i="1"/>
  <c r="R60" i="1"/>
  <c r="S60" i="1"/>
  <c r="R56" i="1"/>
  <c r="S56" i="1"/>
  <c r="R52" i="1"/>
  <c r="S52" i="1"/>
  <c r="R87" i="1"/>
  <c r="S87" i="1"/>
  <c r="R83" i="1"/>
  <c r="S83" i="1"/>
  <c r="R79" i="1"/>
  <c r="S79" i="1"/>
  <c r="R75" i="1"/>
  <c r="S75" i="1"/>
  <c r="R71" i="1"/>
  <c r="S71" i="1"/>
  <c r="R67" i="1"/>
  <c r="S67" i="1"/>
  <c r="R63" i="1"/>
  <c r="S63" i="1"/>
  <c r="R59" i="1"/>
  <c r="S59" i="1"/>
  <c r="R55" i="1"/>
  <c r="S55" i="1"/>
  <c r="R51" i="1"/>
  <c r="S51" i="1"/>
  <c r="R47" i="1"/>
  <c r="S47" i="1"/>
  <c r="R43" i="1"/>
  <c r="S43" i="1"/>
  <c r="R39" i="1"/>
  <c r="S39" i="1"/>
  <c r="R35" i="1"/>
  <c r="S35" i="1"/>
  <c r="R31" i="1"/>
  <c r="S31" i="1"/>
  <c r="R27" i="1"/>
  <c r="S27" i="1"/>
  <c r="R23" i="1"/>
  <c r="S23" i="1"/>
  <c r="R19" i="1"/>
  <c r="R15" i="1"/>
  <c r="R11" i="1"/>
  <c r="R48" i="1"/>
  <c r="S48" i="1"/>
  <c r="R44" i="1"/>
  <c r="S44" i="1"/>
  <c r="R40" i="1"/>
  <c r="S40" i="1"/>
  <c r="R36" i="1"/>
  <c r="S36" i="1"/>
  <c r="R32" i="1"/>
  <c r="S32" i="1"/>
  <c r="R28" i="1"/>
  <c r="S28" i="1"/>
  <c r="R24" i="1"/>
  <c r="S24" i="1"/>
  <c r="R20" i="1"/>
  <c r="R16" i="1"/>
  <c r="R12" i="1"/>
  <c r="R8" i="1"/>
  <c r="S17" i="1"/>
  <c r="S9" i="1"/>
  <c r="S14" i="1"/>
  <c r="S15" i="1"/>
  <c r="S16" i="1"/>
  <c r="S8" i="1"/>
  <c r="J64" i="1"/>
  <c r="J99" i="1"/>
  <c r="J95" i="1"/>
  <c r="J91" i="1"/>
  <c r="J102" i="1"/>
  <c r="J98" i="1"/>
  <c r="J94" i="1"/>
  <c r="J90" i="1"/>
  <c r="J86" i="1"/>
  <c r="J82" i="1"/>
  <c r="J78" i="1"/>
  <c r="J74" i="1"/>
  <c r="J70" i="1"/>
  <c r="J66" i="1"/>
  <c r="J85" i="1"/>
  <c r="J81" i="1"/>
  <c r="J77" i="1"/>
  <c r="J73" i="1"/>
  <c r="J69" i="1"/>
  <c r="J65" i="1"/>
  <c r="J101" i="1"/>
  <c r="J97" i="1"/>
  <c r="J93" i="1"/>
  <c r="J89" i="1"/>
  <c r="J100" i="1"/>
  <c r="J96" i="1"/>
  <c r="J92" i="1"/>
  <c r="J88" i="1"/>
  <c r="J84" i="1"/>
  <c r="J80" i="1"/>
  <c r="J76" i="1"/>
  <c r="J72" i="1"/>
  <c r="J68" i="1"/>
  <c r="J87" i="1"/>
  <c r="J83" i="1"/>
  <c r="J79" i="1"/>
  <c r="J75" i="1"/>
  <c r="J71" i="1"/>
  <c r="J67" i="1"/>
  <c r="F169" i="1"/>
  <c r="G169" i="1"/>
  <c r="F172" i="1"/>
  <c r="G172" i="1"/>
  <c r="F168" i="1"/>
  <c r="G168" i="1"/>
  <c r="F163" i="1"/>
  <c r="G163" i="1"/>
  <c r="F159" i="1"/>
  <c r="G159" i="1"/>
  <c r="F155" i="1"/>
  <c r="G155" i="1"/>
  <c r="F151" i="1"/>
  <c r="G151" i="1"/>
  <c r="F147" i="1"/>
  <c r="G147" i="1"/>
  <c r="F143" i="1"/>
  <c r="G143" i="1"/>
  <c r="F139" i="1"/>
  <c r="G139" i="1"/>
  <c r="F135" i="1"/>
  <c r="G135" i="1"/>
  <c r="F131" i="1"/>
  <c r="G131" i="1"/>
  <c r="F127" i="1"/>
  <c r="G127" i="1"/>
  <c r="F123" i="1"/>
  <c r="G123" i="1"/>
  <c r="F119" i="1"/>
  <c r="G119" i="1"/>
  <c r="F115" i="1"/>
  <c r="G115" i="1"/>
  <c r="F111" i="1"/>
  <c r="G111" i="1"/>
  <c r="F107" i="1"/>
  <c r="G107" i="1"/>
  <c r="F103" i="1"/>
  <c r="G103" i="1"/>
  <c r="F99" i="1"/>
  <c r="G99" i="1"/>
  <c r="F95" i="1"/>
  <c r="G95" i="1"/>
  <c r="F91" i="1"/>
  <c r="G91" i="1"/>
  <c r="F166" i="1"/>
  <c r="G166" i="1"/>
  <c r="F162" i="1"/>
  <c r="G162" i="1"/>
  <c r="F158" i="1"/>
  <c r="G158" i="1"/>
  <c r="F154" i="1"/>
  <c r="G154" i="1"/>
  <c r="F150" i="1"/>
  <c r="G150" i="1"/>
  <c r="F146" i="1"/>
  <c r="G146" i="1"/>
  <c r="F142" i="1"/>
  <c r="G142" i="1"/>
  <c r="F138" i="1"/>
  <c r="G138" i="1"/>
  <c r="F134" i="1"/>
  <c r="G134" i="1"/>
  <c r="F130" i="1"/>
  <c r="G130" i="1"/>
  <c r="F126" i="1"/>
  <c r="G126" i="1"/>
  <c r="F122" i="1"/>
  <c r="G122" i="1"/>
  <c r="F118" i="1"/>
  <c r="G118" i="1"/>
  <c r="F114" i="1"/>
  <c r="G114" i="1"/>
  <c r="F110" i="1"/>
  <c r="G110" i="1"/>
  <c r="F106" i="1"/>
  <c r="G106" i="1"/>
  <c r="F102" i="1"/>
  <c r="G102" i="1"/>
  <c r="F98" i="1"/>
  <c r="G98" i="1"/>
  <c r="F94" i="1"/>
  <c r="G94" i="1"/>
  <c r="F90" i="1"/>
  <c r="G90" i="1"/>
  <c r="F86" i="1"/>
  <c r="G86" i="1"/>
  <c r="F82" i="1"/>
  <c r="G82" i="1"/>
  <c r="F78" i="1"/>
  <c r="G78" i="1"/>
  <c r="F74" i="1"/>
  <c r="G74" i="1"/>
  <c r="F70" i="1"/>
  <c r="G70" i="1"/>
  <c r="F66" i="1"/>
  <c r="G66" i="1"/>
  <c r="F85" i="1"/>
  <c r="G85" i="1"/>
  <c r="F81" i="1"/>
  <c r="G81" i="1"/>
  <c r="F77" i="1"/>
  <c r="G77" i="1"/>
  <c r="F73" i="1"/>
  <c r="G73" i="1"/>
  <c r="F69" i="1"/>
  <c r="G69" i="1"/>
  <c r="F65" i="1"/>
  <c r="G65" i="1"/>
  <c r="F171" i="1"/>
  <c r="G171" i="1"/>
  <c r="F167" i="1"/>
  <c r="G167" i="1"/>
  <c r="F170" i="1"/>
  <c r="G170" i="1"/>
  <c r="F165" i="1"/>
  <c r="G165" i="1"/>
  <c r="F161" i="1"/>
  <c r="G161" i="1"/>
  <c r="F157" i="1"/>
  <c r="G157" i="1"/>
  <c r="F153" i="1"/>
  <c r="G153" i="1"/>
  <c r="F149" i="1"/>
  <c r="G149" i="1"/>
  <c r="F145" i="1"/>
  <c r="G145" i="1"/>
  <c r="F141" i="1"/>
  <c r="G141" i="1"/>
  <c r="F137" i="1"/>
  <c r="G137" i="1"/>
  <c r="F133" i="1"/>
  <c r="G133" i="1"/>
  <c r="F129" i="1"/>
  <c r="G129" i="1"/>
  <c r="F125" i="1"/>
  <c r="G125" i="1"/>
  <c r="F121" i="1"/>
  <c r="G121" i="1"/>
  <c r="F117" i="1"/>
  <c r="G117" i="1"/>
  <c r="F113" i="1"/>
  <c r="G113" i="1"/>
  <c r="F109" i="1"/>
  <c r="G109" i="1"/>
  <c r="F105" i="1"/>
  <c r="G105" i="1"/>
  <c r="F101" i="1"/>
  <c r="G101" i="1"/>
  <c r="F97" i="1"/>
  <c r="G97" i="1"/>
  <c r="F93" i="1"/>
  <c r="G93" i="1"/>
  <c r="F89" i="1"/>
  <c r="G89" i="1"/>
  <c r="F164" i="1"/>
  <c r="G164" i="1"/>
  <c r="F160" i="1"/>
  <c r="G160" i="1"/>
  <c r="F156" i="1"/>
  <c r="G156" i="1"/>
  <c r="F152" i="1"/>
  <c r="G152" i="1"/>
  <c r="F148" i="1"/>
  <c r="G148" i="1"/>
  <c r="F144" i="1"/>
  <c r="G144" i="1"/>
  <c r="F140" i="1"/>
  <c r="G140" i="1"/>
  <c r="F136" i="1"/>
  <c r="G136" i="1"/>
  <c r="F132" i="1"/>
  <c r="G132" i="1"/>
  <c r="F128" i="1"/>
  <c r="G128" i="1"/>
  <c r="F124" i="1"/>
  <c r="G124" i="1"/>
  <c r="F120" i="1"/>
  <c r="G120" i="1"/>
  <c r="F116" i="1"/>
  <c r="G116" i="1"/>
  <c r="F112" i="1"/>
  <c r="G112" i="1"/>
  <c r="F108" i="1"/>
  <c r="G108" i="1"/>
  <c r="F104" i="1"/>
  <c r="G104" i="1"/>
  <c r="F100" i="1"/>
  <c r="G100" i="1"/>
  <c r="F96" i="1"/>
  <c r="G96" i="1"/>
  <c r="F92" i="1"/>
  <c r="G92" i="1"/>
  <c r="F88" i="1"/>
  <c r="G88" i="1"/>
  <c r="F84" i="1"/>
  <c r="G84" i="1"/>
  <c r="F80" i="1"/>
  <c r="G80" i="1"/>
  <c r="F76" i="1"/>
  <c r="G76" i="1"/>
  <c r="F72" i="1"/>
  <c r="G72" i="1"/>
  <c r="F68" i="1"/>
  <c r="G68" i="1"/>
  <c r="G64" i="1"/>
  <c r="M64" i="1" s="1"/>
  <c r="F87" i="1"/>
  <c r="G87" i="1"/>
  <c r="F83" i="1"/>
  <c r="G83" i="1"/>
  <c r="F79" i="1"/>
  <c r="G79" i="1"/>
  <c r="F75" i="1"/>
  <c r="G75" i="1"/>
  <c r="F71" i="1"/>
  <c r="G71" i="1"/>
  <c r="F67" i="1"/>
  <c r="G67" i="1"/>
  <c r="M99" i="1"/>
  <c r="O99" i="1"/>
  <c r="L99" i="1"/>
  <c r="N99" i="1"/>
  <c r="P99" i="1"/>
  <c r="M95" i="1"/>
  <c r="O95" i="1"/>
  <c r="L95" i="1"/>
  <c r="N95" i="1"/>
  <c r="P95" i="1"/>
  <c r="M91" i="1"/>
  <c r="O91" i="1"/>
  <c r="L91" i="1"/>
  <c r="N91" i="1"/>
  <c r="P91" i="1"/>
  <c r="L102" i="1"/>
  <c r="N102" i="1"/>
  <c r="P102" i="1"/>
  <c r="M102" i="1"/>
  <c r="O102" i="1"/>
  <c r="L98" i="1"/>
  <c r="N98" i="1"/>
  <c r="P98" i="1"/>
  <c r="M98" i="1"/>
  <c r="O98" i="1"/>
  <c r="L94" i="1"/>
  <c r="N94" i="1"/>
  <c r="P94" i="1"/>
  <c r="M94" i="1"/>
  <c r="O94" i="1"/>
  <c r="L90" i="1"/>
  <c r="N90" i="1"/>
  <c r="P90" i="1"/>
  <c r="M90" i="1"/>
  <c r="O90" i="1"/>
  <c r="M86" i="1"/>
  <c r="O86" i="1"/>
  <c r="L86" i="1"/>
  <c r="N86" i="1"/>
  <c r="P86" i="1"/>
  <c r="M82" i="1"/>
  <c r="O82" i="1"/>
  <c r="L82" i="1"/>
  <c r="N82" i="1"/>
  <c r="P82" i="1"/>
  <c r="M78" i="1"/>
  <c r="O78" i="1"/>
  <c r="L78" i="1"/>
  <c r="N78" i="1"/>
  <c r="P78" i="1"/>
  <c r="M74" i="1"/>
  <c r="O74" i="1"/>
  <c r="L74" i="1"/>
  <c r="N74" i="1"/>
  <c r="P74" i="1"/>
  <c r="M70" i="1"/>
  <c r="O70" i="1"/>
  <c r="L70" i="1"/>
  <c r="N70" i="1"/>
  <c r="P70" i="1"/>
  <c r="M66" i="1"/>
  <c r="O66" i="1"/>
  <c r="L66" i="1"/>
  <c r="N66" i="1"/>
  <c r="P66" i="1"/>
  <c r="L85" i="1"/>
  <c r="N85" i="1"/>
  <c r="P85" i="1"/>
  <c r="M85" i="1"/>
  <c r="O85" i="1"/>
  <c r="L81" i="1"/>
  <c r="N81" i="1"/>
  <c r="P81" i="1"/>
  <c r="M81" i="1"/>
  <c r="O81" i="1"/>
  <c r="L77" i="1"/>
  <c r="N77" i="1"/>
  <c r="P77" i="1"/>
  <c r="M77" i="1"/>
  <c r="O77" i="1"/>
  <c r="L73" i="1"/>
  <c r="N73" i="1"/>
  <c r="P73" i="1"/>
  <c r="M73" i="1"/>
  <c r="O73" i="1"/>
  <c r="L69" i="1"/>
  <c r="N69" i="1"/>
  <c r="P69" i="1"/>
  <c r="M69" i="1"/>
  <c r="O69" i="1"/>
  <c r="L65" i="1"/>
  <c r="N65" i="1"/>
  <c r="P65" i="1"/>
  <c r="M65" i="1"/>
  <c r="O65" i="1"/>
  <c r="M101" i="1"/>
  <c r="O101" i="1"/>
  <c r="L101" i="1"/>
  <c r="N101" i="1"/>
  <c r="P101" i="1"/>
  <c r="M97" i="1"/>
  <c r="O97" i="1"/>
  <c r="L97" i="1"/>
  <c r="N97" i="1"/>
  <c r="P97" i="1"/>
  <c r="M93" i="1"/>
  <c r="O93" i="1"/>
  <c r="L93" i="1"/>
  <c r="N93" i="1"/>
  <c r="P93" i="1"/>
  <c r="M89" i="1"/>
  <c r="O89" i="1"/>
  <c r="L89" i="1"/>
  <c r="N89" i="1"/>
  <c r="P89" i="1"/>
  <c r="L100" i="1"/>
  <c r="N100" i="1"/>
  <c r="P100" i="1"/>
  <c r="M100" i="1"/>
  <c r="O100" i="1"/>
  <c r="L96" i="1"/>
  <c r="N96" i="1"/>
  <c r="P96" i="1"/>
  <c r="M96" i="1"/>
  <c r="O96" i="1"/>
  <c r="L92" i="1"/>
  <c r="N92" i="1"/>
  <c r="P92" i="1"/>
  <c r="M92" i="1"/>
  <c r="O92" i="1"/>
  <c r="L88" i="1"/>
  <c r="N88" i="1"/>
  <c r="P88" i="1"/>
  <c r="M88" i="1"/>
  <c r="O88" i="1"/>
  <c r="M84" i="1"/>
  <c r="O84" i="1"/>
  <c r="L84" i="1"/>
  <c r="N84" i="1"/>
  <c r="P84" i="1"/>
  <c r="M80" i="1"/>
  <c r="O80" i="1"/>
  <c r="L80" i="1"/>
  <c r="N80" i="1"/>
  <c r="P80" i="1"/>
  <c r="M76" i="1"/>
  <c r="O76" i="1"/>
  <c r="L76" i="1"/>
  <c r="N76" i="1"/>
  <c r="P76" i="1"/>
  <c r="M72" i="1"/>
  <c r="O72" i="1"/>
  <c r="L72" i="1"/>
  <c r="N72" i="1"/>
  <c r="P72" i="1"/>
  <c r="M68" i="1"/>
  <c r="O68" i="1"/>
  <c r="L68" i="1"/>
  <c r="N68" i="1"/>
  <c r="P68" i="1"/>
  <c r="L87" i="1"/>
  <c r="M87" i="1"/>
  <c r="O87" i="1"/>
  <c r="N87" i="1"/>
  <c r="P87" i="1"/>
  <c r="L83" i="1"/>
  <c r="N83" i="1"/>
  <c r="P83" i="1"/>
  <c r="M83" i="1"/>
  <c r="O83" i="1"/>
  <c r="L79" i="1"/>
  <c r="N79" i="1"/>
  <c r="P79" i="1"/>
  <c r="M79" i="1"/>
  <c r="O79" i="1"/>
  <c r="L75" i="1"/>
  <c r="N75" i="1"/>
  <c r="P75" i="1"/>
  <c r="M75" i="1"/>
  <c r="O75" i="1"/>
  <c r="L71" i="1"/>
  <c r="N71" i="1"/>
  <c r="P71" i="1"/>
  <c r="M71" i="1"/>
  <c r="O71" i="1"/>
  <c r="L67" i="1"/>
  <c r="N67" i="1"/>
  <c r="P67" i="1"/>
  <c r="M67" i="1"/>
  <c r="O67" i="1"/>
  <c r="G18" i="1" l="1"/>
  <c r="G17" i="1"/>
  <c r="H17" i="1" s="1"/>
  <c r="G12" i="1"/>
  <c r="G15" i="1"/>
  <c r="H15" i="1" s="1"/>
  <c r="G10" i="1"/>
  <c r="G13" i="1"/>
  <c r="H13" i="1" s="1"/>
  <c r="G8" i="1"/>
  <c r="G11" i="1"/>
  <c r="H11" i="1" s="1"/>
  <c r="G14" i="1"/>
  <c r="G9" i="1"/>
  <c r="H9" i="1" s="1"/>
  <c r="J28" i="1"/>
  <c r="J36" i="1"/>
  <c r="J23" i="1"/>
  <c r="O23" i="1" s="1"/>
  <c r="J31" i="1"/>
  <c r="J26" i="1"/>
  <c r="J34" i="1"/>
  <c r="J21" i="1"/>
  <c r="J29" i="1"/>
  <c r="J24" i="1"/>
  <c r="J32" i="1"/>
  <c r="J27" i="1"/>
  <c r="J35" i="1"/>
  <c r="J22" i="1"/>
  <c r="J30" i="1"/>
  <c r="J25" i="1"/>
  <c r="J33" i="1"/>
  <c r="H12" i="1"/>
  <c r="H20" i="1"/>
  <c r="H28" i="1"/>
  <c r="H23" i="1"/>
  <c r="H31" i="1"/>
  <c r="H35" i="1"/>
  <c r="H10" i="1"/>
  <c r="H18" i="1"/>
  <c r="H26" i="1"/>
  <c r="H21" i="1"/>
  <c r="H29" i="1"/>
  <c r="H33" i="1"/>
  <c r="H16" i="1"/>
  <c r="H24" i="1"/>
  <c r="H32" i="1"/>
  <c r="H36" i="1"/>
  <c r="H19" i="1"/>
  <c r="H27" i="1"/>
  <c r="H14" i="1"/>
  <c r="H22" i="1"/>
  <c r="H30" i="1"/>
  <c r="H34" i="1"/>
  <c r="H25" i="1"/>
  <c r="H8" i="1"/>
  <c r="F36" i="1"/>
  <c r="F44" i="1"/>
  <c r="F39" i="1"/>
  <c r="F47" i="1"/>
  <c r="F55" i="1"/>
  <c r="F63" i="1"/>
  <c r="F56" i="1"/>
  <c r="F38" i="1"/>
  <c r="F46" i="1"/>
  <c r="F41" i="1"/>
  <c r="M41" i="1" s="1"/>
  <c r="F49" i="1"/>
  <c r="F57" i="1"/>
  <c r="F50" i="1"/>
  <c r="M50" i="1" s="1"/>
  <c r="F58" i="1"/>
  <c r="L58" i="1" s="1"/>
  <c r="F40" i="1"/>
  <c r="F48" i="1"/>
  <c r="F35" i="1"/>
  <c r="F43" i="1"/>
  <c r="F51" i="1"/>
  <c r="F59" i="1"/>
  <c r="F52" i="1"/>
  <c r="F60" i="1"/>
  <c r="F34" i="1"/>
  <c r="F42" i="1"/>
  <c r="F37" i="1"/>
  <c r="F45" i="1"/>
  <c r="F53" i="1"/>
  <c r="F61" i="1"/>
  <c r="F54" i="1"/>
  <c r="F62" i="1"/>
  <c r="S11" i="1"/>
  <c r="S19" i="1"/>
  <c r="S12" i="1"/>
  <c r="S20" i="1"/>
  <c r="S10" i="1"/>
  <c r="S18" i="1"/>
  <c r="S13" i="1"/>
  <c r="I38" i="1"/>
  <c r="I46" i="1"/>
  <c r="I41" i="1"/>
  <c r="P41" i="1" s="1"/>
  <c r="I49" i="1"/>
  <c r="I57" i="1"/>
  <c r="I50" i="1"/>
  <c r="P50" i="1" s="1"/>
  <c r="I58" i="1"/>
  <c r="P58" i="1" s="1"/>
  <c r="I40" i="1"/>
  <c r="I48" i="1"/>
  <c r="P48" i="1" s="1"/>
  <c r="I39" i="1"/>
  <c r="I47" i="1"/>
  <c r="P47" i="1" s="1"/>
  <c r="I55" i="1"/>
  <c r="I63" i="1"/>
  <c r="I56" i="1"/>
  <c r="P56" i="1" s="1"/>
  <c r="I64" i="1"/>
  <c r="E34" i="1"/>
  <c r="E42" i="1"/>
  <c r="E37" i="1"/>
  <c r="E45" i="1"/>
  <c r="E53" i="1"/>
  <c r="E61" i="1"/>
  <c r="E54" i="1"/>
  <c r="E62" i="1"/>
  <c r="E44" i="1"/>
  <c r="E35" i="1"/>
  <c r="E43" i="1"/>
  <c r="E51" i="1"/>
  <c r="E59" i="1"/>
  <c r="E52" i="1"/>
  <c r="E60" i="1"/>
  <c r="E36" i="1"/>
  <c r="E22" i="1"/>
  <c r="F22" i="1" s="1"/>
  <c r="E30" i="1"/>
  <c r="F30" i="1" s="1"/>
  <c r="E21" i="1"/>
  <c r="F21" i="1" s="1"/>
  <c r="E29" i="1"/>
  <c r="F29" i="1" s="1"/>
  <c r="E24" i="1"/>
  <c r="F24" i="1" s="1"/>
  <c r="E32" i="1"/>
  <c r="F32" i="1" s="1"/>
  <c r="E23" i="1"/>
  <c r="F23" i="1" s="1"/>
  <c r="E31" i="1"/>
  <c r="F31" i="1" s="1"/>
  <c r="E26" i="1"/>
  <c r="F26" i="1" s="1"/>
  <c r="E25" i="1"/>
  <c r="F25" i="1" s="1"/>
  <c r="E33" i="1"/>
  <c r="F33" i="1" s="1"/>
  <c r="E28" i="1"/>
  <c r="F28" i="1" s="1"/>
  <c r="E27" i="1"/>
  <c r="F27" i="1" s="1"/>
  <c r="I9" i="1"/>
  <c r="J9" i="1" s="1"/>
  <c r="I8" i="1"/>
  <c r="J8" i="1" s="1"/>
  <c r="I11" i="1"/>
  <c r="J11" i="1" s="1"/>
  <c r="I10" i="1"/>
  <c r="J10" i="1" s="1"/>
  <c r="I13" i="1"/>
  <c r="J13" i="1" s="1"/>
  <c r="I12" i="1"/>
  <c r="J12" i="1" s="1"/>
  <c r="I17" i="1"/>
  <c r="J17" i="1" s="1"/>
  <c r="I20" i="1"/>
  <c r="J20" i="1" s="1"/>
  <c r="I19" i="1"/>
  <c r="J19" i="1" s="1"/>
  <c r="I18" i="1"/>
  <c r="J18" i="1" s="1"/>
  <c r="I16" i="1"/>
  <c r="J16" i="1" s="1"/>
  <c r="I15" i="1"/>
  <c r="J15" i="1" s="1"/>
  <c r="I14" i="1"/>
  <c r="J14" i="1" s="1"/>
  <c r="P64" i="1"/>
  <c r="P45" i="1"/>
  <c r="U12" i="1"/>
  <c r="U20" i="1"/>
  <c r="U15" i="1"/>
  <c r="U10" i="1"/>
  <c r="U18" i="1"/>
  <c r="U17" i="1"/>
  <c r="U9" i="1"/>
  <c r="U16" i="1"/>
  <c r="U11" i="1"/>
  <c r="U19" i="1"/>
  <c r="U14" i="1"/>
  <c r="U13" i="1"/>
  <c r="U8" i="1"/>
  <c r="L12" i="1"/>
  <c r="L11" i="1"/>
  <c r="L17" i="1"/>
  <c r="P23" i="1"/>
  <c r="L13" i="1"/>
  <c r="L18" i="1"/>
  <c r="P33" i="1"/>
  <c r="L15" i="1"/>
  <c r="L16" i="1"/>
  <c r="L14" i="1"/>
  <c r="N64" i="1"/>
  <c r="P28" i="1"/>
  <c r="P29" i="1"/>
  <c r="P37" i="1"/>
  <c r="O39" i="1"/>
  <c r="O47" i="1"/>
  <c r="O56" i="1"/>
  <c r="O64" i="1"/>
  <c r="O45" i="1"/>
  <c r="O54" i="1"/>
  <c r="O62" i="1"/>
  <c r="F64" i="1"/>
  <c r="P24" i="1"/>
  <c r="P27" i="1"/>
  <c r="P35" i="1"/>
  <c r="P43" i="1"/>
  <c r="P52" i="1"/>
  <c r="P60" i="1"/>
  <c r="P25" i="1"/>
  <c r="N41" i="1"/>
  <c r="N50" i="1"/>
  <c r="P54" i="1"/>
  <c r="P39" i="1"/>
  <c r="P15" i="1" l="1"/>
  <c r="L41" i="1"/>
  <c r="L50" i="1"/>
  <c r="L23" i="1"/>
  <c r="M56" i="1"/>
  <c r="N56" i="1"/>
  <c r="L63" i="1"/>
  <c r="M55" i="1"/>
  <c r="N55" i="1"/>
  <c r="M47" i="1"/>
  <c r="N47" i="1"/>
  <c r="M39" i="1"/>
  <c r="N39" i="1"/>
  <c r="L48" i="1"/>
  <c r="M40" i="1"/>
  <c r="N40" i="1"/>
  <c r="M62" i="1"/>
  <c r="N62" i="1"/>
  <c r="L61" i="1"/>
  <c r="M53" i="1"/>
  <c r="N53" i="1"/>
  <c r="M45" i="1"/>
  <c r="N45" i="1"/>
  <c r="L46" i="1"/>
  <c r="M38" i="1"/>
  <c r="N38" i="1"/>
  <c r="L29" i="1"/>
  <c r="L20" i="1"/>
  <c r="L19" i="1"/>
  <c r="M58" i="1"/>
  <c r="N58" i="1"/>
  <c r="L31" i="1"/>
  <c r="L24" i="1"/>
  <c r="M60" i="1"/>
  <c r="N60" i="1"/>
  <c r="M52" i="1"/>
  <c r="N52" i="1"/>
  <c r="L59" i="1"/>
  <c r="L51" i="1"/>
  <c r="M43" i="1"/>
  <c r="N43" i="1"/>
  <c r="M35" i="1"/>
  <c r="N35" i="1"/>
  <c r="L44" i="1"/>
  <c r="M36" i="1"/>
  <c r="N36" i="1"/>
  <c r="M54" i="1"/>
  <c r="N54" i="1"/>
  <c r="L57" i="1"/>
  <c r="L49" i="1"/>
  <c r="M37" i="1"/>
  <c r="N37" i="1"/>
  <c r="L42" i="1"/>
  <c r="M34" i="1"/>
  <c r="M33" i="1"/>
  <c r="N33" i="1"/>
  <c r="L22" i="1"/>
  <c r="L32" i="1"/>
  <c r="L28" i="1"/>
  <c r="L30" i="1"/>
  <c r="M18" i="1"/>
  <c r="N18" i="1"/>
  <c r="L33" i="1"/>
  <c r="L55" i="1"/>
  <c r="L40" i="1"/>
  <c r="L53" i="1"/>
  <c r="L38" i="1"/>
  <c r="M17" i="1"/>
  <c r="L52" i="1"/>
  <c r="O31" i="1"/>
  <c r="O33" i="1"/>
  <c r="L62" i="1"/>
  <c r="L54" i="1"/>
  <c r="P19" i="1"/>
  <c r="L60" i="1"/>
  <c r="L43" i="1"/>
  <c r="P13" i="1"/>
  <c r="L35" i="1"/>
  <c r="L36" i="1"/>
  <c r="L64" i="1"/>
  <c r="L56" i="1"/>
  <c r="O37" i="1"/>
  <c r="O21" i="1"/>
  <c r="L45" i="1"/>
  <c r="O29" i="1"/>
  <c r="L34" i="1"/>
  <c r="N34" i="1"/>
  <c r="P31" i="1"/>
  <c r="P21" i="1"/>
  <c r="L47" i="1"/>
  <c r="L39" i="1"/>
  <c r="L37" i="1"/>
  <c r="N17" i="1"/>
  <c r="O15" i="1"/>
  <c r="P9" i="1"/>
  <c r="P11" i="1"/>
  <c r="O60" i="1"/>
  <c r="O52" i="1"/>
  <c r="O43" i="1"/>
  <c r="O35" i="1"/>
  <c r="O58" i="1"/>
  <c r="O50" i="1"/>
  <c r="O41" i="1"/>
  <c r="O25" i="1"/>
  <c r="O27" i="1"/>
  <c r="L10" i="1"/>
  <c r="L9" i="1"/>
  <c r="L8" i="1"/>
  <c r="P20" i="1"/>
  <c r="O20" i="1"/>
  <c r="O9" i="1"/>
  <c r="O11" i="1"/>
  <c r="P12" i="1"/>
  <c r="O12" i="1"/>
  <c r="O17" i="1"/>
  <c r="O19" i="1"/>
  <c r="O13" i="1"/>
  <c r="P17" i="1"/>
  <c r="P16" i="1"/>
  <c r="O16" i="1"/>
  <c r="O48" i="1"/>
  <c r="P61" i="1"/>
  <c r="O61" i="1"/>
  <c r="P46" i="1"/>
  <c r="O46" i="1"/>
  <c r="P30" i="1"/>
  <c r="O30" i="1"/>
  <c r="P14" i="1"/>
  <c r="O14" i="1"/>
  <c r="P57" i="1"/>
  <c r="O57" i="1"/>
  <c r="P49" i="1"/>
  <c r="O49" i="1"/>
  <c r="P42" i="1"/>
  <c r="O42" i="1"/>
  <c r="P34" i="1"/>
  <c r="O34" i="1"/>
  <c r="P26" i="1"/>
  <c r="O26" i="1"/>
  <c r="P18" i="1"/>
  <c r="O18" i="1"/>
  <c r="P10" i="1"/>
  <c r="O10" i="1"/>
  <c r="P59" i="1"/>
  <c r="O59" i="1"/>
  <c r="P51" i="1"/>
  <c r="O51" i="1"/>
  <c r="P40" i="1"/>
  <c r="O40" i="1"/>
  <c r="P32" i="1"/>
  <c r="O32" i="1"/>
  <c r="O24" i="1"/>
  <c r="O28" i="1"/>
  <c r="P53" i="1"/>
  <c r="O53" i="1"/>
  <c r="P38" i="1"/>
  <c r="O38" i="1"/>
  <c r="P22" i="1"/>
  <c r="O22" i="1"/>
  <c r="P63" i="1"/>
  <c r="O63" i="1"/>
  <c r="P55" i="1"/>
  <c r="O55" i="1"/>
  <c r="P44" i="1"/>
  <c r="O44" i="1"/>
  <c r="P36" i="1"/>
  <c r="O36" i="1"/>
  <c r="O8" i="1"/>
  <c r="P8" i="1"/>
  <c r="M8" i="1"/>
  <c r="L21" i="1" l="1"/>
  <c r="M28" i="1"/>
  <c r="N28" i="1"/>
  <c r="M22" i="1"/>
  <c r="N22" i="1"/>
  <c r="M42" i="1"/>
  <c r="N42" i="1"/>
  <c r="M49" i="1"/>
  <c r="N49" i="1"/>
  <c r="M51" i="1"/>
  <c r="N51" i="1"/>
  <c r="M24" i="1"/>
  <c r="N24" i="1"/>
  <c r="M31" i="1"/>
  <c r="N31" i="1"/>
  <c r="M19" i="1"/>
  <c r="N19" i="1"/>
  <c r="M20" i="1"/>
  <c r="N20" i="1"/>
  <c r="M29" i="1"/>
  <c r="N29" i="1"/>
  <c r="M46" i="1"/>
  <c r="N46" i="1"/>
  <c r="M61" i="1"/>
  <c r="N61" i="1"/>
  <c r="M48" i="1"/>
  <c r="N48" i="1"/>
  <c r="M63" i="1"/>
  <c r="N63" i="1"/>
  <c r="M23" i="1"/>
  <c r="N23" i="1"/>
  <c r="L26" i="1"/>
  <c r="M30" i="1"/>
  <c r="N30" i="1"/>
  <c r="M32" i="1"/>
  <c r="N32" i="1"/>
  <c r="M57" i="1"/>
  <c r="N57" i="1"/>
  <c r="M44" i="1"/>
  <c r="N44" i="1"/>
  <c r="M59" i="1"/>
  <c r="N59" i="1"/>
  <c r="L27" i="1"/>
  <c r="L25" i="1"/>
  <c r="N8" i="1"/>
  <c r="M11" i="1"/>
  <c r="N11" i="1"/>
  <c r="M15" i="1"/>
  <c r="N15" i="1"/>
  <c r="M13" i="1"/>
  <c r="N13" i="1"/>
  <c r="M10" i="1"/>
  <c r="N10" i="1"/>
  <c r="M14" i="1"/>
  <c r="N14" i="1"/>
  <c r="M12" i="1"/>
  <c r="N12" i="1"/>
  <c r="M16" i="1"/>
  <c r="N16" i="1"/>
  <c r="M9" i="1"/>
  <c r="N9" i="1"/>
  <c r="M25" i="1" l="1"/>
  <c r="N25" i="1"/>
  <c r="M21" i="1"/>
  <c r="N21" i="1"/>
  <c r="M27" i="1"/>
  <c r="N27" i="1"/>
  <c r="M26" i="1"/>
  <c r="N26" i="1"/>
</calcChain>
</file>

<file path=xl/comments1.xml><?xml version="1.0" encoding="utf-8"?>
<comments xmlns="http://schemas.openxmlformats.org/spreadsheetml/2006/main">
  <authors>
    <author>Howard Kathryn</author>
  </authors>
  <commentList>
    <comment ref="AD4" authorId="0">
      <text>
        <r>
          <rPr>
            <b/>
            <sz val="9"/>
            <color indexed="81"/>
            <rFont val="Tahoma"/>
            <family val="2"/>
          </rPr>
          <t>Howard Kathryn:</t>
        </r>
        <r>
          <rPr>
            <sz val="9"/>
            <color indexed="81"/>
            <rFont val="Tahoma"/>
            <family val="2"/>
          </rPr>
          <t xml:space="preserve">
Use UCEA point 2 x 70% - need to amend manually</t>
        </r>
      </text>
    </comment>
    <comment ref="AD7" authorId="0">
      <text>
        <r>
          <rPr>
            <b/>
            <sz val="9"/>
            <color indexed="81"/>
            <rFont val="Tahoma"/>
            <family val="2"/>
          </rPr>
          <t>Howard Kathryn:</t>
        </r>
        <r>
          <rPr>
            <sz val="9"/>
            <color indexed="81"/>
            <rFont val="Tahoma"/>
            <family val="2"/>
          </rPr>
          <t xml:space="preserve">
Use UCEA point 2 x 85% - need to amend manually</t>
        </r>
      </text>
    </comment>
    <comment ref="AD9" authorId="0">
      <text>
        <r>
          <rPr>
            <b/>
            <sz val="9"/>
            <color indexed="81"/>
            <rFont val="Tahoma"/>
            <family val="2"/>
          </rPr>
          <t>Howard Kathryn:</t>
        </r>
        <r>
          <rPr>
            <sz val="9"/>
            <color indexed="81"/>
            <rFont val="Tahoma"/>
            <family val="2"/>
          </rPr>
          <t xml:space="preserve">
Insert manually - point 2 on UCEA 51 point scale not University scale.
</t>
        </r>
      </text>
    </comment>
  </commentList>
</comments>
</file>

<file path=xl/sharedStrings.xml><?xml version="1.0" encoding="utf-8"?>
<sst xmlns="http://schemas.openxmlformats.org/spreadsheetml/2006/main" count="216" uniqueCount="121">
  <si>
    <t>Spine Point</t>
  </si>
  <si>
    <t>Salary</t>
  </si>
  <si>
    <t>CPAS</t>
  </si>
  <si>
    <t>CRSP</t>
  </si>
  <si>
    <t>USS</t>
  </si>
  <si>
    <t>NHS</t>
  </si>
  <si>
    <t>Level 7 Spine Points</t>
  </si>
  <si>
    <t>A Rate NI</t>
  </si>
  <si>
    <t>D Rate NI</t>
  </si>
  <si>
    <t>Grade Number</t>
  </si>
  <si>
    <t>No of Points</t>
  </si>
  <si>
    <t>Minimum</t>
  </si>
  <si>
    <t>Standard Max</t>
  </si>
  <si>
    <t>Super Max</t>
  </si>
  <si>
    <t>Match</t>
  </si>
  <si>
    <t>CLCONS - NEW</t>
  </si>
  <si>
    <t>CLLECT / CLCONS OLD</t>
  </si>
  <si>
    <t>APM Level 1</t>
  </si>
  <si>
    <t>APM Level 2</t>
  </si>
  <si>
    <t>APM Level 3</t>
  </si>
  <si>
    <t>APM Level 4</t>
  </si>
  <si>
    <t>APM Level 4 Training Grade</t>
  </si>
  <si>
    <t>Pension Schemes</t>
  </si>
  <si>
    <t>APM Level 5</t>
  </si>
  <si>
    <t>APM Level 6</t>
  </si>
  <si>
    <t>APM Level 7</t>
  </si>
  <si>
    <t>Child Care Services Level 1</t>
  </si>
  <si>
    <t>Child Care Services Level 2</t>
  </si>
  <si>
    <t>New Consultant Contract</t>
  </si>
  <si>
    <t>Clinical Consultant - Old Contract (GP)</t>
  </si>
  <si>
    <t>Clinical Lecturer / Medical Research Fellow</t>
  </si>
  <si>
    <t>O&amp;F Level 1</t>
  </si>
  <si>
    <t>O&amp;F Level 1 - 16 Years Old</t>
  </si>
  <si>
    <t>O&amp;F Level 1 - 17 Years Old</t>
  </si>
  <si>
    <t>O&amp;F Level 2</t>
  </si>
  <si>
    <t>O&amp;F Level 3</t>
  </si>
  <si>
    <t>R&amp;T Level 4</t>
  </si>
  <si>
    <t>R&amp;T Level 4a</t>
  </si>
  <si>
    <t>R&amp;T Level 4 Res Career Training Grade</t>
  </si>
  <si>
    <t>R&amp;T Level 5</t>
  </si>
  <si>
    <t>R&amp;T Extended Level 5</t>
  </si>
  <si>
    <t>R&amp;T Level 5 - Clinical Lecturers (Vet School)</t>
  </si>
  <si>
    <t>R&amp;T Level 6</t>
  </si>
  <si>
    <t>R&amp;T Level 6 - Clinical Associate Professors and Clinical Readers (Vet School)</t>
  </si>
  <si>
    <t>R&amp;T Level 7</t>
  </si>
  <si>
    <t>Technical Services Trainee</t>
  </si>
  <si>
    <t>Technical Services Level 1</t>
  </si>
  <si>
    <t>Technical Services Level 2</t>
  </si>
  <si>
    <t>Technical Services Level 3</t>
  </si>
  <si>
    <t>Technical Services Level 4</t>
  </si>
  <si>
    <t>Technical Services Level 5</t>
  </si>
  <si>
    <t xml:space="preserve">D Rate from </t>
  </si>
  <si>
    <t>A rate stops</t>
  </si>
  <si>
    <t>TOTALS</t>
  </si>
  <si>
    <t>Salary + AVA</t>
  </si>
  <si>
    <t>AVA%</t>
  </si>
  <si>
    <t>Clinical Supplement %</t>
  </si>
  <si>
    <t>Clinical Supplement  Amount</t>
  </si>
  <si>
    <t>Notes &amp; Guidance</t>
  </si>
  <si>
    <t>If there is a Standard Maximum then this will be highlighted in Orange</t>
  </si>
  <si>
    <t>Pension &amp; NI</t>
  </si>
  <si>
    <t>The Salary Points &amp; Employer Costs for that grade will be displayed</t>
  </si>
  <si>
    <t>If the pension scheme is not available on this grade then the entry will show as '-'</t>
  </si>
  <si>
    <t>The 'Rates' tab gives the current Salary &amp; the Employers Pension &amp; NI costs</t>
  </si>
  <si>
    <t>A rate National Insurance is used if employee pays into CRSP pension scheme or is not in a pension scheme</t>
  </si>
  <si>
    <t>Select From Drop-Down</t>
  </si>
  <si>
    <t>The 'Scale' is currently set to 100%. This can be adjusted using the + &amp; - buttons in the bottom right of Excel</t>
  </si>
  <si>
    <t>Employees who pay into the USS, NHS &amp; CPAS Pension Schemes pay D rate NI
NB: CPAS is not available to new employees
Employees who pay into CRSP or don't contribute into any University Pension Scheme pay A rate NI</t>
  </si>
  <si>
    <t>CRSP Employers % is calculated as 10% though in practice this could be a lower figure depending on what % the employee decides to contribute</t>
  </si>
  <si>
    <t>Not Contributing to a Pension</t>
  </si>
  <si>
    <t>Veterinary Scales will have AVA &amp; Clinical Supplements figures supplied to the right of the TOTALS. The figure the NI &amp; Pension is calculated on will be the Salary + the AVA %. The Clinical Supplement can be a % up to 15%, the figure in the spreadsheet will always show the maximum 15% figure</t>
  </si>
  <si>
    <t>D rate National Insurance is used if employee pays into either USS, NHS or CPAS pension schemes (NB: CPAS is not available to new employees)</t>
  </si>
  <si>
    <t>APM6</t>
  </si>
  <si>
    <t>R&amp;T6</t>
  </si>
  <si>
    <t>TS5</t>
  </si>
  <si>
    <t>R&amp;T5</t>
  </si>
  <si>
    <t>APM5</t>
  </si>
  <si>
    <t>Extended R&amp;T5</t>
  </si>
  <si>
    <t>APM4</t>
  </si>
  <si>
    <t>R&amp;T4</t>
  </si>
  <si>
    <t>TS4</t>
  </si>
  <si>
    <t>No Pt 25</t>
  </si>
  <si>
    <t>APM4 TG</t>
  </si>
  <si>
    <t>R&amp;T4 TG</t>
  </si>
  <si>
    <t>R&amp;T 4a</t>
  </si>
  <si>
    <t>O&amp;F3</t>
  </si>
  <si>
    <t>TS3</t>
  </si>
  <si>
    <t>APM3</t>
  </si>
  <si>
    <t>CCS2</t>
  </si>
  <si>
    <t>CCS1</t>
  </si>
  <si>
    <t>APM2</t>
  </si>
  <si>
    <t>TS2</t>
  </si>
  <si>
    <t>O&amp;F2</t>
  </si>
  <si>
    <t>TS Trainee</t>
  </si>
  <si>
    <t>O&amp;F1</t>
  </si>
  <si>
    <t>Point</t>
  </si>
  <si>
    <t>Level 1 Standard Max</t>
  </si>
  <si>
    <t>Level 2 Standard Max</t>
  </si>
  <si>
    <t>Level 3 Standard Max</t>
  </si>
  <si>
    <t>Level 4 Standard Max</t>
  </si>
  <si>
    <t>Level 5 Standard Max</t>
  </si>
  <si>
    <t>Level 6 Standard Max</t>
  </si>
  <si>
    <t>Apprenticeship</t>
  </si>
  <si>
    <t>Point Relates To</t>
  </si>
  <si>
    <t>Print Preview is automatically set but changes can be made in the page set up section if required</t>
  </si>
  <si>
    <t>The Scale is currently 100% but can be altered using the + &amp; - buttons in the bottom right corner
Depending on your screen size &amp; resolution not all the Columns &amp; Rows may be visible so scroll down or across as required
Print Preview is automatically set but changes can be made if required
Please read the 'Notes &amp; Guidance' tab for further information
Any queries with the spreadsheet contact HR Systems Team on 15210</t>
  </si>
  <si>
    <t>LEL to ST</t>
  </si>
  <si>
    <t>Above UEL</t>
  </si>
  <si>
    <t>Lower Earnings Level (LEL)</t>
  </si>
  <si>
    <t>Secondary Threshold (ST)</t>
  </si>
  <si>
    <t>Upper Accrual Point (UAP)</t>
  </si>
  <si>
    <t>Primary Threshold (PT)</t>
  </si>
  <si>
    <t>ST to UAP</t>
  </si>
  <si>
    <t>NI THRESHOLDS &amp; RATES</t>
  </si>
  <si>
    <t>* Update the values of these cells to reflect the current NI Thresholds &amp; Rates</t>
  </si>
  <si>
    <t>Salary Points 2 to 57</t>
  </si>
  <si>
    <t>THIS SHOWS ALL THE POINTS 2 -57 WITH THE LEVELS THAT RELATE TO THEM
JUST CLICK PRINT TO GET THIS AS A 1 PAGE DOCUMENT - IT IS BEST DONE ON A COLOUR PRINTER</t>
  </si>
  <si>
    <t>Drop-Down Selection 'Salary Points to 2 - 57' shows all the points. CRSP is available to the bottom of Level 3 &amp; USS from the bottom of Level 4</t>
  </si>
  <si>
    <t>UCEA point 2</t>
  </si>
  <si>
    <t>TS1</t>
  </si>
  <si>
    <t>APM1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</si>
</sst>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.0%"/>
    <numFmt numFmtId="166" formatCode="0_ ;[Red]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1D5FE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4FC1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1" applyFont="1" applyFill="1" applyBorder="1" applyAlignment="1" applyProtection="1">
      <alignment horizontal="left" vertical="top"/>
      <protection hidden="1"/>
    </xf>
    <xf numFmtId="0" fontId="4" fillId="0" borderId="0" xfId="1" applyFont="1" applyFill="1" applyBorder="1" applyAlignment="1" applyProtection="1">
      <alignment horizontal="center" vertical="top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9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9" fontId="2" fillId="0" borderId="0" xfId="0" applyNumberFormat="1" applyFont="1" applyAlignment="1" applyProtection="1">
      <alignment horizontal="center" vertical="center" wrapText="1"/>
      <protection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left" vertical="center"/>
      <protection hidden="1"/>
    </xf>
    <xf numFmtId="164" fontId="0" fillId="0" borderId="0" xfId="0" applyNumberForma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 textRotation="180"/>
      <protection hidden="1"/>
    </xf>
    <xf numFmtId="0" fontId="0" fillId="0" borderId="12" xfId="0" applyFill="1" applyBorder="1" applyAlignment="1" applyProtection="1">
      <alignment vertical="center"/>
      <protection hidden="1"/>
    </xf>
    <xf numFmtId="0" fontId="0" fillId="0" borderId="8" xfId="0" applyFill="1" applyBorder="1" applyAlignment="1" applyProtection="1">
      <alignment vertical="center"/>
      <protection hidden="1"/>
    </xf>
    <xf numFmtId="0" fontId="0" fillId="12" borderId="6" xfId="0" applyFill="1" applyBorder="1" applyAlignment="1" applyProtection="1">
      <alignment vertical="center"/>
      <protection hidden="1"/>
    </xf>
    <xf numFmtId="0" fontId="0" fillId="12" borderId="7" xfId="0" applyFill="1" applyBorder="1" applyAlignment="1" applyProtection="1">
      <alignment vertical="center"/>
      <protection hidden="1"/>
    </xf>
    <xf numFmtId="0" fontId="0" fillId="0" borderId="13" xfId="0" applyFill="1" applyBorder="1" applyAlignment="1" applyProtection="1">
      <alignment vertical="center"/>
      <protection hidden="1"/>
    </xf>
    <xf numFmtId="0" fontId="0" fillId="12" borderId="12" xfId="0" applyFill="1" applyBorder="1" applyAlignment="1" applyProtection="1">
      <alignment vertical="center"/>
      <protection hidden="1"/>
    </xf>
    <xf numFmtId="0" fontId="0" fillId="12" borderId="0" xfId="0" applyFill="1" applyBorder="1" applyAlignment="1" applyProtection="1">
      <alignment vertical="center"/>
      <protection hidden="1"/>
    </xf>
    <xf numFmtId="0" fontId="0" fillId="0" borderId="1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12" borderId="10" xfId="0" applyFill="1" applyBorder="1" applyAlignment="1" applyProtection="1">
      <alignment vertical="center"/>
      <protection hidden="1"/>
    </xf>
    <xf numFmtId="0" fontId="0" fillId="12" borderId="5" xfId="0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 textRotation="180"/>
      <protection hidden="1"/>
    </xf>
    <xf numFmtId="0" fontId="0" fillId="0" borderId="11" xfId="0" applyFill="1" applyBorder="1" applyAlignment="1" applyProtection="1">
      <alignment vertical="center"/>
      <protection hidden="1"/>
    </xf>
    <xf numFmtId="0" fontId="0" fillId="5" borderId="8" xfId="0" applyFill="1" applyBorder="1" applyAlignment="1" applyProtection="1">
      <alignment vertical="center"/>
      <protection hidden="1"/>
    </xf>
    <xf numFmtId="0" fontId="0" fillId="0" borderId="7" xfId="0" applyFill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7" fillId="0" borderId="13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5" borderId="13" xfId="0" applyFont="1" applyFill="1" applyBorder="1" applyAlignment="1" applyProtection="1">
      <alignment vertical="center"/>
      <protection hidden="1"/>
    </xf>
    <xf numFmtId="0" fontId="0" fillId="0" borderId="5" xfId="0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0" fillId="5" borderId="12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horizontal="center" vertical="center" textRotation="180"/>
      <protection hidden="1"/>
    </xf>
    <xf numFmtId="0" fontId="0" fillId="5" borderId="10" xfId="0" applyFill="1" applyBorder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0" fillId="13" borderId="12" xfId="0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 vertical="center"/>
    </xf>
    <xf numFmtId="0" fontId="12" fillId="15" borderId="0" xfId="0" applyFont="1" applyFill="1"/>
    <xf numFmtId="0" fontId="0" fillId="0" borderId="1" xfId="0" applyBorder="1"/>
    <xf numFmtId="0" fontId="0" fillId="0" borderId="0" xfId="0" applyAlignment="1">
      <alignment horizontal="center" vertical="center"/>
    </xf>
    <xf numFmtId="165" fontId="0" fillId="1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6" xfId="0" applyFill="1" applyBorder="1" applyAlignment="1" applyProtection="1">
      <alignment vertical="center"/>
      <protection hidden="1"/>
    </xf>
    <xf numFmtId="0" fontId="0" fillId="13" borderId="0" xfId="0" applyFill="1" applyBorder="1" applyAlignment="1" applyProtection="1">
      <alignment horizontal="left" vertical="center" wrapText="1"/>
      <protection hidden="1"/>
    </xf>
    <xf numFmtId="0" fontId="0" fillId="0" borderId="17" xfId="0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5" fillId="0" borderId="1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0" fillId="16" borderId="7" xfId="0" applyFill="1" applyBorder="1" applyAlignment="1" applyProtection="1">
      <alignment vertical="center"/>
      <protection hidden="1"/>
    </xf>
    <xf numFmtId="0" fontId="0" fillId="16" borderId="0" xfId="0" applyFill="1" applyBorder="1" applyAlignment="1" applyProtection="1">
      <alignment vertical="center"/>
      <protection hidden="1"/>
    </xf>
    <xf numFmtId="0" fontId="0" fillId="16" borderId="0" xfId="0" applyFont="1" applyFill="1" applyBorder="1" applyAlignment="1" applyProtection="1">
      <alignment vertical="center"/>
      <protection hidden="1"/>
    </xf>
    <xf numFmtId="0" fontId="16" fillId="12" borderId="1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7" fillId="7" borderId="2" xfId="0" applyFont="1" applyFill="1" applyBorder="1" applyAlignment="1" applyProtection="1">
      <alignment horizontal="left" vertical="center" wrapText="1"/>
      <protection hidden="1"/>
    </xf>
    <xf numFmtId="0" fontId="7" fillId="7" borderId="3" xfId="0" applyFont="1" applyFill="1" applyBorder="1" applyAlignment="1" applyProtection="1">
      <alignment horizontal="left" vertical="center"/>
      <protection hidden="1"/>
    </xf>
    <xf numFmtId="0" fontId="7" fillId="7" borderId="4" xfId="0" applyFont="1" applyFill="1" applyBorder="1" applyAlignment="1" applyProtection="1">
      <alignment horizontal="left" vertical="center"/>
      <protection hidden="1"/>
    </xf>
    <xf numFmtId="0" fontId="3" fillId="6" borderId="2" xfId="0" applyFont="1" applyFill="1" applyBorder="1" applyAlignment="1" applyProtection="1">
      <alignment horizontal="left" vertical="center" wrapText="1"/>
      <protection locked="0" hidden="1"/>
    </xf>
    <xf numFmtId="0" fontId="3" fillId="6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10" fillId="5" borderId="8" xfId="0" applyFont="1" applyFill="1" applyBorder="1" applyAlignment="1" applyProtection="1">
      <alignment horizontal="center" vertical="center" textRotation="180"/>
      <protection hidden="1"/>
    </xf>
    <xf numFmtId="0" fontId="10" fillId="5" borderId="13" xfId="0" applyFont="1" applyFill="1" applyBorder="1" applyAlignment="1" applyProtection="1">
      <alignment horizontal="center" vertical="center" textRotation="180"/>
      <protection hidden="1"/>
    </xf>
    <xf numFmtId="0" fontId="10" fillId="5" borderId="11" xfId="0" applyFont="1" applyFill="1" applyBorder="1" applyAlignment="1" applyProtection="1">
      <alignment horizontal="center" vertical="center" textRotation="180"/>
      <protection hidden="1"/>
    </xf>
    <xf numFmtId="0" fontId="10" fillId="14" borderId="9" xfId="0" applyFont="1" applyFill="1" applyBorder="1" applyAlignment="1" applyProtection="1">
      <alignment horizontal="center" vertical="center" textRotation="180"/>
      <protection hidden="1"/>
    </xf>
    <xf numFmtId="0" fontId="10" fillId="14" borderId="15" xfId="0" applyFont="1" applyFill="1" applyBorder="1" applyAlignment="1" applyProtection="1">
      <alignment horizontal="center" vertical="center" textRotation="180"/>
      <protection hidden="1"/>
    </xf>
    <xf numFmtId="0" fontId="10" fillId="14" borderId="14" xfId="0" applyFont="1" applyFill="1" applyBorder="1" applyAlignment="1" applyProtection="1">
      <alignment horizontal="center" vertical="center" textRotation="180"/>
      <protection hidden="1"/>
    </xf>
    <xf numFmtId="0" fontId="10" fillId="11" borderId="17" xfId="0" applyFont="1" applyFill="1" applyBorder="1" applyAlignment="1" applyProtection="1">
      <alignment horizontal="center" vertical="center" textRotation="180"/>
      <protection hidden="1"/>
    </xf>
    <xf numFmtId="0" fontId="10" fillId="11" borderId="15" xfId="0" applyFont="1" applyFill="1" applyBorder="1" applyAlignment="1" applyProtection="1">
      <alignment horizontal="center" vertical="center" textRotation="180"/>
      <protection hidden="1"/>
    </xf>
    <xf numFmtId="0" fontId="10" fillId="11" borderId="14" xfId="0" applyFont="1" applyFill="1" applyBorder="1" applyAlignment="1" applyProtection="1">
      <alignment horizontal="center" vertical="center" textRotation="180"/>
      <protection hidden="1"/>
    </xf>
    <xf numFmtId="0" fontId="10" fillId="8" borderId="18" xfId="0" applyFont="1" applyFill="1" applyBorder="1" applyAlignment="1" applyProtection="1">
      <alignment horizontal="center" vertical="center" textRotation="180"/>
      <protection hidden="1"/>
    </xf>
    <xf numFmtId="0" fontId="10" fillId="8" borderId="12" xfId="0" applyFont="1" applyFill="1" applyBorder="1" applyAlignment="1" applyProtection="1">
      <alignment horizontal="center" vertical="center" textRotation="180"/>
      <protection hidden="1"/>
    </xf>
    <xf numFmtId="0" fontId="10" fillId="8" borderId="10" xfId="0" applyFont="1" applyFill="1" applyBorder="1" applyAlignment="1" applyProtection="1">
      <alignment horizontal="center" vertical="center" textRotation="180"/>
      <protection hidden="1"/>
    </xf>
    <xf numFmtId="0" fontId="10" fillId="9" borderId="8" xfId="0" applyFont="1" applyFill="1" applyBorder="1" applyAlignment="1" applyProtection="1">
      <alignment horizontal="center" vertical="center" textRotation="180"/>
      <protection hidden="1"/>
    </xf>
    <xf numFmtId="0" fontId="10" fillId="9" borderId="13" xfId="0" applyFont="1" applyFill="1" applyBorder="1" applyAlignment="1" applyProtection="1">
      <alignment horizontal="center" vertical="center" textRotation="180"/>
      <protection hidden="1"/>
    </xf>
    <xf numFmtId="0" fontId="10" fillId="9" borderId="11" xfId="0" applyFont="1" applyFill="1" applyBorder="1" applyAlignment="1" applyProtection="1">
      <alignment horizontal="center" vertical="center" textRotation="180"/>
      <protection hidden="1"/>
    </xf>
    <xf numFmtId="0" fontId="10" fillId="11" borderId="9" xfId="0" applyFont="1" applyFill="1" applyBorder="1" applyAlignment="1" applyProtection="1">
      <alignment horizontal="center" vertical="center" textRotation="180" wrapText="1"/>
      <protection hidden="1"/>
    </xf>
    <xf numFmtId="0" fontId="10" fillId="11" borderId="15" xfId="0" applyFont="1" applyFill="1" applyBorder="1" applyAlignment="1" applyProtection="1">
      <alignment horizontal="center" vertical="center" textRotation="180" wrapText="1"/>
      <protection hidden="1"/>
    </xf>
    <xf numFmtId="0" fontId="10" fillId="11" borderId="14" xfId="0" applyFont="1" applyFill="1" applyBorder="1" applyAlignment="1" applyProtection="1">
      <alignment horizontal="center" vertical="center" textRotation="180" wrapText="1"/>
      <protection hidden="1"/>
    </xf>
    <xf numFmtId="0" fontId="10" fillId="9" borderId="1" xfId="0" applyFont="1" applyFill="1" applyBorder="1" applyAlignment="1" applyProtection="1">
      <alignment horizontal="center" vertical="center" textRotation="180"/>
      <protection hidden="1"/>
    </xf>
    <xf numFmtId="0" fontId="7" fillId="5" borderId="6" xfId="0" applyFont="1" applyFill="1" applyBorder="1" applyAlignment="1" applyProtection="1">
      <alignment horizontal="center" vertical="center" textRotation="180" wrapText="1"/>
      <protection hidden="1"/>
    </xf>
    <xf numFmtId="0" fontId="7" fillId="5" borderId="12" xfId="0" applyFont="1" applyFill="1" applyBorder="1" applyAlignment="1" applyProtection="1">
      <alignment horizontal="center" vertical="center" textRotation="180" wrapText="1"/>
      <protection hidden="1"/>
    </xf>
    <xf numFmtId="0" fontId="7" fillId="5" borderId="10" xfId="0" applyFont="1" applyFill="1" applyBorder="1" applyAlignment="1" applyProtection="1">
      <alignment horizontal="center" vertical="center" textRotation="180" wrapText="1"/>
      <protection hidden="1"/>
    </xf>
    <xf numFmtId="0" fontId="10" fillId="0" borderId="12" xfId="0" applyFont="1" applyFill="1" applyBorder="1" applyAlignment="1" applyProtection="1">
      <alignment horizontal="center" vertical="center" textRotation="180"/>
      <protection hidden="1"/>
    </xf>
    <xf numFmtId="0" fontId="10" fillId="8" borderId="1" xfId="0" applyFont="1" applyFill="1" applyBorder="1" applyAlignment="1" applyProtection="1">
      <alignment horizontal="center" vertical="center" textRotation="180"/>
      <protection hidden="1"/>
    </xf>
    <xf numFmtId="0" fontId="10" fillId="10" borderId="17" xfId="0" applyFont="1" applyFill="1" applyBorder="1" applyAlignment="1" applyProtection="1">
      <alignment horizontal="center" vertical="center" textRotation="180"/>
      <protection hidden="1"/>
    </xf>
    <xf numFmtId="0" fontId="10" fillId="10" borderId="15" xfId="0" applyFont="1" applyFill="1" applyBorder="1" applyAlignment="1" applyProtection="1">
      <alignment horizontal="center" vertical="center" textRotation="180"/>
      <protection hidden="1"/>
    </xf>
    <xf numFmtId="0" fontId="10" fillId="10" borderId="14" xfId="0" applyFont="1" applyFill="1" applyBorder="1" applyAlignment="1" applyProtection="1">
      <alignment horizontal="center" vertical="center" textRotation="180"/>
      <protection hidden="1"/>
    </xf>
    <xf numFmtId="0" fontId="10" fillId="16" borderId="7" xfId="0" applyFont="1" applyFill="1" applyBorder="1" applyAlignment="1" applyProtection="1">
      <alignment horizontal="center" vertical="center" textRotation="180" wrapText="1"/>
      <protection hidden="1"/>
    </xf>
    <xf numFmtId="0" fontId="10" fillId="16" borderId="0" xfId="0" applyFont="1" applyFill="1" applyBorder="1" applyAlignment="1" applyProtection="1">
      <alignment horizontal="center" vertical="center" textRotation="180" wrapText="1"/>
      <protection hidden="1"/>
    </xf>
    <xf numFmtId="0" fontId="10" fillId="5" borderId="1" xfId="0" applyFont="1" applyFill="1" applyBorder="1" applyAlignment="1" applyProtection="1">
      <alignment horizontal="center" vertical="center" textRotation="180"/>
      <protection hidden="1"/>
    </xf>
    <xf numFmtId="0" fontId="0" fillId="12" borderId="2" xfId="0" applyFont="1" applyFill="1" applyBorder="1" applyAlignment="1" applyProtection="1">
      <alignment horizontal="left" vertical="center"/>
      <protection hidden="1"/>
    </xf>
    <xf numFmtId="0" fontId="0" fillId="12" borderId="4" xfId="0" applyFont="1" applyFill="1" applyBorder="1" applyAlignment="1" applyProtection="1">
      <alignment horizontal="left" vertical="center"/>
      <protection hidden="1"/>
    </xf>
    <xf numFmtId="0" fontId="10" fillId="12" borderId="8" xfId="0" applyFont="1" applyFill="1" applyBorder="1" applyAlignment="1" applyProtection="1">
      <alignment horizontal="center" vertical="center" textRotation="180"/>
      <protection hidden="1"/>
    </xf>
    <xf numFmtId="0" fontId="10" fillId="12" borderId="13" xfId="0" applyFont="1" applyFill="1" applyBorder="1" applyAlignment="1" applyProtection="1">
      <alignment horizontal="center" vertical="center" textRotation="180"/>
      <protection hidden="1"/>
    </xf>
    <xf numFmtId="0" fontId="10" fillId="12" borderId="11" xfId="0" applyFont="1" applyFill="1" applyBorder="1" applyAlignment="1" applyProtection="1">
      <alignment horizontal="center" vertical="center" textRotation="180"/>
      <protection hidden="1"/>
    </xf>
    <xf numFmtId="0" fontId="10" fillId="8" borderId="9" xfId="0" applyFont="1" applyFill="1" applyBorder="1" applyAlignment="1" applyProtection="1">
      <alignment horizontal="center" vertical="center" textRotation="180"/>
      <protection hidden="1"/>
    </xf>
    <xf numFmtId="0" fontId="10" fillId="8" borderId="15" xfId="0" applyFont="1" applyFill="1" applyBorder="1" applyAlignment="1" applyProtection="1">
      <alignment horizontal="center" vertical="center" textRotation="180"/>
      <protection hidden="1"/>
    </xf>
    <xf numFmtId="0" fontId="10" fillId="8" borderId="14" xfId="0" applyFont="1" applyFill="1" applyBorder="1" applyAlignment="1" applyProtection="1">
      <alignment horizontal="center" vertical="center" textRotation="180"/>
      <protection hidden="1"/>
    </xf>
    <xf numFmtId="0" fontId="10" fillId="9" borderId="16" xfId="0" applyFont="1" applyFill="1" applyBorder="1" applyAlignment="1" applyProtection="1">
      <alignment horizontal="center" vertical="center" textRotation="180"/>
      <protection hidden="1"/>
    </xf>
    <xf numFmtId="0" fontId="7" fillId="8" borderId="17" xfId="0" applyFont="1" applyFill="1" applyBorder="1" applyAlignment="1" applyProtection="1">
      <alignment horizontal="center" vertical="center" textRotation="180" wrapText="1"/>
      <protection hidden="1"/>
    </xf>
    <xf numFmtId="0" fontId="7" fillId="8" borderId="15" xfId="0" applyFont="1" applyFill="1" applyBorder="1" applyAlignment="1" applyProtection="1">
      <alignment horizontal="center" vertical="center" textRotation="180" wrapText="1"/>
      <protection hidden="1"/>
    </xf>
    <xf numFmtId="0" fontId="7" fillId="8" borderId="14" xfId="0" applyFont="1" applyFill="1" applyBorder="1" applyAlignment="1" applyProtection="1">
      <alignment horizontal="center" vertical="center" textRotation="180" wrapText="1"/>
      <protection hidden="1"/>
    </xf>
    <xf numFmtId="0" fontId="10" fillId="5" borderId="6" xfId="0" applyFont="1" applyFill="1" applyBorder="1" applyAlignment="1" applyProtection="1">
      <alignment horizontal="center" vertical="center" textRotation="180" wrapText="1"/>
      <protection hidden="1"/>
    </xf>
    <xf numFmtId="0" fontId="10" fillId="5" borderId="12" xfId="0" applyFont="1" applyFill="1" applyBorder="1" applyAlignment="1" applyProtection="1">
      <alignment horizontal="center" vertical="center" textRotation="180" wrapText="1"/>
      <protection hidden="1"/>
    </xf>
    <xf numFmtId="0" fontId="10" fillId="5" borderId="10" xfId="0" applyFont="1" applyFill="1" applyBorder="1" applyAlignment="1" applyProtection="1">
      <alignment horizontal="center" vertical="center" textRotation="180" wrapText="1"/>
      <protection hidden="1"/>
    </xf>
    <xf numFmtId="0" fontId="10" fillId="9" borderId="6" xfId="0" applyFont="1" applyFill="1" applyBorder="1" applyAlignment="1" applyProtection="1">
      <alignment horizontal="center" vertical="center" textRotation="180"/>
      <protection hidden="1"/>
    </xf>
    <xf numFmtId="0" fontId="10" fillId="9" borderId="12" xfId="0" applyFont="1" applyFill="1" applyBorder="1" applyAlignment="1" applyProtection="1">
      <alignment horizontal="center" vertical="center" textRotation="180"/>
      <protection hidden="1"/>
    </xf>
    <xf numFmtId="0" fontId="10" fillId="9" borderId="10" xfId="0" applyFont="1" applyFill="1" applyBorder="1" applyAlignment="1" applyProtection="1">
      <alignment horizontal="center" vertical="center" textRotation="180"/>
      <protection hidden="1"/>
    </xf>
    <xf numFmtId="0" fontId="10" fillId="5" borderId="6" xfId="0" applyFont="1" applyFill="1" applyBorder="1" applyAlignment="1" applyProtection="1">
      <alignment horizontal="center" vertical="center" textRotation="180"/>
      <protection hidden="1"/>
    </xf>
    <xf numFmtId="0" fontId="10" fillId="5" borderId="12" xfId="0" applyFont="1" applyFill="1" applyBorder="1" applyAlignment="1" applyProtection="1">
      <alignment horizontal="center" vertical="center" textRotation="180"/>
      <protection hidden="1"/>
    </xf>
    <xf numFmtId="0" fontId="10" fillId="5" borderId="10" xfId="0" applyFont="1" applyFill="1" applyBorder="1" applyAlignment="1" applyProtection="1">
      <alignment horizontal="center" vertical="center" textRotation="180"/>
      <protection hidden="1"/>
    </xf>
    <xf numFmtId="0" fontId="4" fillId="0" borderId="0" xfId="1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1"/>
    <cellStyle name="Normal 2 2" xfId="2"/>
    <cellStyle name="Normal 3" xfId="3"/>
  </cellStyles>
  <dxfs count="5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</dxf>
    <dxf>
      <numFmt numFmtId="0" formatCode="General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BB172"/>
  <sheetViews>
    <sheetView showGridLines="0" showRowColHeaders="0" tabSelected="1" view="pageLayout" zoomScaleNormal="100" workbookViewId="0">
      <selection activeCell="B4" sqref="B4:C4"/>
    </sheetView>
  </sheetViews>
  <sheetFormatPr defaultRowHeight="18.75" x14ac:dyDescent="0.25"/>
  <cols>
    <col min="1" max="1" width="2.140625" style="1" customWidth="1"/>
    <col min="2" max="2" width="16.7109375" style="1" customWidth="1"/>
    <col min="3" max="3" width="26.140625" style="1" customWidth="1"/>
    <col min="4" max="4" width="4.7109375" style="2" customWidth="1"/>
    <col min="5" max="10" width="11.7109375" style="1" customWidth="1"/>
    <col min="11" max="11" width="6.7109375" style="1" bestFit="1" customWidth="1"/>
    <col min="12" max="15" width="10.7109375" style="1" customWidth="1"/>
    <col min="16" max="16" width="13.5703125" style="1" bestFit="1" customWidth="1"/>
    <col min="17" max="17" width="9.140625" style="1"/>
    <col min="18" max="21" width="15.7109375" style="6" customWidth="1"/>
    <col min="22" max="24" width="9.140625" style="7"/>
    <col min="25" max="30" width="0" style="28" hidden="1" customWidth="1"/>
    <col min="31" max="31" width="9.140625" style="28"/>
    <col min="32" max="39" width="9.140625" style="7"/>
    <col min="40" max="16384" width="9.140625" style="1"/>
  </cols>
  <sheetData>
    <row r="1" spans="2:54" ht="35.1" customHeight="1" x14ac:dyDescent="0.25">
      <c r="B1" s="107" t="s">
        <v>105</v>
      </c>
      <c r="C1" s="107"/>
      <c r="D1" s="107"/>
      <c r="E1" s="107"/>
      <c r="F1" s="107"/>
      <c r="G1" s="107"/>
      <c r="H1" s="107"/>
      <c r="I1" s="107"/>
      <c r="J1" s="107"/>
      <c r="K1" s="41"/>
      <c r="L1" s="39"/>
      <c r="Z1" s="28" t="s">
        <v>12</v>
      </c>
      <c r="AA1" s="28">
        <f>IF($B$4="","",SUMIF(Grades!$A:$A,$B$4,Grades!BI:BI))</f>
        <v>0</v>
      </c>
      <c r="AC1" s="28" t="s">
        <v>4</v>
      </c>
      <c r="AD1" s="28">
        <v>0.16</v>
      </c>
      <c r="AF1" s="7" t="s">
        <v>34</v>
      </c>
    </row>
    <row r="2" spans="2:54" ht="35.1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41"/>
      <c r="L2" s="39"/>
      <c r="Z2" s="38" t="s">
        <v>51</v>
      </c>
      <c r="AA2" s="38">
        <v>23</v>
      </c>
      <c r="AB2" s="38"/>
      <c r="AC2" s="38" t="s">
        <v>5</v>
      </c>
      <c r="AD2" s="38">
        <v>0.14000000000000001</v>
      </c>
      <c r="AF2" s="7" t="s">
        <v>35</v>
      </c>
    </row>
    <row r="3" spans="2:54" ht="11.25" customHeight="1" x14ac:dyDescent="0.25">
      <c r="Z3" s="28" t="s">
        <v>52</v>
      </c>
      <c r="AA3" s="28">
        <v>30</v>
      </c>
      <c r="AC3" s="28" t="s">
        <v>2</v>
      </c>
      <c r="AD3" s="28">
        <v>0.39</v>
      </c>
    </row>
    <row r="4" spans="2:54" ht="61.5" customHeight="1" x14ac:dyDescent="0.25">
      <c r="B4" s="113" t="s">
        <v>115</v>
      </c>
      <c r="C4" s="114"/>
      <c r="F4" s="115" t="str">
        <f>IF(LEFT($B$4,3)="O&amp;F","2-Shift Payment = £3,561.26
3-Shift Payment = £4,748.47
-where applicable-",IF(AA1=0,"","STANDARD MAXIMUM"))</f>
        <v/>
      </c>
      <c r="G4" s="115"/>
      <c r="H4" s="115"/>
      <c r="I4" s="115"/>
      <c r="J4" s="12"/>
      <c r="K4" s="12"/>
      <c r="Z4" s="28" t="s">
        <v>13</v>
      </c>
      <c r="AA4" s="28">
        <f>IF($B$4="","",SUMIF(Grades!$A:$A,$B$4,Grades!BJ:BJ))</f>
        <v>0</v>
      </c>
      <c r="AC4" s="28" t="s">
        <v>3</v>
      </c>
      <c r="AD4" s="28">
        <v>0.1</v>
      </c>
      <c r="AF4" s="33" t="s">
        <v>41</v>
      </c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</row>
    <row r="5" spans="2:54" s="2" customFormat="1" ht="8.25" customHeight="1" x14ac:dyDescent="0.25">
      <c r="B5" s="12"/>
      <c r="C5" s="12"/>
      <c r="D5" s="12"/>
      <c r="E5" s="12"/>
      <c r="G5" s="12"/>
      <c r="H5" s="12"/>
      <c r="I5" s="12"/>
      <c r="J5" s="12"/>
      <c r="K5" s="12"/>
      <c r="R5" s="16"/>
      <c r="S5" s="16"/>
      <c r="T5" s="16"/>
      <c r="U5" s="16"/>
      <c r="V5" s="8"/>
      <c r="W5" s="8"/>
      <c r="X5" s="8"/>
      <c r="Y5" s="38"/>
      <c r="Z5" s="38"/>
      <c r="AA5" s="38"/>
      <c r="AB5" s="38"/>
      <c r="AC5" s="38"/>
      <c r="AD5" s="38"/>
      <c r="AE5" s="38"/>
      <c r="AF5" s="34"/>
      <c r="AG5" s="8"/>
      <c r="AH5" s="8"/>
      <c r="AI5" s="8"/>
      <c r="AJ5" s="8"/>
      <c r="AK5" s="8"/>
      <c r="AL5" s="8"/>
      <c r="AM5" s="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</row>
    <row r="6" spans="2:54" s="2" customFormat="1" ht="69" customHeight="1" x14ac:dyDescent="0.25">
      <c r="B6" s="1"/>
      <c r="C6" s="1"/>
      <c r="E6" s="110" t="s">
        <v>67</v>
      </c>
      <c r="F6" s="111"/>
      <c r="G6" s="111"/>
      <c r="H6" s="111"/>
      <c r="I6" s="111"/>
      <c r="J6" s="112"/>
      <c r="K6" s="20"/>
      <c r="L6" s="109" t="s">
        <v>53</v>
      </c>
      <c r="M6" s="109"/>
      <c r="N6" s="109"/>
      <c r="O6" s="109"/>
      <c r="P6" s="109"/>
      <c r="Q6" s="1"/>
      <c r="R6" s="108" t="str">
        <f>IF(OR($B$4="R&amp;T Level 5 - Clinical Lecturers (Vet School)",$B$4="R&amp;T Level 6 - Clinical Associate Professors and Clinical Readers (Vet School)"),"AVA Details","")</f>
        <v/>
      </c>
      <c r="S6" s="108"/>
      <c r="T6" s="108" t="str">
        <f>IF($B$4="R&amp;T Level 5 - Clinical Lecturers (Vet School)","Clinical Supplement
Can earn up to 15%
(Maximum Shown Below)",IF($B$4="R&amp;T Level 6 - Clinical Associate Professors and Clinical Readers (Vet School)","Clinical Supplement
Can earn up to 20%
(Maximum Shown Below)",""))</f>
        <v/>
      </c>
      <c r="U6" s="108"/>
      <c r="V6" s="7"/>
      <c r="W6" s="28"/>
      <c r="X6" s="7"/>
      <c r="Y6" s="28"/>
      <c r="Z6" s="38"/>
      <c r="AA6" s="38"/>
      <c r="AB6" s="38"/>
      <c r="AC6" s="38"/>
      <c r="AD6" s="38"/>
      <c r="AE6" s="38"/>
      <c r="AF6" s="34" t="s">
        <v>43</v>
      </c>
      <c r="AG6" s="8"/>
      <c r="AH6" s="8"/>
      <c r="AI6" s="8"/>
      <c r="AJ6" s="8"/>
      <c r="AK6" s="8"/>
      <c r="AL6" s="8"/>
      <c r="AM6" s="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</row>
    <row r="7" spans="2:54" ht="57" customHeight="1" x14ac:dyDescent="0.25">
      <c r="B7" s="3" t="s">
        <v>0</v>
      </c>
      <c r="C7" s="3" t="str">
        <f>IF(OR($B$4=$AF$4,$B$4=$AF$6),"Salary + AVA
(for further details scroll right)","Salary")</f>
        <v>Salary</v>
      </c>
      <c r="D7" s="12"/>
      <c r="E7" s="4" t="s">
        <v>8</v>
      </c>
      <c r="F7" s="4" t="s">
        <v>4</v>
      </c>
      <c r="G7" s="4" t="s">
        <v>5</v>
      </c>
      <c r="H7" s="4" t="s">
        <v>2</v>
      </c>
      <c r="I7" s="5" t="s">
        <v>7</v>
      </c>
      <c r="J7" s="5" t="s">
        <v>3</v>
      </c>
      <c r="K7" s="12"/>
      <c r="L7" s="4" t="s">
        <v>4</v>
      </c>
      <c r="M7" s="4" t="s">
        <v>5</v>
      </c>
      <c r="N7" s="4" t="s">
        <v>2</v>
      </c>
      <c r="O7" s="5" t="s">
        <v>3</v>
      </c>
      <c r="P7" s="40" t="s">
        <v>69</v>
      </c>
      <c r="R7" s="30" t="str">
        <f>IF(OR($B$4="R&amp;T Level 5 - Clinical Lecturers (Vet School)",$B$4="R&amp;T Level 6 - Clinical Associate Professors and Clinical Readers (Vet School)"),"AVA %","")</f>
        <v/>
      </c>
      <c r="S7" s="30" t="str">
        <f>IF(OR($B$4="R&amp;T Level 5 - Clinical Lecturers (Vet School)",$B$4="R&amp;T Level 6 - Clinical Associate Professors and Clinical Readers (Vet School)"),"AVA Amount","")</f>
        <v/>
      </c>
      <c r="T7" s="30" t="str">
        <f>IF(OR($B$4="R&amp;T Level 5 - Clinical Lecturers (Vet School)",$B$4="R&amp;T Level 6 - Clinical Associate Professors and Clinical Readers (Vet School)"),"Clinical Supplement %","")</f>
        <v/>
      </c>
      <c r="U7" s="30" t="str">
        <f>IF(OR($B$4="R&amp;T Level 5 - Clinical Lecturers (Vet School)",$B$4="R&amp;T Level 6 - Clinical Associate Professors and Clinical Readers (Vet School)"),"Clinical Supplement Amount","")</f>
        <v/>
      </c>
      <c r="V7" s="13"/>
      <c r="W7" s="28"/>
      <c r="AN7" s="7"/>
    </row>
    <row r="8" spans="2:54" x14ac:dyDescent="0.25">
      <c r="B8" s="6">
        <f ca="1">IFERROR(INDEX(Points_Lookup!A:A,MATCH($Z8,Points_Lookup!$AE:$AE,0)),"")</f>
        <v>2</v>
      </c>
      <c r="C8" s="27">
        <f ca="1">IF(B8="","",IF($B$4="Apprenticeship",SUMIF(Points_Lookup!AA:AA,B8,Points_Lookup!AC:AC),IF(AND(OR($B$4="New Consultant Contract"),$B8&lt;&gt;""),INDEX(Points_Lookup!K:K,MATCH($B8,Points_Lookup!$J:$J,0)),IF(AND(OR($B$4="Clinical Lecturer / Medical Research Fellow",$B$4="Clinical Consultant - Old Contract (GP)"),$B8&lt;&gt;""),INDEX(Points_Lookup!H:H,MATCH($B8,Points_Lookup!$G:$G,0)),IF(AND(OR($B$4="APM Level 7",$B$4="R&amp;T Level 7",$B$4="APM Level 8"),B8&lt;&gt;""),INDEX(Points_Lookup!E:E,MATCH($Z8,Points_Lookup!$AE:$AE,0)),IF($B$4="R&amp;T Level 5 - Clinical Lecturers (Vet School)",SUMIF(Points_Lookup!$M:$M,$B8,Points_Lookup!$P:$P),IF($B$4="R&amp;T Level 6 - Clinical Associate Professors and Clinical Readers (Vet School)",SUMIF(Points_Lookup!$T:$T,$B8,Points_Lookup!$W:$W),IFERROR(INDEX(Points_Lookup!B:B,MATCH($Z8,Points_Lookup!$AE:$AE,0)),""))))))))</f>
        <v>14421</v>
      </c>
      <c r="D8" s="45"/>
      <c r="E8" s="27">
        <f ca="1">IF($B8="","",IF($B$4="Apprenticeship","-",SUM(IF(SUM(C8/12)&lt;Thresholds_Rates!$C$7,(SUM(C8/12)-Thresholds_Rates!$C$5)*Thresholds_Rates!$C$9,(Thresholds_Rates!$C$7-Thresholds_Rates!$C$5)*Thresholds_Rates!$C$9),IF(SUM(C8/12)&gt;Thresholds_Rates!$C$7,((SUM(C8/12)-Thresholds_Rates!$C$7)*Thresholds_Rates!$C$10),0),SUM(Thresholds_Rates!$C$5-Thresholds_Rates!$C$4)*-Thresholds_Rates!$C$8)*12))</f>
        <v>598.10399999999993</v>
      </c>
      <c r="F8" s="27" t="str">
        <f ca="1">IF($B8="","",IF(AND($B$4="Salary Points 2 to 57",B8&lt;$AA$2),"-",IF(SUMIF(Grades!$A:$A,$B$4,Grades!BO:BO)=0,"-",IF(AND($B$4="Salary Points 2 to 57",B8&gt;=$AA$2),$C8*$AD$1,IF(AND(OR($B$4="New Consultant Contract"),$B8&lt;&gt;""),$C8*$AD$1,IF(AND(OR($B$4="Clinical Lecturer / Medical Research Fellow",$B$4="Clinical Consultant - Old Contract (GP)"),$B8&lt;&gt;""),$C8*$AD$1,IF(AND(OR($B$4="APM Level 7",$B$4="R&amp;T Level 7"),E8&lt;&gt;""),$C8*$AD$1,IF(SUMIF(Grades!$A:$A,$B$4,Grades!BO:BO)=1,$C8*$AD$1,""))))))))</f>
        <v>-</v>
      </c>
      <c r="G8" s="27" t="str">
        <f ca="1">IF(B8="","",IF($B$4="Salary Points 2 to 57","-",IF(SUMIF(Grades!$A:$A,$B$4,Grades!BP:BP)=0,"-",IF(AND(OR($B$4="New Consultant Contract"),$B8&lt;&gt;""),$C8*$AD$2,IF(AND(OR($B$4="Clinical Lecturer / Medical Research Fellow",$B$4="Clinical Consultant - Old Contract (GP)"),$B8&lt;&gt;""),$C8*$AD$2,IF(AND(OR($B$4="APM Level 7",$B$4="R&amp;T Level 7"),F8&lt;&gt;""),$C8*$AD$2,IF(SUMIF(Grades!$A:$A,$B$4,Grades!BP:BP)=1,$C8*$AD$2,"")))))))</f>
        <v>-</v>
      </c>
      <c r="H8" s="27">
        <f ca="1">IF($B$4="Apprenticeship","-",IF(B8="","",IF(SUMIF(Grades!$A:$A,$B$4,Grades!BQ:BQ)=0,"-",IF(AND($B$4="Salary Points 2 to 57",B8&gt;$AA$3),"-",IF(AND($B$4="Salary Points 2 to 57",B8&lt;=$AA$3),$C8*$AD$3,IF(AND(OR($B$4="New Consultant Contract"),$B8&lt;&gt;""),$C8*$AD$3,IF(AND(OR($B$4="Clinical Lecturer / Medical Research Fellow",$B$4="Clinical Consultant - Old Contract (GP)"),$B8&lt;&gt;""),$C8*$AD$3,IF(AND(OR($B$4="APM Level 7",$B$4="R&amp;T Level 7"),G8&lt;&gt;""),$C8*$AD$3,IF(SUMIF(Grades!$A:$A,$B$4,Grades!BQ:BQ)=1,$C8*$AD$3,"")))))))))</f>
        <v>5624.1900000000005</v>
      </c>
      <c r="I8" s="27">
        <f ca="1">IF($B8="","",ROUND(($C8-(Thresholds_Rates!$C$5*12))*Thresholds_Rates!$C$10,0))</f>
        <v>892</v>
      </c>
      <c r="J8" s="27">
        <f ca="1">IF(B8="","",IF(AND($B$4="Salary Points 2 to 57",B8&gt;$AA$3),"-",IF(SUMIF(Grades!$A:$A,$B$4,Grades!BR:BR)=0,"-",IF(AND($B$4="Salary Points 2 to 57",B8&lt;=$AA$3),$C8*$AD$4,IF(AND(OR($B$4="New Consultant Contract"),$B8&lt;&gt;""),$C8*$AD$4,IF(AND(OR($B$4="Clinical Lecturer / Medical Research Fellow",$B$4="Clinical Consultant - Old Contract (GP)"),$B8&lt;&gt;""),$C8*$AD$4,IF(AND(OR($B$4="APM Level 7",$B$4="R&amp;T Level 7"),I8&lt;&gt;""),$C8*$AD$4,IF(SUMIF(Grades!$A:$A,$B$4,Grades!BQ:BQ)=1,$C8*$AD$4,""))))))))</f>
        <v>1442.1000000000001</v>
      </c>
      <c r="K8" s="6"/>
      <c r="L8" s="27" t="str">
        <f ca="1">IF(B8="","",IF(F8="-","-",$C8+$E8+F8))</f>
        <v>-</v>
      </c>
      <c r="M8" s="27" t="str">
        <f ca="1">IF(B8="","",IF(G8="-","-",$C8+$E8+G8))</f>
        <v>-</v>
      </c>
      <c r="N8" s="27">
        <f ca="1">IF(B8="","",IF(H8="-","-",$C8+$E8+H8))</f>
        <v>20643.294000000002</v>
      </c>
      <c r="O8" s="27">
        <f ca="1">IF(B8="","",IF(J8="-","-",$C8+$I8+J8))</f>
        <v>16755.099999999999</v>
      </c>
      <c r="P8" s="27">
        <f ca="1">IF(B8="","",C8+I8)</f>
        <v>15313</v>
      </c>
      <c r="Q8" s="6"/>
      <c r="R8" s="31" t="str">
        <f ca="1">IF(B8="","",IF($B$4="R&amp;T Level 5 - Clinical Lecturers (Vet School)",SUMIF(Points_Lookup!$M:$M,$B8,Points_Lookup!N:N),IF($B$4="R&amp;T Level 6 - Clinical Associate Professors and Clinical Readers (Vet School)",SUMIF(Points_Lookup!$T:$T,$B8,Points_Lookup!U:U),"")))</f>
        <v/>
      </c>
      <c r="S8" s="32" t="str">
        <f ca="1">IF(B8="","",IF($B$4="R&amp;T Level 5 - Clinical Lecturers (Vet School)",$C8-SUMIF(Points_Lookup!$M:$M,$B8,Points_Lookup!$O:$O),IF($B$4="R&amp;T Level 6 - Clinical Associate Professors and Clinical Readers (Vet School)",$C8-SUMIF(Points_Lookup!$T:$T,$B8,Points_Lookup!$V:$V),"")))</f>
        <v/>
      </c>
      <c r="T8" s="31" t="str">
        <f ca="1">IF(B8="","",IF($B$4="R&amp;T Level 5 - Clinical Lecturers (Vet School)",SUMIF(Points_Lookup!$M:$M,$B8,Points_Lookup!Q:Q),IF($B$4="R&amp;T Level 6 - Clinical Associate Professors and Clinical Readers (Vet School)",SUMIF(Points_Lookup!$T:$T,$B8,Points_Lookup!X:X),"")))</f>
        <v/>
      </c>
      <c r="U8" s="32" t="str">
        <f ca="1">IF(B8="","",IF($B$4="R&amp;T Level 5 - Clinical Lecturers (Vet School)",ROUND(C8*T8,0),IF($B$4="R&amp;T Level 6 - Clinical Associate Professors and Clinical Readers (Vet School)",ROUND(C8*T8,0),"")))</f>
        <v/>
      </c>
      <c r="W8" s="28"/>
      <c r="Z8" s="28">
        <v>1</v>
      </c>
      <c r="AN8" s="7"/>
    </row>
    <row r="9" spans="2:54" ht="18.75" customHeight="1" x14ac:dyDescent="0.25">
      <c r="B9" s="6">
        <f ca="1">IFERROR(INDEX(Points_Lookup!A:A,MATCH($Z9,Points_Lookup!$AE:$AE,0)),"")</f>
        <v>3</v>
      </c>
      <c r="C9" s="27">
        <f ca="1">IF(B9="","",IF($B$4="Apprenticeship",SUMIF(Points_Lookup!AA:AA,B9,Points_Lookup!AC:AC),IF(AND(OR($B$4="New Consultant Contract"),$B9&lt;&gt;""),INDEX(Points_Lookup!K:K,MATCH($B9,Points_Lookup!$J:$J,0)),IF(AND(OR($B$4="Clinical Lecturer / Medical Research Fellow",$B$4="Clinical Consultant - Old Contract (GP)"),$B9&lt;&gt;""),INDEX(Points_Lookup!H:H,MATCH($B9,Points_Lookup!$G:$G,0)),IF(AND(OR($B$4="APM Level 7",$B$4="R&amp;T Level 7",$B$4="APM Level 8"),B9&lt;&gt;""),INDEX(Points_Lookup!E:E,MATCH($Z9,Points_Lookup!$AE:$AE,0)),IF($B$4="R&amp;T Level 5 - Clinical Lecturers (Vet School)",SUMIF(Points_Lookup!$M:$M,$B9,Points_Lookup!$P:$P),IF($B$4="R&amp;T Level 6 - Clinical Associate Professors and Clinical Readers (Vet School)",SUMIF(Points_Lookup!$T:$T,$B9,Points_Lookup!$W:$W),IFERROR(INDEX(Points_Lookup!B:B,MATCH($Z9,Points_Lookup!$AE:$AE,0)),""))))))))</f>
        <v>14631</v>
      </c>
      <c r="D9" s="45"/>
      <c r="E9" s="27">
        <f ca="1">IF($B9="","",IF($B$4="Apprenticeship","-",SUM(IF(SUM(C9/12)&lt;Thresholds_Rates!$C$7,(SUM(C9/12)-Thresholds_Rates!$C$5)*Thresholds_Rates!$C$9,(Thresholds_Rates!$C$7-Thresholds_Rates!$C$5)*Thresholds_Rates!$C$9),IF(SUM(C9/12)&gt;Thresholds_Rates!$C$7,((SUM(C9/12)-Thresholds_Rates!$C$7)*Thresholds_Rates!$C$10),0),SUM(Thresholds_Rates!$C$5-Thresholds_Rates!$C$4)*-Thresholds_Rates!$C$8)*12))</f>
        <v>619.94399999999996</v>
      </c>
      <c r="F9" s="27" t="str">
        <f ca="1">IF($B9="","",IF(AND($B$4="Salary Points 2 to 57",B9&lt;$AA$2),"-",IF(SUMIF(Grades!$A:$A,$B$4,Grades!BO:BO)=0,"-",IF(AND($B$4="Salary Points 2 to 57",B9&gt;=$AA$2),$C9*$AD$1,IF(AND(OR($B$4="New Consultant Contract"),$B9&lt;&gt;""),$C9*$AD$1,IF(AND(OR($B$4="Clinical Lecturer / Medical Research Fellow",$B$4="Clinical Consultant - Old Contract (GP)"),$B9&lt;&gt;""),$C9*$AD$1,IF(AND(OR($B$4="APM Level 7",$B$4="R&amp;T Level 7"),E9&lt;&gt;""),$C9*$AD$1,IF(SUMIF(Grades!$A:$A,$B$4,Grades!BO:BO)=1,$C9*$AD$1,""))))))))</f>
        <v>-</v>
      </c>
      <c r="G9" s="27" t="str">
        <f ca="1">IF(B9="","",IF($B$4="Salary Points 2 to 57","-",IF(SUMIF(Grades!$A:$A,$B$4,Grades!BP:BP)=0,"-",IF(AND(OR($B$4="New Consultant Contract"),$B9&lt;&gt;""),$C9*$AD$2,IF(AND(OR($B$4="Clinical Lecturer / Medical Research Fellow",$B$4="Clinical Consultant - Old Contract (GP)"),$B9&lt;&gt;""),$C9*$AD$2,IF(AND(OR($B$4="APM Level 7",$B$4="R&amp;T Level 7"),F9&lt;&gt;""),$C9*$AD$2,IF(SUMIF(Grades!$A:$A,$B$4,Grades!BP:BP)=1,$C9*$AD$2,"")))))))</f>
        <v>-</v>
      </c>
      <c r="H9" s="27">
        <f ca="1">IF($B$4="Apprenticeship","-",IF(B9="","",IF(SUMIF(Grades!$A:$A,$B$4,Grades!BQ:BQ)=0,"-",IF(AND($B$4="Salary Points 2 to 57",B9&gt;$AA$3),"-",IF(AND($B$4="Salary Points 2 to 57",B9&lt;=$AA$3),$C9*$AD$3,IF(AND(OR($B$4="New Consultant Contract"),$B9&lt;&gt;""),$C9*$AD$3,IF(AND(OR($B$4="Clinical Lecturer / Medical Research Fellow",$B$4="Clinical Consultant - Old Contract (GP)"),$B9&lt;&gt;""),$C9*$AD$3,IF(AND(OR($B$4="APM Level 7",$B$4="R&amp;T Level 7"),G9&lt;&gt;""),$C9*$AD$3,IF(SUMIF(Grades!$A:$A,$B$4,Grades!BQ:BQ)=1,$C9*$AD$3,"")))))))))</f>
        <v>5706.09</v>
      </c>
      <c r="I9" s="27">
        <f ca="1">IF($B9="","",ROUND(($C9-(Thresholds_Rates!$C$5*12))*Thresholds_Rates!$C$10,0))</f>
        <v>921</v>
      </c>
      <c r="J9" s="27">
        <f ca="1">IF(B9="","",IF(AND($B$4="Salary Points 2 to 57",B9&gt;$AA$3),"-",IF(SUMIF(Grades!$A:$A,$B$4,Grades!BR:BR)=0,"-",IF(AND($B$4="Salary Points 2 to 57",B9&lt;=$AA$3),$C9*$AD$4,IF(AND(OR($B$4="New Consultant Contract"),$B9&lt;&gt;""),$C9*$AD$4,IF(AND(OR($B$4="Clinical Lecturer / Medical Research Fellow",$B$4="Clinical Consultant - Old Contract (GP)"),$B9&lt;&gt;""),$C9*$AD$4,IF(AND(OR($B$4="APM Level 7",$B$4="R&amp;T Level 7"),I9&lt;&gt;""),$C9*$AD$4,IF(SUMIF(Grades!$A:$A,$B$4,Grades!BQ:BQ)=1,$C9*$AD$4,""))))))))</f>
        <v>1463.1000000000001</v>
      </c>
      <c r="K9" s="6"/>
      <c r="L9" s="27" t="str">
        <f t="shared" ref="L9:L72" ca="1" si="0">IF(B9="","",IF(F9="-","-",$C9+$E9+F9))</f>
        <v>-</v>
      </c>
      <c r="M9" s="27" t="str">
        <f t="shared" ref="M9:M72" ca="1" si="1">IF(B9="","",IF(G9="-","-",$C9+$E9+G9))</f>
        <v>-</v>
      </c>
      <c r="N9" s="27">
        <f t="shared" ref="N9:N72" ca="1" si="2">IF(B9="","",IF(H9="-","-",$C9+$E9+H9))</f>
        <v>20957.034</v>
      </c>
      <c r="O9" s="27">
        <f t="shared" ref="O9:O72" ca="1" si="3">IF(B9="","",IF(J9="-","-",$C9+$I9+J9))</f>
        <v>17015.099999999999</v>
      </c>
      <c r="P9" s="27">
        <f t="shared" ref="P9:P72" ca="1" si="4">IF(B9="","",C9+I9)</f>
        <v>15552</v>
      </c>
      <c r="Q9" s="6"/>
      <c r="R9" s="31" t="str">
        <f ca="1">IF(B9="","",IF($B$4="R&amp;T Level 5 - Clinical Lecturers (Vet School)",SUMIF(Points_Lookup!$M:$M,$B9,Points_Lookup!N:N),IF($B$4="R&amp;T Level 6 - Clinical Associate Professors and Clinical Readers (Vet School)",SUMIF(Points_Lookup!$T:$T,$B9,Points_Lookup!U:U),"")))</f>
        <v/>
      </c>
      <c r="S9" s="32" t="str">
        <f ca="1">IF(B9="","",IF($B$4="R&amp;T Level 5 - Clinical Lecturers (Vet School)",$C9-SUMIF(Points_Lookup!$M:$M,$B9,Points_Lookup!$O:$O),IF($B$4="R&amp;T Level 6 - Clinical Associate Professors and Clinical Readers (Vet School)",$C9-SUMIF(Points_Lookup!$T:$T,$B9,Points_Lookup!$V:$V),"")))</f>
        <v/>
      </c>
      <c r="T9" s="31" t="str">
        <f ca="1">IF(B9="","",IF($B$4="R&amp;T Level 5 - Clinical Lecturers (Vet School)",SUMIF(Points_Lookup!$M:$M,$B9,Points_Lookup!Q:Q),IF($B$4="R&amp;T Level 6 - Clinical Associate Professors and Clinical Readers (Vet School)",SUMIF(Points_Lookup!$T:$T,$B9,Points_Lookup!X:X),"")))</f>
        <v/>
      </c>
      <c r="U9" s="32" t="str">
        <f t="shared" ref="U9:U72" ca="1" si="5">IF(B9="","",IF($B$4="R&amp;T Level 5 - Clinical Lecturers (Vet School)",ROUND(C9*T9,0),IF($B$4="R&amp;T Level 6 - Clinical Associate Professors and Clinical Readers (Vet School)",ROUND(C9*T9,0),"")))</f>
        <v/>
      </c>
      <c r="W9" s="28"/>
      <c r="Z9" s="28">
        <v>2</v>
      </c>
    </row>
    <row r="10" spans="2:54" x14ac:dyDescent="0.25">
      <c r="B10" s="6">
        <f ca="1">IFERROR(INDEX(Points_Lookup!A:A,MATCH($Z10,Points_Lookup!$AE:$AE,0)),"")</f>
        <v>4</v>
      </c>
      <c r="C10" s="27">
        <f ca="1">IF(B10="","",IF($B$4="Apprenticeship",SUMIF(Points_Lookup!AA:AA,B10,Points_Lookup!AC:AC),IF(AND(OR($B$4="New Consultant Contract"),$B10&lt;&gt;""),INDEX(Points_Lookup!K:K,MATCH($B10,Points_Lookup!$J:$J,0)),IF(AND(OR($B$4="Clinical Lecturer / Medical Research Fellow",$B$4="Clinical Consultant - Old Contract (GP)"),$B10&lt;&gt;""),INDEX(Points_Lookup!H:H,MATCH($B10,Points_Lookup!$G:$G,0)),IF(AND(OR($B$4="APM Level 7",$B$4="R&amp;T Level 7",$B$4="APM Level 8"),B10&lt;&gt;""),INDEX(Points_Lookup!E:E,MATCH($Z10,Points_Lookup!$AE:$AE,0)),IF($B$4="R&amp;T Level 5 - Clinical Lecturers (Vet School)",SUMIF(Points_Lookup!$M:$M,$B10,Points_Lookup!$P:$P),IF($B$4="R&amp;T Level 6 - Clinical Associate Professors and Clinical Readers (Vet School)",SUMIF(Points_Lookup!$T:$T,$B10,Points_Lookup!$W:$W),IFERROR(INDEX(Points_Lookup!B:B,MATCH($Z10,Points_Lookup!$AE:$AE,0)),""))))))))</f>
        <v>14959</v>
      </c>
      <c r="D10" s="45"/>
      <c r="E10" s="27">
        <f ca="1">IF($B10="","",IF($B$4="Apprenticeship","-",SUM(IF(SUM(C10/12)&lt;Thresholds_Rates!$C$7,(SUM(C10/12)-Thresholds_Rates!$C$5)*Thresholds_Rates!$C$9,(Thresholds_Rates!$C$7-Thresholds_Rates!$C$5)*Thresholds_Rates!$C$9),IF(SUM(C10/12)&gt;Thresholds_Rates!$C$7,((SUM(C10/12)-Thresholds_Rates!$C$7)*Thresholds_Rates!$C$10),0),SUM(Thresholds_Rates!$C$5-Thresholds_Rates!$C$4)*-Thresholds_Rates!$C$8)*12))</f>
        <v>654.05599999999981</v>
      </c>
      <c r="F10" s="27" t="str">
        <f ca="1">IF($B10="","",IF(AND($B$4="Salary Points 2 to 57",B10&lt;$AA$2),"-",IF(SUMIF(Grades!$A:$A,$B$4,Grades!BO:BO)=0,"-",IF(AND($B$4="Salary Points 2 to 57",B10&gt;=$AA$2),$C10*$AD$1,IF(AND(OR($B$4="New Consultant Contract"),$B10&lt;&gt;""),$C10*$AD$1,IF(AND(OR($B$4="Clinical Lecturer / Medical Research Fellow",$B$4="Clinical Consultant - Old Contract (GP)"),$B10&lt;&gt;""),$C10*$AD$1,IF(AND(OR($B$4="APM Level 7",$B$4="R&amp;T Level 7"),E10&lt;&gt;""),$C10*$AD$1,IF(SUMIF(Grades!$A:$A,$B$4,Grades!BO:BO)=1,$C10*$AD$1,""))))))))</f>
        <v>-</v>
      </c>
      <c r="G10" s="27" t="str">
        <f ca="1">IF(B10="","",IF($B$4="Salary Points 2 to 57","-",IF(SUMIF(Grades!$A:$A,$B$4,Grades!BP:BP)=0,"-",IF(AND(OR($B$4="New Consultant Contract"),$B10&lt;&gt;""),$C10*$AD$2,IF(AND(OR($B$4="Clinical Lecturer / Medical Research Fellow",$B$4="Clinical Consultant - Old Contract (GP)"),$B10&lt;&gt;""),$C10*$AD$2,IF(AND(OR($B$4="APM Level 7",$B$4="R&amp;T Level 7"),F10&lt;&gt;""),$C10*$AD$2,IF(SUMIF(Grades!$A:$A,$B$4,Grades!BP:BP)=1,$C10*$AD$2,"")))))))</f>
        <v>-</v>
      </c>
      <c r="H10" s="27">
        <f ca="1">IF($B$4="Apprenticeship","-",IF(B10="","",IF(SUMIF(Grades!$A:$A,$B$4,Grades!BQ:BQ)=0,"-",IF(AND($B$4="Salary Points 2 to 57",B10&gt;$AA$3),"-",IF(AND($B$4="Salary Points 2 to 57",B10&lt;=$AA$3),$C10*$AD$3,IF(AND(OR($B$4="New Consultant Contract"),$B10&lt;&gt;""),$C10*$AD$3,IF(AND(OR($B$4="Clinical Lecturer / Medical Research Fellow",$B$4="Clinical Consultant - Old Contract (GP)"),$B10&lt;&gt;""),$C10*$AD$3,IF(AND(OR($B$4="APM Level 7",$B$4="R&amp;T Level 7"),G10&lt;&gt;""),$C10*$AD$3,IF(SUMIF(Grades!$A:$A,$B$4,Grades!BQ:BQ)=1,$C10*$AD$3,"")))))))))</f>
        <v>5834.01</v>
      </c>
      <c r="I10" s="27">
        <f ca="1">IF($B10="","",ROUND(($C10-(Thresholds_Rates!$C$5*12))*Thresholds_Rates!$C$10,0))</f>
        <v>966</v>
      </c>
      <c r="J10" s="27">
        <f ca="1">IF(B10="","",IF(AND($B$4="Salary Points 2 to 57",B10&gt;$AA$3),"-",IF(SUMIF(Grades!$A:$A,$B$4,Grades!BR:BR)=0,"-",IF(AND($B$4="Salary Points 2 to 57",B10&lt;=$AA$3),$C10*$AD$4,IF(AND(OR($B$4="New Consultant Contract"),$B10&lt;&gt;""),$C10*$AD$4,IF(AND(OR($B$4="Clinical Lecturer / Medical Research Fellow",$B$4="Clinical Consultant - Old Contract (GP)"),$B10&lt;&gt;""),$C10*$AD$4,IF(AND(OR($B$4="APM Level 7",$B$4="R&amp;T Level 7"),I10&lt;&gt;""),$C10*$AD$4,IF(SUMIF(Grades!$A:$A,$B$4,Grades!BQ:BQ)=1,$C10*$AD$4,""))))))))</f>
        <v>1495.9</v>
      </c>
      <c r="K10" s="6"/>
      <c r="L10" s="27" t="str">
        <f t="shared" ca="1" si="0"/>
        <v>-</v>
      </c>
      <c r="M10" s="27" t="str">
        <f t="shared" ca="1" si="1"/>
        <v>-</v>
      </c>
      <c r="N10" s="27">
        <f t="shared" ca="1" si="2"/>
        <v>21447.065999999999</v>
      </c>
      <c r="O10" s="27">
        <f t="shared" ca="1" si="3"/>
        <v>17420.900000000001</v>
      </c>
      <c r="P10" s="27">
        <f t="shared" ca="1" si="4"/>
        <v>15925</v>
      </c>
      <c r="R10" s="31" t="str">
        <f ca="1">IF(B10="","",IF($B$4="R&amp;T Level 5 - Clinical Lecturers (Vet School)",SUMIF(Points_Lookup!$M:$M,$B10,Points_Lookup!N:N),IF($B$4="R&amp;T Level 6 - Clinical Associate Professors and Clinical Readers (Vet School)",SUMIF(Points_Lookup!$T:$T,$B10,Points_Lookup!U:U),"")))</f>
        <v/>
      </c>
      <c r="S10" s="32" t="str">
        <f ca="1">IF(B10="","",IF($B$4="R&amp;T Level 5 - Clinical Lecturers (Vet School)",$C10-SUMIF(Points_Lookup!$M:$M,$B10,Points_Lookup!$O:$O),IF($B$4="R&amp;T Level 6 - Clinical Associate Professors and Clinical Readers (Vet School)",$C10-SUMIF(Points_Lookup!$T:$T,$B10,Points_Lookup!$V:$V),"")))</f>
        <v/>
      </c>
      <c r="T10" s="31" t="str">
        <f ca="1">IF(B10="","",IF($B$4="R&amp;T Level 5 - Clinical Lecturers (Vet School)",SUMIF(Points_Lookup!$M:$M,$B10,Points_Lookup!Q:Q),IF($B$4="R&amp;T Level 6 - Clinical Associate Professors and Clinical Readers (Vet School)",SUMIF(Points_Lookup!$T:$T,$B10,Points_Lookup!X:X),"")))</f>
        <v/>
      </c>
      <c r="U10" s="32" t="str">
        <f t="shared" ca="1" si="5"/>
        <v/>
      </c>
      <c r="W10" s="28"/>
      <c r="Z10" s="28">
        <v>3</v>
      </c>
    </row>
    <row r="11" spans="2:54" x14ac:dyDescent="0.25">
      <c r="B11" s="6">
        <f ca="1">IFERROR(INDEX(Points_Lookup!A:A,MATCH($Z11,Points_Lookup!$AE:$AE,0)),"")</f>
        <v>5</v>
      </c>
      <c r="C11" s="27">
        <f ca="1">IF(B11="","",IF($B$4="Apprenticeship",SUMIF(Points_Lookup!AA:AA,B11,Points_Lookup!AC:AC),IF(AND(OR($B$4="New Consultant Contract"),$B11&lt;&gt;""),INDEX(Points_Lookup!K:K,MATCH($B11,Points_Lookup!$J:$J,0)),IF(AND(OR($B$4="Clinical Lecturer / Medical Research Fellow",$B$4="Clinical Consultant - Old Contract (GP)"),$B11&lt;&gt;""),INDEX(Points_Lookup!H:H,MATCH($B11,Points_Lookup!$G:$G,0)),IF(AND(OR($B$4="APM Level 7",$B$4="R&amp;T Level 7",$B$4="APM Level 8"),B11&lt;&gt;""),INDEX(Points_Lookup!E:E,MATCH($Z11,Points_Lookup!$AE:$AE,0)),IF($B$4="R&amp;T Level 5 - Clinical Lecturers (Vet School)",SUMIF(Points_Lookup!$M:$M,$B11,Points_Lookup!$P:$P),IF($B$4="R&amp;T Level 6 - Clinical Associate Professors and Clinical Readers (Vet School)",SUMIF(Points_Lookup!$T:$T,$B11,Points_Lookup!$W:$W),IFERROR(INDEX(Points_Lookup!B:B,MATCH($Z11,Points_Lookup!$AE:$AE,0)),""))))))))</f>
        <v>15356</v>
      </c>
      <c r="D11" s="45"/>
      <c r="E11" s="27">
        <f ca="1">IF($B11="","",IF($B$4="Apprenticeship","-",SUM(IF(SUM(C11/12)&lt;Thresholds_Rates!$C$7,(SUM(C11/12)-Thresholds_Rates!$C$5)*Thresholds_Rates!$C$9,(Thresholds_Rates!$C$7-Thresholds_Rates!$C$5)*Thresholds_Rates!$C$9),IF(SUM(C11/12)&gt;Thresholds_Rates!$C$7,((SUM(C11/12)-Thresholds_Rates!$C$7)*Thresholds_Rates!$C$10),0),SUM(Thresholds_Rates!$C$5-Thresholds_Rates!$C$4)*-Thresholds_Rates!$C$8)*12))</f>
        <v>695.34400000000005</v>
      </c>
      <c r="F11" s="27" t="str">
        <f ca="1">IF($B11="","",IF(AND($B$4="Salary Points 2 to 57",B11&lt;$AA$2),"-",IF(SUMIF(Grades!$A:$A,$B$4,Grades!BO:BO)=0,"-",IF(AND($B$4="Salary Points 2 to 57",B11&gt;=$AA$2),$C11*$AD$1,IF(AND(OR($B$4="New Consultant Contract"),$B11&lt;&gt;""),$C11*$AD$1,IF(AND(OR($B$4="Clinical Lecturer / Medical Research Fellow",$B$4="Clinical Consultant - Old Contract (GP)"),$B11&lt;&gt;""),$C11*$AD$1,IF(AND(OR($B$4="APM Level 7",$B$4="R&amp;T Level 7"),E11&lt;&gt;""),$C11*$AD$1,IF(SUMIF(Grades!$A:$A,$B$4,Grades!BO:BO)=1,$C11*$AD$1,""))))))))</f>
        <v>-</v>
      </c>
      <c r="G11" s="27" t="str">
        <f ca="1">IF(B11="","",IF($B$4="Salary Points 2 to 57","-",IF(SUMIF(Grades!$A:$A,$B$4,Grades!BP:BP)=0,"-",IF(AND(OR($B$4="New Consultant Contract"),$B11&lt;&gt;""),$C11*$AD$2,IF(AND(OR($B$4="Clinical Lecturer / Medical Research Fellow",$B$4="Clinical Consultant - Old Contract (GP)"),$B11&lt;&gt;""),$C11*$AD$2,IF(AND(OR($B$4="APM Level 7",$B$4="R&amp;T Level 7"),F11&lt;&gt;""),$C11*$AD$2,IF(SUMIF(Grades!$A:$A,$B$4,Grades!BP:BP)=1,$C11*$AD$2,"")))))))</f>
        <v>-</v>
      </c>
      <c r="H11" s="27">
        <f ca="1">IF($B$4="Apprenticeship","-",IF(B11="","",IF(SUMIF(Grades!$A:$A,$B$4,Grades!BQ:BQ)=0,"-",IF(AND($B$4="Salary Points 2 to 57",B11&gt;$AA$3),"-",IF(AND($B$4="Salary Points 2 to 57",B11&lt;=$AA$3),$C11*$AD$3,IF(AND(OR($B$4="New Consultant Contract"),$B11&lt;&gt;""),$C11*$AD$3,IF(AND(OR($B$4="Clinical Lecturer / Medical Research Fellow",$B$4="Clinical Consultant - Old Contract (GP)"),$B11&lt;&gt;""),$C11*$AD$3,IF(AND(OR($B$4="APM Level 7",$B$4="R&amp;T Level 7"),G11&lt;&gt;""),$C11*$AD$3,IF(SUMIF(Grades!$A:$A,$B$4,Grades!BQ:BQ)=1,$C11*$AD$3,"")))))))))</f>
        <v>5988.84</v>
      </c>
      <c r="I11" s="27">
        <f ca="1">IF($B11="","",ROUND(($C11-(Thresholds_Rates!$C$5*12))*Thresholds_Rates!$C$10,0))</f>
        <v>1021</v>
      </c>
      <c r="J11" s="27">
        <f ca="1">IF(B11="","",IF(AND($B$4="Salary Points 2 to 57",B11&gt;$AA$3),"-",IF(SUMIF(Grades!$A:$A,$B$4,Grades!BR:BR)=0,"-",IF(AND($B$4="Salary Points 2 to 57",B11&lt;=$AA$3),$C11*$AD$4,IF(AND(OR($B$4="New Consultant Contract"),$B11&lt;&gt;""),$C11*$AD$4,IF(AND(OR($B$4="Clinical Lecturer / Medical Research Fellow",$B$4="Clinical Consultant - Old Contract (GP)"),$B11&lt;&gt;""),$C11*$AD$4,IF(AND(OR($B$4="APM Level 7",$B$4="R&amp;T Level 7"),I11&lt;&gt;""),$C11*$AD$4,IF(SUMIF(Grades!$A:$A,$B$4,Grades!BQ:BQ)=1,$C11*$AD$4,""))))))))</f>
        <v>1535.6000000000001</v>
      </c>
      <c r="K11" s="6"/>
      <c r="L11" s="27" t="str">
        <f t="shared" ca="1" si="0"/>
        <v>-</v>
      </c>
      <c r="M11" s="27" t="str">
        <f t="shared" ca="1" si="1"/>
        <v>-</v>
      </c>
      <c r="N11" s="27">
        <f t="shared" ca="1" si="2"/>
        <v>22040.184000000001</v>
      </c>
      <c r="O11" s="27">
        <f t="shared" ca="1" si="3"/>
        <v>17912.599999999999</v>
      </c>
      <c r="P11" s="27">
        <f t="shared" ca="1" si="4"/>
        <v>16377</v>
      </c>
      <c r="R11" s="31" t="str">
        <f ca="1">IF(B11="","",IF($B$4="R&amp;T Level 5 - Clinical Lecturers (Vet School)",SUMIF(Points_Lookup!$M:$M,$B11,Points_Lookup!N:N),IF($B$4="R&amp;T Level 6 - Clinical Associate Professors and Clinical Readers (Vet School)",SUMIF(Points_Lookup!$T:$T,$B11,Points_Lookup!U:U),"")))</f>
        <v/>
      </c>
      <c r="S11" s="32" t="str">
        <f ca="1">IF(B11="","",IF($B$4="R&amp;T Level 5 - Clinical Lecturers (Vet School)",$C11-SUMIF(Points_Lookup!$M:$M,$B11,Points_Lookup!$O:$O),IF($B$4="R&amp;T Level 6 - Clinical Associate Professors and Clinical Readers (Vet School)",$C11-SUMIF(Points_Lookup!$T:$T,$B11,Points_Lookup!$V:$V),"")))</f>
        <v/>
      </c>
      <c r="T11" s="31" t="str">
        <f ca="1">IF(B11="","",IF($B$4="R&amp;T Level 5 - Clinical Lecturers (Vet School)",SUMIF(Points_Lookup!$M:$M,$B11,Points_Lookup!Q:Q),IF($B$4="R&amp;T Level 6 - Clinical Associate Professors and Clinical Readers (Vet School)",SUMIF(Points_Lookup!$T:$T,$B11,Points_Lookup!X:X),"")))</f>
        <v/>
      </c>
      <c r="U11" s="32" t="str">
        <f t="shared" ca="1" si="5"/>
        <v/>
      </c>
      <c r="W11" s="28"/>
      <c r="Z11" s="28">
        <v>4</v>
      </c>
    </row>
    <row r="12" spans="2:54" x14ac:dyDescent="0.25">
      <c r="B12" s="6">
        <f ca="1">IFERROR(INDEX(Points_Lookup!A:A,MATCH($Z12,Points_Lookup!$AE:$AE,0)),"")</f>
        <v>6</v>
      </c>
      <c r="C12" s="27">
        <f ca="1">IF(B12="","",IF($B$4="Apprenticeship",SUMIF(Points_Lookup!AA:AA,B12,Points_Lookup!AC:AC),IF(AND(OR($B$4="New Consultant Contract"),$B12&lt;&gt;""),INDEX(Points_Lookup!K:K,MATCH($B12,Points_Lookup!$J:$J,0)),IF(AND(OR($B$4="Clinical Lecturer / Medical Research Fellow",$B$4="Clinical Consultant - Old Contract (GP)"),$B12&lt;&gt;""),INDEX(Points_Lookup!H:H,MATCH($B12,Points_Lookup!$G:$G,0)),IF(AND(OR($B$4="APM Level 7",$B$4="R&amp;T Level 7",$B$4="APM Level 8"),B12&lt;&gt;""),INDEX(Points_Lookup!E:E,MATCH($Z12,Points_Lookup!$AE:$AE,0)),IF($B$4="R&amp;T Level 5 - Clinical Lecturers (Vet School)",SUMIF(Points_Lookup!$M:$M,$B12,Points_Lookup!$P:$P),IF($B$4="R&amp;T Level 6 - Clinical Associate Professors and Clinical Readers (Vet School)",SUMIF(Points_Lookup!$T:$T,$B12,Points_Lookup!$W:$W),IFERROR(INDEX(Points_Lookup!B:B,MATCH($Z12,Points_Lookup!$AE:$AE,0)),""))))))))</f>
        <v>15765</v>
      </c>
      <c r="D12" s="45"/>
      <c r="E12" s="27">
        <f ca="1">IF($B12="","",IF($B$4="Apprenticeship","-",SUM(IF(SUM(C12/12)&lt;Thresholds_Rates!$C$7,(SUM(C12/12)-Thresholds_Rates!$C$5)*Thresholds_Rates!$C$9,(Thresholds_Rates!$C$7-Thresholds_Rates!$C$5)*Thresholds_Rates!$C$9),IF(SUM(C12/12)&gt;Thresholds_Rates!$C$7,((SUM(C12/12)-Thresholds_Rates!$C$7)*Thresholds_Rates!$C$10),0),SUM(Thresholds_Rates!$C$5-Thresholds_Rates!$C$4)*-Thresholds_Rates!$C$8)*12))</f>
        <v>737.87999999999988</v>
      </c>
      <c r="F12" s="27" t="str">
        <f ca="1">IF($B12="","",IF(AND($B$4="Salary Points 2 to 57",B12&lt;$AA$2),"-",IF(SUMIF(Grades!$A:$A,$B$4,Grades!BO:BO)=0,"-",IF(AND($B$4="Salary Points 2 to 57",B12&gt;=$AA$2),$C12*$AD$1,IF(AND(OR($B$4="New Consultant Contract"),$B12&lt;&gt;""),$C12*$AD$1,IF(AND(OR($B$4="Clinical Lecturer / Medical Research Fellow",$B$4="Clinical Consultant - Old Contract (GP)"),$B12&lt;&gt;""),$C12*$AD$1,IF(AND(OR($B$4="APM Level 7",$B$4="R&amp;T Level 7"),E12&lt;&gt;""),$C12*$AD$1,IF(SUMIF(Grades!$A:$A,$B$4,Grades!BO:BO)=1,$C12*$AD$1,""))))))))</f>
        <v>-</v>
      </c>
      <c r="G12" s="27" t="str">
        <f ca="1">IF(B12="","",IF($B$4="Salary Points 2 to 57","-",IF(SUMIF(Grades!$A:$A,$B$4,Grades!BP:BP)=0,"-",IF(AND(OR($B$4="New Consultant Contract"),$B12&lt;&gt;""),$C12*$AD$2,IF(AND(OR($B$4="Clinical Lecturer / Medical Research Fellow",$B$4="Clinical Consultant - Old Contract (GP)"),$B12&lt;&gt;""),$C12*$AD$2,IF(AND(OR($B$4="APM Level 7",$B$4="R&amp;T Level 7"),F12&lt;&gt;""),$C12*$AD$2,IF(SUMIF(Grades!$A:$A,$B$4,Grades!BP:BP)=1,$C12*$AD$2,"")))))))</f>
        <v>-</v>
      </c>
      <c r="H12" s="27">
        <f ca="1">IF($B$4="Apprenticeship","-",IF(B12="","",IF(SUMIF(Grades!$A:$A,$B$4,Grades!BQ:BQ)=0,"-",IF(AND($B$4="Salary Points 2 to 57",B12&gt;$AA$3),"-",IF(AND($B$4="Salary Points 2 to 57",B12&lt;=$AA$3),$C12*$AD$3,IF(AND(OR($B$4="New Consultant Contract"),$B12&lt;&gt;""),$C12*$AD$3,IF(AND(OR($B$4="Clinical Lecturer / Medical Research Fellow",$B$4="Clinical Consultant - Old Contract (GP)"),$B12&lt;&gt;""),$C12*$AD$3,IF(AND(OR($B$4="APM Level 7",$B$4="R&amp;T Level 7"),G12&lt;&gt;""),$C12*$AD$3,IF(SUMIF(Grades!$A:$A,$B$4,Grades!BQ:BQ)=1,$C12*$AD$3,"")))))))))</f>
        <v>6148.35</v>
      </c>
      <c r="I12" s="27">
        <f ca="1">IF($B12="","",ROUND(($C12-(Thresholds_Rates!$C$5*12))*Thresholds_Rates!$C$10,0))</f>
        <v>1078</v>
      </c>
      <c r="J12" s="27">
        <f ca="1">IF(B12="","",IF(AND($B$4="Salary Points 2 to 57",B12&gt;$AA$3),"-",IF(SUMIF(Grades!$A:$A,$B$4,Grades!BR:BR)=0,"-",IF(AND($B$4="Salary Points 2 to 57",B12&lt;=$AA$3),$C12*$AD$4,IF(AND(OR($B$4="New Consultant Contract"),$B12&lt;&gt;""),$C12*$AD$4,IF(AND(OR($B$4="Clinical Lecturer / Medical Research Fellow",$B$4="Clinical Consultant - Old Contract (GP)"),$B12&lt;&gt;""),$C12*$AD$4,IF(AND(OR($B$4="APM Level 7",$B$4="R&amp;T Level 7"),I12&lt;&gt;""),$C12*$AD$4,IF(SUMIF(Grades!$A:$A,$B$4,Grades!BQ:BQ)=1,$C12*$AD$4,""))))))))</f>
        <v>1576.5</v>
      </c>
      <c r="K12" s="6"/>
      <c r="L12" s="27" t="str">
        <f t="shared" ca="1" si="0"/>
        <v>-</v>
      </c>
      <c r="M12" s="27" t="str">
        <f t="shared" ca="1" si="1"/>
        <v>-</v>
      </c>
      <c r="N12" s="27">
        <f t="shared" ca="1" si="2"/>
        <v>22651.230000000003</v>
      </c>
      <c r="O12" s="27">
        <f t="shared" ca="1" si="3"/>
        <v>18419.5</v>
      </c>
      <c r="P12" s="27">
        <f t="shared" ca="1" si="4"/>
        <v>16843</v>
      </c>
      <c r="R12" s="31" t="str">
        <f ca="1">IF(B12="","",IF($B$4="R&amp;T Level 5 - Clinical Lecturers (Vet School)",SUMIF(Points_Lookup!$M:$M,$B12,Points_Lookup!N:N),IF($B$4="R&amp;T Level 6 - Clinical Associate Professors and Clinical Readers (Vet School)",SUMIF(Points_Lookup!$T:$T,$B12,Points_Lookup!U:U),"")))</f>
        <v/>
      </c>
      <c r="S12" s="32" t="str">
        <f ca="1">IF(B12="","",IF($B$4="R&amp;T Level 5 - Clinical Lecturers (Vet School)",$C12-SUMIF(Points_Lookup!$M:$M,$B12,Points_Lookup!$O:$O),IF($B$4="R&amp;T Level 6 - Clinical Associate Professors and Clinical Readers (Vet School)",$C12-SUMIF(Points_Lookup!$T:$T,$B12,Points_Lookup!$V:$V),"")))</f>
        <v/>
      </c>
      <c r="T12" s="31" t="str">
        <f ca="1">IF(B12="","",IF($B$4="R&amp;T Level 5 - Clinical Lecturers (Vet School)",SUMIF(Points_Lookup!$M:$M,$B12,Points_Lookup!Q:Q),IF($B$4="R&amp;T Level 6 - Clinical Associate Professors and Clinical Readers (Vet School)",SUMIF(Points_Lookup!$T:$T,$B12,Points_Lookup!X:X),"")))</f>
        <v/>
      </c>
      <c r="U12" s="32" t="str">
        <f t="shared" ca="1" si="5"/>
        <v/>
      </c>
      <c r="W12" s="28"/>
      <c r="Z12" s="28">
        <v>5</v>
      </c>
    </row>
    <row r="13" spans="2:54" x14ac:dyDescent="0.25">
      <c r="B13" s="6">
        <f ca="1">IFERROR(INDEX(Points_Lookup!A:A,MATCH($Z13,Points_Lookup!$AE:$AE,0)),"")</f>
        <v>7</v>
      </c>
      <c r="C13" s="27">
        <f ca="1">IF(B13="","",IF($B$4="Apprenticeship",SUMIF(Points_Lookup!AA:AA,B13,Points_Lookup!AC:AC),IF(AND(OR($B$4="New Consultant Contract"),$B13&lt;&gt;""),INDEX(Points_Lookup!K:K,MATCH($B13,Points_Lookup!$J:$J,0)),IF(AND(OR($B$4="Clinical Lecturer / Medical Research Fellow",$B$4="Clinical Consultant - Old Contract (GP)"),$B13&lt;&gt;""),INDEX(Points_Lookup!H:H,MATCH($B13,Points_Lookup!$G:$G,0)),IF(AND(OR($B$4="APM Level 7",$B$4="R&amp;T Level 7",$B$4="APM Level 8"),B13&lt;&gt;""),INDEX(Points_Lookup!E:E,MATCH($Z13,Points_Lookup!$AE:$AE,0)),IF($B$4="R&amp;T Level 5 - Clinical Lecturers (Vet School)",SUMIF(Points_Lookup!$M:$M,$B13,Points_Lookup!$P:$P),IF($B$4="R&amp;T Level 6 - Clinical Associate Professors and Clinical Readers (Vet School)",SUMIF(Points_Lookup!$T:$T,$B13,Points_Lookup!$W:$W),IFERROR(INDEX(Points_Lookup!B:B,MATCH($Z13,Points_Lookup!$AE:$AE,0)),""))))))))</f>
        <v>16131</v>
      </c>
      <c r="D13" s="45"/>
      <c r="E13" s="27">
        <f ca="1">IF($B13="","",IF($B$4="Apprenticeship","-",SUM(IF(SUM(C13/12)&lt;Thresholds_Rates!$C$7,(SUM(C13/12)-Thresholds_Rates!$C$5)*Thresholds_Rates!$C$9,(Thresholds_Rates!$C$7-Thresholds_Rates!$C$5)*Thresholds_Rates!$C$9),IF(SUM(C13/12)&gt;Thresholds_Rates!$C$7,((SUM(C13/12)-Thresholds_Rates!$C$7)*Thresholds_Rates!$C$10),0),SUM(Thresholds_Rates!$C$5-Thresholds_Rates!$C$4)*-Thresholds_Rates!$C$8)*12))</f>
        <v>775.94399999999996</v>
      </c>
      <c r="F13" s="27" t="str">
        <f ca="1">IF($B13="","",IF(AND($B$4="Salary Points 2 to 57",B13&lt;$AA$2),"-",IF(SUMIF(Grades!$A:$A,$B$4,Grades!BO:BO)=0,"-",IF(AND($B$4="Salary Points 2 to 57",B13&gt;=$AA$2),$C13*$AD$1,IF(AND(OR($B$4="New Consultant Contract"),$B13&lt;&gt;""),$C13*$AD$1,IF(AND(OR($B$4="Clinical Lecturer / Medical Research Fellow",$B$4="Clinical Consultant - Old Contract (GP)"),$B13&lt;&gt;""),$C13*$AD$1,IF(AND(OR($B$4="APM Level 7",$B$4="R&amp;T Level 7"),E13&lt;&gt;""),$C13*$AD$1,IF(SUMIF(Grades!$A:$A,$B$4,Grades!BO:BO)=1,$C13*$AD$1,""))))))))</f>
        <v>-</v>
      </c>
      <c r="G13" s="27" t="str">
        <f ca="1">IF(B13="","",IF($B$4="Salary Points 2 to 57","-",IF(SUMIF(Grades!$A:$A,$B$4,Grades!BP:BP)=0,"-",IF(AND(OR($B$4="New Consultant Contract"),$B13&lt;&gt;""),$C13*$AD$2,IF(AND(OR($B$4="Clinical Lecturer / Medical Research Fellow",$B$4="Clinical Consultant - Old Contract (GP)"),$B13&lt;&gt;""),$C13*$AD$2,IF(AND(OR($B$4="APM Level 7",$B$4="R&amp;T Level 7"),F13&lt;&gt;""),$C13*$AD$2,IF(SUMIF(Grades!$A:$A,$B$4,Grades!BP:BP)=1,$C13*$AD$2,"")))))))</f>
        <v>-</v>
      </c>
      <c r="H13" s="27">
        <f ca="1">IF($B$4="Apprenticeship","-",IF(B13="","",IF(SUMIF(Grades!$A:$A,$B$4,Grades!BQ:BQ)=0,"-",IF(AND($B$4="Salary Points 2 to 57",B13&gt;$AA$3),"-",IF(AND($B$4="Salary Points 2 to 57",B13&lt;=$AA$3),$C13*$AD$3,IF(AND(OR($B$4="New Consultant Contract"),$B13&lt;&gt;""),$C13*$AD$3,IF(AND(OR($B$4="Clinical Lecturer / Medical Research Fellow",$B$4="Clinical Consultant - Old Contract (GP)"),$B13&lt;&gt;""),$C13*$AD$3,IF(AND(OR($B$4="APM Level 7",$B$4="R&amp;T Level 7"),G13&lt;&gt;""),$C13*$AD$3,IF(SUMIF(Grades!$A:$A,$B$4,Grades!BQ:BQ)=1,$C13*$AD$3,"")))))))))</f>
        <v>6291.09</v>
      </c>
      <c r="I13" s="27">
        <f ca="1">IF($B13="","",ROUND(($C13-(Thresholds_Rates!$C$5*12))*Thresholds_Rates!$C$10,0))</f>
        <v>1128</v>
      </c>
      <c r="J13" s="27">
        <f ca="1">IF(B13="","",IF(AND($B$4="Salary Points 2 to 57",B13&gt;$AA$3),"-",IF(SUMIF(Grades!$A:$A,$B$4,Grades!BR:BR)=0,"-",IF(AND($B$4="Salary Points 2 to 57",B13&lt;=$AA$3),$C13*$AD$4,IF(AND(OR($B$4="New Consultant Contract"),$B13&lt;&gt;""),$C13*$AD$4,IF(AND(OR($B$4="Clinical Lecturer / Medical Research Fellow",$B$4="Clinical Consultant - Old Contract (GP)"),$B13&lt;&gt;""),$C13*$AD$4,IF(AND(OR($B$4="APM Level 7",$B$4="R&amp;T Level 7"),I13&lt;&gt;""),$C13*$AD$4,IF(SUMIF(Grades!$A:$A,$B$4,Grades!BQ:BQ)=1,$C13*$AD$4,""))))))))</f>
        <v>1613.1000000000001</v>
      </c>
      <c r="K13" s="6"/>
      <c r="L13" s="27" t="str">
        <f t="shared" ca="1" si="0"/>
        <v>-</v>
      </c>
      <c r="M13" s="27" t="str">
        <f t="shared" ca="1" si="1"/>
        <v>-</v>
      </c>
      <c r="N13" s="27">
        <f t="shared" ca="1" si="2"/>
        <v>23198.034</v>
      </c>
      <c r="O13" s="27">
        <f t="shared" ca="1" si="3"/>
        <v>18872.099999999999</v>
      </c>
      <c r="P13" s="27">
        <f t="shared" ca="1" si="4"/>
        <v>17259</v>
      </c>
      <c r="R13" s="31" t="str">
        <f ca="1">IF(B13="","",IF($B$4="R&amp;T Level 5 - Clinical Lecturers (Vet School)",SUMIF(Points_Lookup!$M:$M,$B13,Points_Lookup!N:N),IF($B$4="R&amp;T Level 6 - Clinical Associate Professors and Clinical Readers (Vet School)",SUMIF(Points_Lookup!$T:$T,$B13,Points_Lookup!U:U),"")))</f>
        <v/>
      </c>
      <c r="S13" s="32" t="str">
        <f ca="1">IF(B13="","",IF($B$4="R&amp;T Level 5 - Clinical Lecturers (Vet School)",$C13-SUMIF(Points_Lookup!$M:$M,$B13,Points_Lookup!$O:$O),IF($B$4="R&amp;T Level 6 - Clinical Associate Professors and Clinical Readers (Vet School)",$C13-SUMIF(Points_Lookup!$T:$T,$B13,Points_Lookup!$V:$V),"")))</f>
        <v/>
      </c>
      <c r="T13" s="31" t="str">
        <f ca="1">IF(B13="","",IF($B$4="R&amp;T Level 5 - Clinical Lecturers (Vet School)",SUMIF(Points_Lookup!$M:$M,$B13,Points_Lookup!Q:Q),IF($B$4="R&amp;T Level 6 - Clinical Associate Professors and Clinical Readers (Vet School)",SUMIF(Points_Lookup!$T:$T,$B13,Points_Lookup!X:X),"")))</f>
        <v/>
      </c>
      <c r="U13" s="32" t="str">
        <f t="shared" ca="1" si="5"/>
        <v/>
      </c>
      <c r="W13" s="28"/>
      <c r="Z13" s="28">
        <v>6</v>
      </c>
    </row>
    <row r="14" spans="2:54" x14ac:dyDescent="0.25">
      <c r="B14" s="6">
        <f ca="1">IFERROR(INDEX(Points_Lookup!A:A,MATCH($Z14,Points_Lookup!$AE:$AE,0)),"")</f>
        <v>8</v>
      </c>
      <c r="C14" s="27">
        <f ca="1">IF(B14="","",IF($B$4="Apprenticeship",SUMIF(Points_Lookup!AA:AA,B14,Points_Lookup!AC:AC),IF(AND(OR($B$4="New Consultant Contract"),$B14&lt;&gt;""),INDEX(Points_Lookup!K:K,MATCH($B14,Points_Lookup!$J:$J,0)),IF(AND(OR($B$4="Clinical Lecturer / Medical Research Fellow",$B$4="Clinical Consultant - Old Contract (GP)"),$B14&lt;&gt;""),INDEX(Points_Lookup!H:H,MATCH($B14,Points_Lookup!$G:$G,0)),IF(AND(OR($B$4="APM Level 7",$B$4="R&amp;T Level 7",$B$4="APM Level 8"),B14&lt;&gt;""),INDEX(Points_Lookup!E:E,MATCH($Z14,Points_Lookup!$AE:$AE,0)),IF($B$4="R&amp;T Level 5 - Clinical Lecturers (Vet School)",SUMIF(Points_Lookup!$M:$M,$B14,Points_Lookup!$P:$P),IF($B$4="R&amp;T Level 6 - Clinical Associate Professors and Clinical Readers (Vet School)",SUMIF(Points_Lookup!$T:$T,$B14,Points_Lookup!$W:$W),IFERROR(INDEX(Points_Lookup!B:B,MATCH($Z14,Points_Lookup!$AE:$AE,0)),""))))))))</f>
        <v>16577</v>
      </c>
      <c r="D14" s="45"/>
      <c r="E14" s="27">
        <f ca="1">IF($B14="","",IF($B$4="Apprenticeship","-",SUM(IF(SUM(C14/12)&lt;Thresholds_Rates!$C$7,(SUM(C14/12)-Thresholds_Rates!$C$5)*Thresholds_Rates!$C$9,(Thresholds_Rates!$C$7-Thresholds_Rates!$C$5)*Thresholds_Rates!$C$9),IF(SUM(C14/12)&gt;Thresholds_Rates!$C$7,((SUM(C14/12)-Thresholds_Rates!$C$7)*Thresholds_Rates!$C$10),0),SUM(Thresholds_Rates!$C$5-Thresholds_Rates!$C$4)*-Thresholds_Rates!$C$8)*12))</f>
        <v>822.32799999999997</v>
      </c>
      <c r="F14" s="27" t="str">
        <f ca="1">IF($B14="","",IF(AND($B$4="Salary Points 2 to 57",B14&lt;$AA$2),"-",IF(SUMIF(Grades!$A:$A,$B$4,Grades!BO:BO)=0,"-",IF(AND($B$4="Salary Points 2 to 57",B14&gt;=$AA$2),$C14*$AD$1,IF(AND(OR($B$4="New Consultant Contract"),$B14&lt;&gt;""),$C14*$AD$1,IF(AND(OR($B$4="Clinical Lecturer / Medical Research Fellow",$B$4="Clinical Consultant - Old Contract (GP)"),$B14&lt;&gt;""),$C14*$AD$1,IF(AND(OR($B$4="APM Level 7",$B$4="R&amp;T Level 7"),E14&lt;&gt;""),$C14*$AD$1,IF(SUMIF(Grades!$A:$A,$B$4,Grades!BO:BO)=1,$C14*$AD$1,""))))))))</f>
        <v>-</v>
      </c>
      <c r="G14" s="27" t="str">
        <f ca="1">IF(B14="","",IF($B$4="Salary Points 2 to 57","-",IF(SUMIF(Grades!$A:$A,$B$4,Grades!BP:BP)=0,"-",IF(AND(OR($B$4="New Consultant Contract"),$B14&lt;&gt;""),$C14*$AD$2,IF(AND(OR($B$4="Clinical Lecturer / Medical Research Fellow",$B$4="Clinical Consultant - Old Contract (GP)"),$B14&lt;&gt;""),$C14*$AD$2,IF(AND(OR($B$4="APM Level 7",$B$4="R&amp;T Level 7"),F14&lt;&gt;""),$C14*$AD$2,IF(SUMIF(Grades!$A:$A,$B$4,Grades!BP:BP)=1,$C14*$AD$2,"")))))))</f>
        <v>-</v>
      </c>
      <c r="H14" s="27">
        <f ca="1">IF($B$4="Apprenticeship","-",IF(B14="","",IF(SUMIF(Grades!$A:$A,$B$4,Grades!BQ:BQ)=0,"-",IF(AND($B$4="Salary Points 2 to 57",B14&gt;$AA$3),"-",IF(AND($B$4="Salary Points 2 to 57",B14&lt;=$AA$3),$C14*$AD$3,IF(AND(OR($B$4="New Consultant Contract"),$B14&lt;&gt;""),$C14*$AD$3,IF(AND(OR($B$4="Clinical Lecturer / Medical Research Fellow",$B$4="Clinical Consultant - Old Contract (GP)"),$B14&lt;&gt;""),$C14*$AD$3,IF(AND(OR($B$4="APM Level 7",$B$4="R&amp;T Level 7"),G14&lt;&gt;""),$C14*$AD$3,IF(SUMIF(Grades!$A:$A,$B$4,Grades!BQ:BQ)=1,$C14*$AD$3,"")))))))))</f>
        <v>6465.0300000000007</v>
      </c>
      <c r="I14" s="27">
        <f ca="1">IF($B14="","",ROUND(($C14-(Thresholds_Rates!$C$5*12))*Thresholds_Rates!$C$10,0))</f>
        <v>1190</v>
      </c>
      <c r="J14" s="27">
        <f ca="1">IF(B14="","",IF(AND($B$4="Salary Points 2 to 57",B14&gt;$AA$3),"-",IF(SUMIF(Grades!$A:$A,$B$4,Grades!BR:BR)=0,"-",IF(AND($B$4="Salary Points 2 to 57",B14&lt;=$AA$3),$C14*$AD$4,IF(AND(OR($B$4="New Consultant Contract"),$B14&lt;&gt;""),$C14*$AD$4,IF(AND(OR($B$4="Clinical Lecturer / Medical Research Fellow",$B$4="Clinical Consultant - Old Contract (GP)"),$B14&lt;&gt;""),$C14*$AD$4,IF(AND(OR($B$4="APM Level 7",$B$4="R&amp;T Level 7"),I14&lt;&gt;""),$C14*$AD$4,IF(SUMIF(Grades!$A:$A,$B$4,Grades!BQ:BQ)=1,$C14*$AD$4,""))))))))</f>
        <v>1657.7</v>
      </c>
      <c r="K14" s="6"/>
      <c r="L14" s="27" t="str">
        <f t="shared" ca="1" si="0"/>
        <v>-</v>
      </c>
      <c r="M14" s="27" t="str">
        <f t="shared" ca="1" si="1"/>
        <v>-</v>
      </c>
      <c r="N14" s="27">
        <f t="shared" ca="1" si="2"/>
        <v>23864.358</v>
      </c>
      <c r="O14" s="27">
        <f t="shared" ca="1" si="3"/>
        <v>19424.7</v>
      </c>
      <c r="P14" s="27">
        <f t="shared" ca="1" si="4"/>
        <v>17767</v>
      </c>
      <c r="R14" s="31" t="str">
        <f ca="1">IF(B14="","",IF($B$4="R&amp;T Level 5 - Clinical Lecturers (Vet School)",SUMIF(Points_Lookup!$M:$M,$B14,Points_Lookup!N:N),IF($B$4="R&amp;T Level 6 - Clinical Associate Professors and Clinical Readers (Vet School)",SUMIF(Points_Lookup!$T:$T,$B14,Points_Lookup!U:U),"")))</f>
        <v/>
      </c>
      <c r="S14" s="32" t="str">
        <f ca="1">IF(B14="","",IF($B$4="R&amp;T Level 5 - Clinical Lecturers (Vet School)",$C14-SUMIF(Points_Lookup!$M:$M,$B14,Points_Lookup!$O:$O),IF($B$4="R&amp;T Level 6 - Clinical Associate Professors and Clinical Readers (Vet School)",$C14-SUMIF(Points_Lookup!$T:$T,$B14,Points_Lookup!$V:$V),"")))</f>
        <v/>
      </c>
      <c r="T14" s="31" t="str">
        <f ca="1">IF(B14="","",IF($B$4="R&amp;T Level 5 - Clinical Lecturers (Vet School)",SUMIF(Points_Lookup!$M:$M,$B14,Points_Lookup!Q:Q),IF($B$4="R&amp;T Level 6 - Clinical Associate Professors and Clinical Readers (Vet School)",SUMIF(Points_Lookup!$T:$T,$B14,Points_Lookup!X:X),"")))</f>
        <v/>
      </c>
      <c r="U14" s="32" t="str">
        <f t="shared" ca="1" si="5"/>
        <v/>
      </c>
      <c r="W14" s="28"/>
      <c r="Z14" s="28">
        <v>7</v>
      </c>
    </row>
    <row r="15" spans="2:54" x14ac:dyDescent="0.25">
      <c r="B15" s="6">
        <f ca="1">IFERROR(INDEX(Points_Lookup!A:A,MATCH($Z15,Points_Lookup!$AE:$AE,0)),"")</f>
        <v>9</v>
      </c>
      <c r="C15" s="27">
        <f ca="1">IF(B15="","",IF($B$4="Apprenticeship",SUMIF(Points_Lookup!AA:AA,B15,Points_Lookup!AC:AC),IF(AND(OR($B$4="New Consultant Contract"),$B15&lt;&gt;""),INDEX(Points_Lookup!K:K,MATCH($B15,Points_Lookup!$J:$J,0)),IF(AND(OR($B$4="Clinical Lecturer / Medical Research Fellow",$B$4="Clinical Consultant - Old Contract (GP)"),$B15&lt;&gt;""),INDEX(Points_Lookup!H:H,MATCH($B15,Points_Lookup!$G:$G,0)),IF(AND(OR($B$4="APM Level 7",$B$4="R&amp;T Level 7",$B$4="APM Level 8"),B15&lt;&gt;""),INDEX(Points_Lookup!E:E,MATCH($Z15,Points_Lookup!$AE:$AE,0)),IF($B$4="R&amp;T Level 5 - Clinical Lecturers (Vet School)",SUMIF(Points_Lookup!$M:$M,$B15,Points_Lookup!$P:$P),IF($B$4="R&amp;T Level 6 - Clinical Associate Professors and Clinical Readers (Vet School)",SUMIF(Points_Lookup!$T:$T,$B15,Points_Lookup!$W:$W),IFERROR(INDEX(Points_Lookup!B:B,MATCH($Z15,Points_Lookup!$AE:$AE,0)),""))))))))</f>
        <v>17039</v>
      </c>
      <c r="D15" s="45"/>
      <c r="E15" s="27">
        <f ca="1">IF($B15="","",IF($B$4="Apprenticeship","-",SUM(IF(SUM(C15/12)&lt;Thresholds_Rates!$C$7,(SUM(C15/12)-Thresholds_Rates!$C$5)*Thresholds_Rates!$C$9,(Thresholds_Rates!$C$7-Thresholds_Rates!$C$5)*Thresholds_Rates!$C$9),IF(SUM(C15/12)&gt;Thresholds_Rates!$C$7,((SUM(C15/12)-Thresholds_Rates!$C$7)*Thresholds_Rates!$C$10),0),SUM(Thresholds_Rates!$C$5-Thresholds_Rates!$C$4)*-Thresholds_Rates!$C$8)*12))</f>
        <v>870.37599999999998</v>
      </c>
      <c r="F15" s="27" t="str">
        <f ca="1">IF($B15="","",IF(AND($B$4="Salary Points 2 to 57",B15&lt;$AA$2),"-",IF(SUMIF(Grades!$A:$A,$B$4,Grades!BO:BO)=0,"-",IF(AND($B$4="Salary Points 2 to 57",B15&gt;=$AA$2),$C15*$AD$1,IF(AND(OR($B$4="New Consultant Contract"),$B15&lt;&gt;""),$C15*$AD$1,IF(AND(OR($B$4="Clinical Lecturer / Medical Research Fellow",$B$4="Clinical Consultant - Old Contract (GP)"),$B15&lt;&gt;""),$C15*$AD$1,IF(AND(OR($B$4="APM Level 7",$B$4="R&amp;T Level 7"),E15&lt;&gt;""),$C15*$AD$1,IF(SUMIF(Grades!$A:$A,$B$4,Grades!BO:BO)=1,$C15*$AD$1,""))))))))</f>
        <v>-</v>
      </c>
      <c r="G15" s="27" t="str">
        <f ca="1">IF(B15="","",IF($B$4="Salary Points 2 to 57","-",IF(SUMIF(Grades!$A:$A,$B$4,Grades!BP:BP)=0,"-",IF(AND(OR($B$4="New Consultant Contract"),$B15&lt;&gt;""),$C15*$AD$2,IF(AND(OR($B$4="Clinical Lecturer / Medical Research Fellow",$B$4="Clinical Consultant - Old Contract (GP)"),$B15&lt;&gt;""),$C15*$AD$2,IF(AND(OR($B$4="APM Level 7",$B$4="R&amp;T Level 7"),F15&lt;&gt;""),$C15*$AD$2,IF(SUMIF(Grades!$A:$A,$B$4,Grades!BP:BP)=1,$C15*$AD$2,"")))))))</f>
        <v>-</v>
      </c>
      <c r="H15" s="27">
        <f ca="1">IF($B$4="Apprenticeship","-",IF(B15="","",IF(SUMIF(Grades!$A:$A,$B$4,Grades!BQ:BQ)=0,"-",IF(AND($B$4="Salary Points 2 to 57",B15&gt;$AA$3),"-",IF(AND($B$4="Salary Points 2 to 57",B15&lt;=$AA$3),$C15*$AD$3,IF(AND(OR($B$4="New Consultant Contract"),$B15&lt;&gt;""),$C15*$AD$3,IF(AND(OR($B$4="Clinical Lecturer / Medical Research Fellow",$B$4="Clinical Consultant - Old Contract (GP)"),$B15&lt;&gt;""),$C15*$AD$3,IF(AND(OR($B$4="APM Level 7",$B$4="R&amp;T Level 7"),G15&lt;&gt;""),$C15*$AD$3,IF(SUMIF(Grades!$A:$A,$B$4,Grades!BQ:BQ)=1,$C15*$AD$3,"")))))))))</f>
        <v>6645.21</v>
      </c>
      <c r="I15" s="27">
        <f ca="1">IF($B15="","",ROUND(($C15-(Thresholds_Rates!$C$5*12))*Thresholds_Rates!$C$10,0))</f>
        <v>1253</v>
      </c>
      <c r="J15" s="27">
        <f ca="1">IF(B15="","",IF(AND($B$4="Salary Points 2 to 57",B15&gt;$AA$3),"-",IF(SUMIF(Grades!$A:$A,$B$4,Grades!BR:BR)=0,"-",IF(AND($B$4="Salary Points 2 to 57",B15&lt;=$AA$3),$C15*$AD$4,IF(AND(OR($B$4="New Consultant Contract"),$B15&lt;&gt;""),$C15*$AD$4,IF(AND(OR($B$4="Clinical Lecturer / Medical Research Fellow",$B$4="Clinical Consultant - Old Contract (GP)"),$B15&lt;&gt;""),$C15*$AD$4,IF(AND(OR($B$4="APM Level 7",$B$4="R&amp;T Level 7"),I15&lt;&gt;""),$C15*$AD$4,IF(SUMIF(Grades!$A:$A,$B$4,Grades!BQ:BQ)=1,$C15*$AD$4,""))))))))</f>
        <v>1703.9</v>
      </c>
      <c r="K15" s="6"/>
      <c r="L15" s="27" t="str">
        <f t="shared" ca="1" si="0"/>
        <v>-</v>
      </c>
      <c r="M15" s="27" t="str">
        <f t="shared" ca="1" si="1"/>
        <v>-</v>
      </c>
      <c r="N15" s="27">
        <f t="shared" ca="1" si="2"/>
        <v>24554.585999999999</v>
      </c>
      <c r="O15" s="27">
        <f t="shared" ca="1" si="3"/>
        <v>19995.900000000001</v>
      </c>
      <c r="P15" s="27">
        <f t="shared" ca="1" si="4"/>
        <v>18292</v>
      </c>
      <c r="R15" s="31" t="str">
        <f ca="1">IF(B15="","",IF($B$4="R&amp;T Level 5 - Clinical Lecturers (Vet School)",SUMIF(Points_Lookup!$M:$M,$B15,Points_Lookup!N:N),IF($B$4="R&amp;T Level 6 - Clinical Associate Professors and Clinical Readers (Vet School)",SUMIF(Points_Lookup!$T:$T,$B15,Points_Lookup!U:U),"")))</f>
        <v/>
      </c>
      <c r="S15" s="32" t="str">
        <f ca="1">IF(B15="","",IF($B$4="R&amp;T Level 5 - Clinical Lecturers (Vet School)",$C15-SUMIF(Points_Lookup!$M:$M,$B15,Points_Lookup!$O:$O),IF($B$4="R&amp;T Level 6 - Clinical Associate Professors and Clinical Readers (Vet School)",$C15-SUMIF(Points_Lookup!$T:$T,$B15,Points_Lookup!$V:$V),"")))</f>
        <v/>
      </c>
      <c r="T15" s="31" t="str">
        <f ca="1">IF(B15="","",IF($B$4="R&amp;T Level 5 - Clinical Lecturers (Vet School)",SUMIF(Points_Lookup!$M:$M,$B15,Points_Lookup!Q:Q),IF($B$4="R&amp;T Level 6 - Clinical Associate Professors and Clinical Readers (Vet School)",SUMIF(Points_Lookup!$T:$T,$B15,Points_Lookup!X:X),"")))</f>
        <v/>
      </c>
      <c r="U15" s="32" t="str">
        <f t="shared" ca="1" si="5"/>
        <v/>
      </c>
      <c r="W15" s="28"/>
      <c r="Z15" s="28">
        <v>8</v>
      </c>
    </row>
    <row r="16" spans="2:54" x14ac:dyDescent="0.25">
      <c r="B16" s="6">
        <f ca="1">IFERROR(INDEX(Points_Lookup!A:A,MATCH($Z16,Points_Lookup!$AE:$AE,0)),"")</f>
        <v>10</v>
      </c>
      <c r="C16" s="27">
        <f ca="1">IF(B16="","",IF($B$4="Apprenticeship",SUMIF(Points_Lookup!AA:AA,B16,Points_Lookup!AC:AC),IF(AND(OR($B$4="New Consultant Contract"),$B16&lt;&gt;""),INDEX(Points_Lookup!K:K,MATCH($B16,Points_Lookup!$J:$J,0)),IF(AND(OR($B$4="Clinical Lecturer / Medical Research Fellow",$B$4="Clinical Consultant - Old Contract (GP)"),$B16&lt;&gt;""),INDEX(Points_Lookup!H:H,MATCH($B16,Points_Lookup!$G:$G,0)),IF(AND(OR($B$4="APM Level 7",$B$4="R&amp;T Level 7",$B$4="APM Level 8"),B16&lt;&gt;""),INDEX(Points_Lookup!E:E,MATCH($Z16,Points_Lookup!$AE:$AE,0)),IF($B$4="R&amp;T Level 5 - Clinical Lecturers (Vet School)",SUMIF(Points_Lookup!$M:$M,$B16,Points_Lookup!$P:$P),IF($B$4="R&amp;T Level 6 - Clinical Associate Professors and Clinical Readers (Vet School)",SUMIF(Points_Lookup!$T:$T,$B16,Points_Lookup!$W:$W),IFERROR(INDEX(Points_Lookup!B:B,MATCH($Z16,Points_Lookup!$AE:$AE,0)),""))))))))</f>
        <v>17528</v>
      </c>
      <c r="D16" s="45"/>
      <c r="E16" s="27">
        <f ca="1">IF($B16="","",IF($B$4="Apprenticeship","-",SUM(IF(SUM(C16/12)&lt;Thresholds_Rates!$C$7,(SUM(C16/12)-Thresholds_Rates!$C$5)*Thresholds_Rates!$C$9,(Thresholds_Rates!$C$7-Thresholds_Rates!$C$5)*Thresholds_Rates!$C$9),IF(SUM(C16/12)&gt;Thresholds_Rates!$C$7,((SUM(C16/12)-Thresholds_Rates!$C$7)*Thresholds_Rates!$C$10),0),SUM(Thresholds_Rates!$C$5-Thresholds_Rates!$C$4)*-Thresholds_Rates!$C$8)*12))</f>
        <v>921.23199999999997</v>
      </c>
      <c r="F16" s="27" t="str">
        <f ca="1">IF($B16="","",IF(AND($B$4="Salary Points 2 to 57",B16&lt;$AA$2),"-",IF(SUMIF(Grades!$A:$A,$B$4,Grades!BO:BO)=0,"-",IF(AND($B$4="Salary Points 2 to 57",B16&gt;=$AA$2),$C16*$AD$1,IF(AND(OR($B$4="New Consultant Contract"),$B16&lt;&gt;""),$C16*$AD$1,IF(AND(OR($B$4="Clinical Lecturer / Medical Research Fellow",$B$4="Clinical Consultant - Old Contract (GP)"),$B16&lt;&gt;""),$C16*$AD$1,IF(AND(OR($B$4="APM Level 7",$B$4="R&amp;T Level 7"),E16&lt;&gt;""),$C16*$AD$1,IF(SUMIF(Grades!$A:$A,$B$4,Grades!BO:BO)=1,$C16*$AD$1,""))))))))</f>
        <v>-</v>
      </c>
      <c r="G16" s="27" t="str">
        <f ca="1">IF(B16="","",IF($B$4="Salary Points 2 to 57","-",IF(SUMIF(Grades!$A:$A,$B$4,Grades!BP:BP)=0,"-",IF(AND(OR($B$4="New Consultant Contract"),$B16&lt;&gt;""),$C16*$AD$2,IF(AND(OR($B$4="Clinical Lecturer / Medical Research Fellow",$B$4="Clinical Consultant - Old Contract (GP)"),$B16&lt;&gt;""),$C16*$AD$2,IF(AND(OR($B$4="APM Level 7",$B$4="R&amp;T Level 7"),F16&lt;&gt;""),$C16*$AD$2,IF(SUMIF(Grades!$A:$A,$B$4,Grades!BP:BP)=1,$C16*$AD$2,"")))))))</f>
        <v>-</v>
      </c>
      <c r="H16" s="27">
        <f ca="1">IF($B$4="Apprenticeship","-",IF(B16="","",IF(SUMIF(Grades!$A:$A,$B$4,Grades!BQ:BQ)=0,"-",IF(AND($B$4="Salary Points 2 to 57",B16&gt;$AA$3),"-",IF(AND($B$4="Salary Points 2 to 57",B16&lt;=$AA$3),$C16*$AD$3,IF(AND(OR($B$4="New Consultant Contract"),$B16&lt;&gt;""),$C16*$AD$3,IF(AND(OR($B$4="Clinical Lecturer / Medical Research Fellow",$B$4="Clinical Consultant - Old Contract (GP)"),$B16&lt;&gt;""),$C16*$AD$3,IF(AND(OR($B$4="APM Level 7",$B$4="R&amp;T Level 7"),G16&lt;&gt;""),$C16*$AD$3,IF(SUMIF(Grades!$A:$A,$B$4,Grades!BQ:BQ)=1,$C16*$AD$3,"")))))))))</f>
        <v>6835.92</v>
      </c>
      <c r="I16" s="27">
        <f ca="1">IF($B16="","",ROUND(($C16-(Thresholds_Rates!$C$5*12))*Thresholds_Rates!$C$10,0))</f>
        <v>1321</v>
      </c>
      <c r="J16" s="27">
        <f ca="1">IF(B16="","",IF(AND($B$4="Salary Points 2 to 57",B16&gt;$AA$3),"-",IF(SUMIF(Grades!$A:$A,$B$4,Grades!BR:BR)=0,"-",IF(AND($B$4="Salary Points 2 to 57",B16&lt;=$AA$3),$C16*$AD$4,IF(AND(OR($B$4="New Consultant Contract"),$B16&lt;&gt;""),$C16*$AD$4,IF(AND(OR($B$4="Clinical Lecturer / Medical Research Fellow",$B$4="Clinical Consultant - Old Contract (GP)"),$B16&lt;&gt;""),$C16*$AD$4,IF(AND(OR($B$4="APM Level 7",$B$4="R&amp;T Level 7"),I16&lt;&gt;""),$C16*$AD$4,IF(SUMIF(Grades!$A:$A,$B$4,Grades!BQ:BQ)=1,$C16*$AD$4,""))))))))</f>
        <v>1752.8000000000002</v>
      </c>
      <c r="K16" s="6"/>
      <c r="L16" s="27" t="str">
        <f t="shared" ca="1" si="0"/>
        <v>-</v>
      </c>
      <c r="M16" s="27" t="str">
        <f t="shared" ca="1" si="1"/>
        <v>-</v>
      </c>
      <c r="N16" s="27">
        <f t="shared" ca="1" si="2"/>
        <v>25285.152000000002</v>
      </c>
      <c r="O16" s="27">
        <f t="shared" ca="1" si="3"/>
        <v>20601.8</v>
      </c>
      <c r="P16" s="27">
        <f t="shared" ca="1" si="4"/>
        <v>18849</v>
      </c>
      <c r="R16" s="31" t="str">
        <f ca="1">IF(B16="","",IF($B$4="R&amp;T Level 5 - Clinical Lecturers (Vet School)",SUMIF(Points_Lookup!$M:$M,$B16,Points_Lookup!N:N),IF($B$4="R&amp;T Level 6 - Clinical Associate Professors and Clinical Readers (Vet School)",SUMIF(Points_Lookup!$T:$T,$B16,Points_Lookup!U:U),"")))</f>
        <v/>
      </c>
      <c r="S16" s="32" t="str">
        <f ca="1">IF(B16="","",IF($B$4="R&amp;T Level 5 - Clinical Lecturers (Vet School)",$C16-SUMIF(Points_Lookup!$M:$M,$B16,Points_Lookup!$O:$O),IF($B$4="R&amp;T Level 6 - Clinical Associate Professors and Clinical Readers (Vet School)",$C16-SUMIF(Points_Lookup!$T:$T,$B16,Points_Lookup!$V:$V),"")))</f>
        <v/>
      </c>
      <c r="T16" s="31" t="str">
        <f ca="1">IF(B16="","",IF($B$4="R&amp;T Level 5 - Clinical Lecturers (Vet School)",SUMIF(Points_Lookup!$M:$M,$B16,Points_Lookup!Q:Q),IF($B$4="R&amp;T Level 6 - Clinical Associate Professors and Clinical Readers (Vet School)",SUMIF(Points_Lookup!$T:$T,$B16,Points_Lookup!X:X),"")))</f>
        <v/>
      </c>
      <c r="U16" s="32" t="str">
        <f t="shared" ca="1" si="5"/>
        <v/>
      </c>
      <c r="W16" s="28"/>
      <c r="Z16" s="28">
        <v>9</v>
      </c>
    </row>
    <row r="17" spans="2:26" x14ac:dyDescent="0.25">
      <c r="B17" s="6">
        <f ca="1">IFERROR(INDEX(Points_Lookup!A:A,MATCH($Z17,Points_Lookup!$AE:$AE,0)),"")</f>
        <v>11</v>
      </c>
      <c r="C17" s="27">
        <f ca="1">IF(B17="","",IF($B$4="Apprenticeship",SUMIF(Points_Lookup!AA:AA,B17,Points_Lookup!AC:AC),IF(AND(OR($B$4="New Consultant Contract"),$B17&lt;&gt;""),INDEX(Points_Lookup!K:K,MATCH($B17,Points_Lookup!$J:$J,0)),IF(AND(OR($B$4="Clinical Lecturer / Medical Research Fellow",$B$4="Clinical Consultant - Old Contract (GP)"),$B17&lt;&gt;""),INDEX(Points_Lookup!H:H,MATCH($B17,Points_Lookup!$G:$G,0)),IF(AND(OR($B$4="APM Level 7",$B$4="R&amp;T Level 7",$B$4="APM Level 8"),B17&lt;&gt;""),INDEX(Points_Lookup!E:E,MATCH($Z17,Points_Lookup!$AE:$AE,0)),IF($B$4="R&amp;T Level 5 - Clinical Lecturers (Vet School)",SUMIF(Points_Lookup!$M:$M,$B17,Points_Lookup!$P:$P),IF($B$4="R&amp;T Level 6 - Clinical Associate Professors and Clinical Readers (Vet School)",SUMIF(Points_Lookup!$T:$T,$B17,Points_Lookup!$W:$W),IFERROR(INDEX(Points_Lookup!B:B,MATCH($Z17,Points_Lookup!$AE:$AE,0)),""))))))))</f>
        <v>18031</v>
      </c>
      <c r="D17" s="45"/>
      <c r="E17" s="27">
        <f ca="1">IF($B17="","",IF($B$4="Apprenticeship","-",SUM(IF(SUM(C17/12)&lt;Thresholds_Rates!$C$7,(SUM(C17/12)-Thresholds_Rates!$C$5)*Thresholds_Rates!$C$9,(Thresholds_Rates!$C$7-Thresholds_Rates!$C$5)*Thresholds_Rates!$C$9),IF(SUM(C17/12)&gt;Thresholds_Rates!$C$7,((SUM(C17/12)-Thresholds_Rates!$C$7)*Thresholds_Rates!$C$10),0),SUM(Thresholds_Rates!$C$5-Thresholds_Rates!$C$4)*-Thresholds_Rates!$C$8)*12))</f>
        <v>973.54399999999976</v>
      </c>
      <c r="F17" s="27" t="str">
        <f ca="1">IF($B17="","",IF(AND($B$4="Salary Points 2 to 57",B17&lt;$AA$2),"-",IF(SUMIF(Grades!$A:$A,$B$4,Grades!BO:BO)=0,"-",IF(AND($B$4="Salary Points 2 to 57",B17&gt;=$AA$2),$C17*$AD$1,IF(AND(OR($B$4="New Consultant Contract"),$B17&lt;&gt;""),$C17*$AD$1,IF(AND(OR($B$4="Clinical Lecturer / Medical Research Fellow",$B$4="Clinical Consultant - Old Contract (GP)"),$B17&lt;&gt;""),$C17*$AD$1,IF(AND(OR($B$4="APM Level 7",$B$4="R&amp;T Level 7"),E17&lt;&gt;""),$C17*$AD$1,IF(SUMIF(Grades!$A:$A,$B$4,Grades!BO:BO)=1,$C17*$AD$1,""))))))))</f>
        <v>-</v>
      </c>
      <c r="G17" s="27" t="str">
        <f ca="1">IF(B17="","",IF($B$4="Salary Points 2 to 57","-",IF(SUMIF(Grades!$A:$A,$B$4,Grades!BP:BP)=0,"-",IF(AND(OR($B$4="New Consultant Contract"),$B17&lt;&gt;""),$C17*$AD$2,IF(AND(OR($B$4="Clinical Lecturer / Medical Research Fellow",$B$4="Clinical Consultant - Old Contract (GP)"),$B17&lt;&gt;""),$C17*$AD$2,IF(AND(OR($B$4="APM Level 7",$B$4="R&amp;T Level 7"),F17&lt;&gt;""),$C17*$AD$2,IF(SUMIF(Grades!$A:$A,$B$4,Grades!BP:BP)=1,$C17*$AD$2,"")))))))</f>
        <v>-</v>
      </c>
      <c r="H17" s="27">
        <f ca="1">IF($B$4="Apprenticeship","-",IF(B17="","",IF(SUMIF(Grades!$A:$A,$B$4,Grades!BQ:BQ)=0,"-",IF(AND($B$4="Salary Points 2 to 57",B17&gt;$AA$3),"-",IF(AND($B$4="Salary Points 2 to 57",B17&lt;=$AA$3),$C17*$AD$3,IF(AND(OR($B$4="New Consultant Contract"),$B17&lt;&gt;""),$C17*$AD$3,IF(AND(OR($B$4="Clinical Lecturer / Medical Research Fellow",$B$4="Clinical Consultant - Old Contract (GP)"),$B17&lt;&gt;""),$C17*$AD$3,IF(AND(OR($B$4="APM Level 7",$B$4="R&amp;T Level 7"),G17&lt;&gt;""),$C17*$AD$3,IF(SUMIF(Grades!$A:$A,$B$4,Grades!BQ:BQ)=1,$C17*$AD$3,"")))))))))</f>
        <v>7032.09</v>
      </c>
      <c r="I17" s="27">
        <f ca="1">IF($B17="","",ROUND(($C17-(Thresholds_Rates!$C$5*12))*Thresholds_Rates!$C$10,0))</f>
        <v>1390</v>
      </c>
      <c r="J17" s="27">
        <f ca="1">IF(B17="","",IF(AND($B$4="Salary Points 2 to 57",B17&gt;$AA$3),"-",IF(SUMIF(Grades!$A:$A,$B$4,Grades!BR:BR)=0,"-",IF(AND($B$4="Salary Points 2 to 57",B17&lt;=$AA$3),$C17*$AD$4,IF(AND(OR($B$4="New Consultant Contract"),$B17&lt;&gt;""),$C17*$AD$4,IF(AND(OR($B$4="Clinical Lecturer / Medical Research Fellow",$B$4="Clinical Consultant - Old Contract (GP)"),$B17&lt;&gt;""),$C17*$AD$4,IF(AND(OR($B$4="APM Level 7",$B$4="R&amp;T Level 7"),I17&lt;&gt;""),$C17*$AD$4,IF(SUMIF(Grades!$A:$A,$B$4,Grades!BQ:BQ)=1,$C17*$AD$4,""))))))))</f>
        <v>1803.1000000000001</v>
      </c>
      <c r="K17" s="6"/>
      <c r="L17" s="27" t="str">
        <f t="shared" ca="1" si="0"/>
        <v>-</v>
      </c>
      <c r="M17" s="27" t="str">
        <f t="shared" ca="1" si="1"/>
        <v>-</v>
      </c>
      <c r="N17" s="27">
        <f t="shared" ca="1" si="2"/>
        <v>26036.633999999998</v>
      </c>
      <c r="O17" s="27">
        <f t="shared" ca="1" si="3"/>
        <v>21224.1</v>
      </c>
      <c r="P17" s="27">
        <f t="shared" ca="1" si="4"/>
        <v>19421</v>
      </c>
      <c r="R17" s="31" t="str">
        <f ca="1">IF(B17="","",IF($B$4="R&amp;T Level 5 - Clinical Lecturers (Vet School)",SUMIF(Points_Lookup!$M:$M,$B17,Points_Lookup!N:N),IF($B$4="R&amp;T Level 6 - Clinical Associate Professors and Clinical Readers (Vet School)",SUMIF(Points_Lookup!$T:$T,$B17,Points_Lookup!U:U),"")))</f>
        <v/>
      </c>
      <c r="S17" s="32" t="str">
        <f ca="1">IF(B17="","",IF($B$4="R&amp;T Level 5 - Clinical Lecturers (Vet School)",$C17-SUMIF(Points_Lookup!$M:$M,$B17,Points_Lookup!$O:$O),IF($B$4="R&amp;T Level 6 - Clinical Associate Professors and Clinical Readers (Vet School)",$C17-SUMIF(Points_Lookup!$T:$T,$B17,Points_Lookup!$V:$V),"")))</f>
        <v/>
      </c>
      <c r="T17" s="31" t="str">
        <f ca="1">IF(B17="","",IF($B$4="R&amp;T Level 5 - Clinical Lecturers (Vet School)",SUMIF(Points_Lookup!$M:$M,$B17,Points_Lookup!Q:Q),IF($B$4="R&amp;T Level 6 - Clinical Associate Professors and Clinical Readers (Vet School)",SUMIF(Points_Lookup!$T:$T,$B17,Points_Lookup!X:X),"")))</f>
        <v/>
      </c>
      <c r="U17" s="32" t="str">
        <f t="shared" ca="1" si="5"/>
        <v/>
      </c>
      <c r="W17" s="28"/>
      <c r="Z17" s="28">
        <v>10</v>
      </c>
    </row>
    <row r="18" spans="2:26" x14ac:dyDescent="0.25">
      <c r="B18" s="6">
        <f ca="1">IFERROR(INDEX(Points_Lookup!A:A,MATCH($Z18,Points_Lookup!$AE:$AE,0)),"")</f>
        <v>12</v>
      </c>
      <c r="C18" s="27">
        <f ca="1">IF(B18="","",IF($B$4="Apprenticeship",SUMIF(Points_Lookup!AA:AA,B18,Points_Lookup!AC:AC),IF(AND(OR($B$4="New Consultant Contract"),$B18&lt;&gt;""),INDEX(Points_Lookup!K:K,MATCH($B18,Points_Lookup!$J:$J,0)),IF(AND(OR($B$4="Clinical Lecturer / Medical Research Fellow",$B$4="Clinical Consultant - Old Contract (GP)"),$B18&lt;&gt;""),INDEX(Points_Lookup!H:H,MATCH($B18,Points_Lookup!$G:$G,0)),IF(AND(OR($B$4="APM Level 7",$B$4="R&amp;T Level 7",$B$4="APM Level 8"),B18&lt;&gt;""),INDEX(Points_Lookup!E:E,MATCH($Z18,Points_Lookup!$AE:$AE,0)),IF($B$4="R&amp;T Level 5 - Clinical Lecturers (Vet School)",SUMIF(Points_Lookup!$M:$M,$B18,Points_Lookup!$P:$P),IF($B$4="R&amp;T Level 6 - Clinical Associate Professors and Clinical Readers (Vet School)",SUMIF(Points_Lookup!$T:$T,$B18,Points_Lookup!$W:$W),IFERROR(INDEX(Points_Lookup!B:B,MATCH($Z18,Points_Lookup!$AE:$AE,0)),""))))))))</f>
        <v>18549</v>
      </c>
      <c r="D18" s="45"/>
      <c r="E18" s="27">
        <f ca="1">IF($B18="","",IF($B$4="Apprenticeship","-",SUM(IF(SUM(C18/12)&lt;Thresholds_Rates!$C$7,(SUM(C18/12)-Thresholds_Rates!$C$5)*Thresholds_Rates!$C$9,(Thresholds_Rates!$C$7-Thresholds_Rates!$C$5)*Thresholds_Rates!$C$9),IF(SUM(C18/12)&gt;Thresholds_Rates!$C$7,((SUM(C18/12)-Thresholds_Rates!$C$7)*Thresholds_Rates!$C$10),0),SUM(Thresholds_Rates!$C$5-Thresholds_Rates!$C$4)*-Thresholds_Rates!$C$8)*12))</f>
        <v>1027.4159999999999</v>
      </c>
      <c r="F18" s="27" t="str">
        <f ca="1">IF($B18="","",IF(AND($B$4="Salary Points 2 to 57",B18&lt;$AA$2),"-",IF(SUMIF(Grades!$A:$A,$B$4,Grades!BO:BO)=0,"-",IF(AND($B$4="Salary Points 2 to 57",B18&gt;=$AA$2),$C18*$AD$1,IF(AND(OR($B$4="New Consultant Contract"),$B18&lt;&gt;""),$C18*$AD$1,IF(AND(OR($B$4="Clinical Lecturer / Medical Research Fellow",$B$4="Clinical Consultant - Old Contract (GP)"),$B18&lt;&gt;""),$C18*$AD$1,IF(AND(OR($B$4="APM Level 7",$B$4="R&amp;T Level 7"),E18&lt;&gt;""),$C18*$AD$1,IF(SUMIF(Grades!$A:$A,$B$4,Grades!BO:BO)=1,$C18*$AD$1,""))))))))</f>
        <v>-</v>
      </c>
      <c r="G18" s="27" t="str">
        <f ca="1">IF(B18="","",IF($B$4="Salary Points 2 to 57","-",IF(SUMIF(Grades!$A:$A,$B$4,Grades!BP:BP)=0,"-",IF(AND(OR($B$4="New Consultant Contract"),$B18&lt;&gt;""),$C18*$AD$2,IF(AND(OR($B$4="Clinical Lecturer / Medical Research Fellow",$B$4="Clinical Consultant - Old Contract (GP)"),$B18&lt;&gt;""),$C18*$AD$2,IF(AND(OR($B$4="APM Level 7",$B$4="R&amp;T Level 7"),F18&lt;&gt;""),$C18*$AD$2,IF(SUMIF(Grades!$A:$A,$B$4,Grades!BP:BP)=1,$C18*$AD$2,"")))))))</f>
        <v>-</v>
      </c>
      <c r="H18" s="27">
        <f ca="1">IF($B$4="Apprenticeship","-",IF(B18="","",IF(SUMIF(Grades!$A:$A,$B$4,Grades!BQ:BQ)=0,"-",IF(AND($B$4="Salary Points 2 to 57",B18&gt;$AA$3),"-",IF(AND($B$4="Salary Points 2 to 57",B18&lt;=$AA$3),$C18*$AD$3,IF(AND(OR($B$4="New Consultant Contract"),$B18&lt;&gt;""),$C18*$AD$3,IF(AND(OR($B$4="Clinical Lecturer / Medical Research Fellow",$B$4="Clinical Consultant - Old Contract (GP)"),$B18&lt;&gt;""),$C18*$AD$3,IF(AND(OR($B$4="APM Level 7",$B$4="R&amp;T Level 7"),G18&lt;&gt;""),$C18*$AD$3,IF(SUMIF(Grades!$A:$A,$B$4,Grades!BQ:BQ)=1,$C18*$AD$3,"")))))))))</f>
        <v>7234.1100000000006</v>
      </c>
      <c r="I18" s="27">
        <f ca="1">IF($B18="","",ROUND(($C18-(Thresholds_Rates!$C$5*12))*Thresholds_Rates!$C$10,0))</f>
        <v>1462</v>
      </c>
      <c r="J18" s="27">
        <f ca="1">IF(B18="","",IF(AND($B$4="Salary Points 2 to 57",B18&gt;$AA$3),"-",IF(SUMIF(Grades!$A:$A,$B$4,Grades!BR:BR)=0,"-",IF(AND($B$4="Salary Points 2 to 57",B18&lt;=$AA$3),$C18*$AD$4,IF(AND(OR($B$4="New Consultant Contract"),$B18&lt;&gt;""),$C18*$AD$4,IF(AND(OR($B$4="Clinical Lecturer / Medical Research Fellow",$B$4="Clinical Consultant - Old Contract (GP)"),$B18&lt;&gt;""),$C18*$AD$4,IF(AND(OR($B$4="APM Level 7",$B$4="R&amp;T Level 7"),I18&lt;&gt;""),$C18*$AD$4,IF(SUMIF(Grades!$A:$A,$B$4,Grades!BQ:BQ)=1,$C18*$AD$4,""))))))))</f>
        <v>1854.9</v>
      </c>
      <c r="K18" s="6"/>
      <c r="L18" s="27" t="str">
        <f t="shared" ca="1" si="0"/>
        <v>-</v>
      </c>
      <c r="M18" s="27" t="str">
        <f t="shared" ca="1" si="1"/>
        <v>-</v>
      </c>
      <c r="N18" s="27">
        <f t="shared" ca="1" si="2"/>
        <v>26810.526000000002</v>
      </c>
      <c r="O18" s="27">
        <f t="shared" ca="1" si="3"/>
        <v>21865.9</v>
      </c>
      <c r="P18" s="27">
        <f t="shared" ca="1" si="4"/>
        <v>20011</v>
      </c>
      <c r="R18" s="31" t="str">
        <f ca="1">IF(B18="","",IF($B$4="R&amp;T Level 5 - Clinical Lecturers (Vet School)",SUMIF(Points_Lookup!$M:$M,$B18,Points_Lookup!N:N),IF($B$4="R&amp;T Level 6 - Clinical Associate Professors and Clinical Readers (Vet School)",SUMIF(Points_Lookup!$T:$T,$B18,Points_Lookup!U:U),"")))</f>
        <v/>
      </c>
      <c r="S18" s="32" t="str">
        <f ca="1">IF(B18="","",IF($B$4="R&amp;T Level 5 - Clinical Lecturers (Vet School)",$C18-SUMIF(Points_Lookup!$M:$M,$B18,Points_Lookup!$O:$O),IF($B$4="R&amp;T Level 6 - Clinical Associate Professors and Clinical Readers (Vet School)",$C18-SUMIF(Points_Lookup!$T:$T,$B18,Points_Lookup!$V:$V),"")))</f>
        <v/>
      </c>
      <c r="T18" s="31" t="str">
        <f ca="1">IF(B18="","",IF($B$4="R&amp;T Level 5 - Clinical Lecturers (Vet School)",SUMIF(Points_Lookup!$M:$M,$B18,Points_Lookup!Q:Q),IF($B$4="R&amp;T Level 6 - Clinical Associate Professors and Clinical Readers (Vet School)",SUMIF(Points_Lookup!$T:$T,$B18,Points_Lookup!X:X),"")))</f>
        <v/>
      </c>
      <c r="U18" s="32" t="str">
        <f t="shared" ca="1" si="5"/>
        <v/>
      </c>
      <c r="Z18" s="28">
        <v>11</v>
      </c>
    </row>
    <row r="19" spans="2:26" x14ac:dyDescent="0.25">
      <c r="B19" s="6">
        <f ca="1">IFERROR(INDEX(Points_Lookup!A:A,MATCH($Z19,Points_Lookup!$AE:$AE,0)),"")</f>
        <v>13</v>
      </c>
      <c r="C19" s="27">
        <f ca="1">IF(B19="","",IF($B$4="Apprenticeship",SUMIF(Points_Lookup!AA:AA,B19,Points_Lookup!AC:AC),IF(AND(OR($B$4="New Consultant Contract"),$B19&lt;&gt;""),INDEX(Points_Lookup!K:K,MATCH($B19,Points_Lookup!$J:$J,0)),IF(AND(OR($B$4="Clinical Lecturer / Medical Research Fellow",$B$4="Clinical Consultant - Old Contract (GP)"),$B19&lt;&gt;""),INDEX(Points_Lookup!H:H,MATCH($B19,Points_Lookup!$G:$G,0)),IF(AND(OR($B$4="APM Level 7",$B$4="R&amp;T Level 7",$B$4="APM Level 8"),B19&lt;&gt;""),INDEX(Points_Lookup!E:E,MATCH($Z19,Points_Lookup!$AE:$AE,0)),IF($B$4="R&amp;T Level 5 - Clinical Lecturers (Vet School)",SUMIF(Points_Lookup!$M:$M,$B19,Points_Lookup!$P:$P),IF($B$4="R&amp;T Level 6 - Clinical Associate Professors and Clinical Readers (Vet School)",SUMIF(Points_Lookup!$T:$T,$B19,Points_Lookup!$W:$W),IFERROR(INDEX(Points_Lookup!B:B,MATCH($Z19,Points_Lookup!$AE:$AE,0)),""))))))))</f>
        <v>19083</v>
      </c>
      <c r="D19" s="45"/>
      <c r="E19" s="27">
        <f ca="1">IF($B19="","",IF($B$4="Apprenticeship","-",SUM(IF(SUM(C19/12)&lt;Thresholds_Rates!$C$7,(SUM(C19/12)-Thresholds_Rates!$C$5)*Thresholds_Rates!$C$9,(Thresholds_Rates!$C$7-Thresholds_Rates!$C$5)*Thresholds_Rates!$C$9),IF(SUM(C19/12)&gt;Thresholds_Rates!$C$7,((SUM(C19/12)-Thresholds_Rates!$C$7)*Thresholds_Rates!$C$10),0),SUM(Thresholds_Rates!$C$5-Thresholds_Rates!$C$4)*-Thresholds_Rates!$C$8)*12))</f>
        <v>1082.952</v>
      </c>
      <c r="F19" s="27" t="str">
        <f ca="1">IF($B19="","",IF(AND($B$4="Salary Points 2 to 57",B19&lt;$AA$2),"-",IF(SUMIF(Grades!$A:$A,$B$4,Grades!BO:BO)=0,"-",IF(AND($B$4="Salary Points 2 to 57",B19&gt;=$AA$2),$C19*$AD$1,IF(AND(OR($B$4="New Consultant Contract"),$B19&lt;&gt;""),$C19*$AD$1,IF(AND(OR($B$4="Clinical Lecturer / Medical Research Fellow",$B$4="Clinical Consultant - Old Contract (GP)"),$B19&lt;&gt;""),$C19*$AD$1,IF(AND(OR($B$4="APM Level 7",$B$4="R&amp;T Level 7"),E19&lt;&gt;""),$C19*$AD$1,IF(SUMIF(Grades!$A:$A,$B$4,Grades!BO:BO)=1,$C19*$AD$1,""))))))))</f>
        <v>-</v>
      </c>
      <c r="G19" s="27" t="str">
        <f ca="1">IF(B19="","",IF($B$4="Salary Points 2 to 57","-",IF(SUMIF(Grades!$A:$A,$B$4,Grades!BP:BP)=0,"-",IF(AND(OR($B$4="New Consultant Contract"),$B19&lt;&gt;""),$C19*$AD$2,IF(AND(OR($B$4="Clinical Lecturer / Medical Research Fellow",$B$4="Clinical Consultant - Old Contract (GP)"),$B19&lt;&gt;""),$C19*$AD$2,IF(AND(OR($B$4="APM Level 7",$B$4="R&amp;T Level 7"),F19&lt;&gt;""),$C19*$AD$2,IF(SUMIF(Grades!$A:$A,$B$4,Grades!BP:BP)=1,$C19*$AD$2,"")))))))</f>
        <v>-</v>
      </c>
      <c r="H19" s="27">
        <f ca="1">IF($B$4="Apprenticeship","-",IF(B19="","",IF(SUMIF(Grades!$A:$A,$B$4,Grades!BQ:BQ)=0,"-",IF(AND($B$4="Salary Points 2 to 57",B19&gt;$AA$3),"-",IF(AND($B$4="Salary Points 2 to 57",B19&lt;=$AA$3),$C19*$AD$3,IF(AND(OR($B$4="New Consultant Contract"),$B19&lt;&gt;""),$C19*$AD$3,IF(AND(OR($B$4="Clinical Lecturer / Medical Research Fellow",$B$4="Clinical Consultant - Old Contract (GP)"),$B19&lt;&gt;""),$C19*$AD$3,IF(AND(OR($B$4="APM Level 7",$B$4="R&amp;T Level 7"),G19&lt;&gt;""),$C19*$AD$3,IF(SUMIF(Grades!$A:$A,$B$4,Grades!BQ:BQ)=1,$C19*$AD$3,"")))))))))</f>
        <v>7442.37</v>
      </c>
      <c r="I19" s="27">
        <f ca="1">IF($B19="","",ROUND(($C19-(Thresholds_Rates!$C$5*12))*Thresholds_Rates!$C$10,0))</f>
        <v>1536</v>
      </c>
      <c r="J19" s="27">
        <f ca="1">IF(B19="","",IF(AND($B$4="Salary Points 2 to 57",B19&gt;$AA$3),"-",IF(SUMIF(Grades!$A:$A,$B$4,Grades!BR:BR)=0,"-",IF(AND($B$4="Salary Points 2 to 57",B19&lt;=$AA$3),$C19*$AD$4,IF(AND(OR($B$4="New Consultant Contract"),$B19&lt;&gt;""),$C19*$AD$4,IF(AND(OR($B$4="Clinical Lecturer / Medical Research Fellow",$B$4="Clinical Consultant - Old Contract (GP)"),$B19&lt;&gt;""),$C19*$AD$4,IF(AND(OR($B$4="APM Level 7",$B$4="R&amp;T Level 7"),I19&lt;&gt;""),$C19*$AD$4,IF(SUMIF(Grades!$A:$A,$B$4,Grades!BQ:BQ)=1,$C19*$AD$4,""))))))))</f>
        <v>1908.3000000000002</v>
      </c>
      <c r="K19" s="6"/>
      <c r="L19" s="27" t="str">
        <f t="shared" ca="1" si="0"/>
        <v>-</v>
      </c>
      <c r="M19" s="27" t="str">
        <f t="shared" ca="1" si="1"/>
        <v>-</v>
      </c>
      <c r="N19" s="27">
        <f t="shared" ca="1" si="2"/>
        <v>27608.322</v>
      </c>
      <c r="O19" s="27">
        <f t="shared" ca="1" si="3"/>
        <v>22527.3</v>
      </c>
      <c r="P19" s="27">
        <f t="shared" ca="1" si="4"/>
        <v>20619</v>
      </c>
      <c r="R19" s="31" t="str">
        <f ca="1">IF(B19="","",IF($B$4="R&amp;T Level 5 - Clinical Lecturers (Vet School)",SUMIF(Points_Lookup!$M:$M,$B19,Points_Lookup!N:N),IF($B$4="R&amp;T Level 6 - Clinical Associate Professors and Clinical Readers (Vet School)",SUMIF(Points_Lookup!$T:$T,$B19,Points_Lookup!U:U),"")))</f>
        <v/>
      </c>
      <c r="S19" s="32" t="str">
        <f ca="1">IF(B19="","",IF($B$4="R&amp;T Level 5 - Clinical Lecturers (Vet School)",$C19-SUMIF(Points_Lookup!$M:$M,$B19,Points_Lookup!$O:$O),IF($B$4="R&amp;T Level 6 - Clinical Associate Professors and Clinical Readers (Vet School)",$C19-SUMIF(Points_Lookup!$T:$T,$B19,Points_Lookup!$V:$V),"")))</f>
        <v/>
      </c>
      <c r="T19" s="31" t="str">
        <f ca="1">IF(B19="","",IF($B$4="R&amp;T Level 5 - Clinical Lecturers (Vet School)",SUMIF(Points_Lookup!$M:$M,$B19,Points_Lookup!Q:Q),IF($B$4="R&amp;T Level 6 - Clinical Associate Professors and Clinical Readers (Vet School)",SUMIF(Points_Lookup!$T:$T,$B19,Points_Lookup!X:X),"")))</f>
        <v/>
      </c>
      <c r="U19" s="32" t="str">
        <f t="shared" ca="1" si="5"/>
        <v/>
      </c>
      <c r="Z19" s="28">
        <v>12</v>
      </c>
    </row>
    <row r="20" spans="2:26" x14ac:dyDescent="0.25">
      <c r="B20" s="6">
        <f ca="1">IFERROR(INDEX(Points_Lookup!A:A,MATCH($Z20,Points_Lookup!$AE:$AE,0)),"")</f>
        <v>14</v>
      </c>
      <c r="C20" s="27">
        <f ca="1">IF(B20="","",IF($B$4="Apprenticeship",SUMIF(Points_Lookup!AA:AA,B20,Points_Lookup!AC:AC),IF(AND(OR($B$4="New Consultant Contract"),$B20&lt;&gt;""),INDEX(Points_Lookup!K:K,MATCH($B20,Points_Lookup!$J:$J,0)),IF(AND(OR($B$4="Clinical Lecturer / Medical Research Fellow",$B$4="Clinical Consultant - Old Contract (GP)"),$B20&lt;&gt;""),INDEX(Points_Lookup!H:H,MATCH($B20,Points_Lookup!$G:$G,0)),IF(AND(OR($B$4="APM Level 7",$B$4="R&amp;T Level 7",$B$4="APM Level 8"),B20&lt;&gt;""),INDEX(Points_Lookup!E:E,MATCH($Z20,Points_Lookup!$AE:$AE,0)),IF($B$4="R&amp;T Level 5 - Clinical Lecturers (Vet School)",SUMIF(Points_Lookup!$M:$M,$B20,Points_Lookup!$P:$P),IF($B$4="R&amp;T Level 6 - Clinical Associate Professors and Clinical Readers (Vet School)",SUMIF(Points_Lookup!$T:$T,$B20,Points_Lookup!$W:$W),IFERROR(INDEX(Points_Lookup!B:B,MATCH($Z20,Points_Lookup!$AE:$AE,0)),""))))))))</f>
        <v>19632</v>
      </c>
      <c r="D20" s="45"/>
      <c r="E20" s="27">
        <f ca="1">IF($B20="","",IF($B$4="Apprenticeship","-",SUM(IF(SUM(C20/12)&lt;Thresholds_Rates!$C$7,(SUM(C20/12)-Thresholds_Rates!$C$5)*Thresholds_Rates!$C$9,(Thresholds_Rates!$C$7-Thresholds_Rates!$C$5)*Thresholds_Rates!$C$9),IF(SUM(C20/12)&gt;Thresholds_Rates!$C$7,((SUM(C20/12)-Thresholds_Rates!$C$7)*Thresholds_Rates!$C$10),0),SUM(Thresholds_Rates!$C$5-Thresholds_Rates!$C$4)*-Thresholds_Rates!$C$8)*12))</f>
        <v>1140.0479999999998</v>
      </c>
      <c r="F20" s="27" t="str">
        <f ca="1">IF($B20="","",IF(AND($B$4="Salary Points 2 to 57",B20&lt;$AA$2),"-",IF(SUMIF(Grades!$A:$A,$B$4,Grades!BO:BO)=0,"-",IF(AND($B$4="Salary Points 2 to 57",B20&gt;=$AA$2),$C20*$AD$1,IF(AND(OR($B$4="New Consultant Contract"),$B20&lt;&gt;""),$C20*$AD$1,IF(AND(OR($B$4="Clinical Lecturer / Medical Research Fellow",$B$4="Clinical Consultant - Old Contract (GP)"),$B20&lt;&gt;""),$C20*$AD$1,IF(AND(OR($B$4="APM Level 7",$B$4="R&amp;T Level 7"),E20&lt;&gt;""),$C20*$AD$1,IF(SUMIF(Grades!$A:$A,$B$4,Grades!BO:BO)=1,$C20*$AD$1,""))))))))</f>
        <v>-</v>
      </c>
      <c r="G20" s="27" t="str">
        <f ca="1">IF(B20="","",IF($B$4="Salary Points 2 to 57","-",IF(SUMIF(Grades!$A:$A,$B$4,Grades!BP:BP)=0,"-",IF(AND(OR($B$4="New Consultant Contract"),$B20&lt;&gt;""),$C20*$AD$2,IF(AND(OR($B$4="Clinical Lecturer / Medical Research Fellow",$B$4="Clinical Consultant - Old Contract (GP)"),$B20&lt;&gt;""),$C20*$AD$2,IF(AND(OR($B$4="APM Level 7",$B$4="R&amp;T Level 7"),F20&lt;&gt;""),$C20*$AD$2,IF(SUMIF(Grades!$A:$A,$B$4,Grades!BP:BP)=1,$C20*$AD$2,"")))))))</f>
        <v>-</v>
      </c>
      <c r="H20" s="27">
        <f ca="1">IF($B$4="Apprenticeship","-",IF(B20="","",IF(SUMIF(Grades!$A:$A,$B$4,Grades!BQ:BQ)=0,"-",IF(AND($B$4="Salary Points 2 to 57",B20&gt;$AA$3),"-",IF(AND($B$4="Salary Points 2 to 57",B20&lt;=$AA$3),$C20*$AD$3,IF(AND(OR($B$4="New Consultant Contract"),$B20&lt;&gt;""),$C20*$AD$3,IF(AND(OR($B$4="Clinical Lecturer / Medical Research Fellow",$B$4="Clinical Consultant - Old Contract (GP)"),$B20&lt;&gt;""),$C20*$AD$3,IF(AND(OR($B$4="APM Level 7",$B$4="R&amp;T Level 7"),G20&lt;&gt;""),$C20*$AD$3,IF(SUMIF(Grades!$A:$A,$B$4,Grades!BQ:BQ)=1,$C20*$AD$3,"")))))))))</f>
        <v>7656.4800000000005</v>
      </c>
      <c r="I20" s="27">
        <f ca="1">IF($B20="","",ROUND(($C20-(Thresholds_Rates!$C$5*12))*Thresholds_Rates!$C$10,0))</f>
        <v>1611</v>
      </c>
      <c r="J20" s="27">
        <f ca="1">IF(B20="","",IF(AND($B$4="Salary Points 2 to 57",B20&gt;$AA$3),"-",IF(SUMIF(Grades!$A:$A,$B$4,Grades!BR:BR)=0,"-",IF(AND($B$4="Salary Points 2 to 57",B20&lt;=$AA$3),$C20*$AD$4,IF(AND(OR($B$4="New Consultant Contract"),$B20&lt;&gt;""),$C20*$AD$4,IF(AND(OR($B$4="Clinical Lecturer / Medical Research Fellow",$B$4="Clinical Consultant - Old Contract (GP)"),$B20&lt;&gt;""),$C20*$AD$4,IF(AND(OR($B$4="APM Level 7",$B$4="R&amp;T Level 7"),I20&lt;&gt;""),$C20*$AD$4,IF(SUMIF(Grades!$A:$A,$B$4,Grades!BQ:BQ)=1,$C20*$AD$4,""))))))))</f>
        <v>1963.2</v>
      </c>
      <c r="K20" s="6"/>
      <c r="L20" s="27" t="str">
        <f t="shared" ca="1" si="0"/>
        <v>-</v>
      </c>
      <c r="M20" s="27" t="str">
        <f t="shared" ca="1" si="1"/>
        <v>-</v>
      </c>
      <c r="N20" s="27">
        <f t="shared" ca="1" si="2"/>
        <v>28428.527999999998</v>
      </c>
      <c r="O20" s="27">
        <f t="shared" ca="1" si="3"/>
        <v>23206.2</v>
      </c>
      <c r="P20" s="27">
        <f t="shared" ca="1" si="4"/>
        <v>21243</v>
      </c>
      <c r="R20" s="31" t="str">
        <f ca="1">IF(B20="","",IF($B$4="R&amp;T Level 5 - Clinical Lecturers (Vet School)",SUMIF(Points_Lookup!$M:$M,$B20,Points_Lookup!N:N),IF($B$4="R&amp;T Level 6 - Clinical Associate Professors and Clinical Readers (Vet School)",SUMIF(Points_Lookup!$T:$T,$B20,Points_Lookup!U:U),"")))</f>
        <v/>
      </c>
      <c r="S20" s="32" t="str">
        <f ca="1">IF(B20="","",IF($B$4="R&amp;T Level 5 - Clinical Lecturers (Vet School)",$C20-SUMIF(Points_Lookup!$M:$M,$B20,Points_Lookup!$O:$O),IF($B$4="R&amp;T Level 6 - Clinical Associate Professors and Clinical Readers (Vet School)",$C20-SUMIF(Points_Lookup!$T:$T,$B20,Points_Lookup!$V:$V),"")))</f>
        <v/>
      </c>
      <c r="T20" s="31" t="str">
        <f ca="1">IF(B20="","",IF($B$4="R&amp;T Level 5 - Clinical Lecturers (Vet School)",SUMIF(Points_Lookup!$M:$M,$B20,Points_Lookup!Q:Q),IF($B$4="R&amp;T Level 6 - Clinical Associate Professors and Clinical Readers (Vet School)",SUMIF(Points_Lookup!$T:$T,$B20,Points_Lookup!X:X),"")))</f>
        <v/>
      </c>
      <c r="U20" s="32" t="str">
        <f t="shared" ca="1" si="5"/>
        <v/>
      </c>
      <c r="Z20" s="28">
        <v>13</v>
      </c>
    </row>
    <row r="21" spans="2:26" x14ac:dyDescent="0.25">
      <c r="B21" s="6">
        <f ca="1">IFERROR(INDEX(Points_Lookup!A:A,MATCH($Z21,Points_Lookup!$AE:$AE,0)),"")</f>
        <v>15</v>
      </c>
      <c r="C21" s="27">
        <f ca="1">IF(B21="","",IF($B$4="Apprenticeship",SUMIF(Points_Lookup!AA:AA,B21,Points_Lookup!AC:AC),IF(AND(OR($B$4="New Consultant Contract"),$B21&lt;&gt;""),INDEX(Points_Lookup!K:K,MATCH($B21,Points_Lookup!$J:$J,0)),IF(AND(OR($B$4="Clinical Lecturer / Medical Research Fellow",$B$4="Clinical Consultant - Old Contract (GP)"),$B21&lt;&gt;""),INDEX(Points_Lookup!H:H,MATCH($B21,Points_Lookup!$G:$G,0)),IF(AND(OR($B$4="APM Level 7",$B$4="R&amp;T Level 7",$B$4="APM Level 8"),B21&lt;&gt;""),INDEX(Points_Lookup!E:E,MATCH($Z21,Points_Lookup!$AE:$AE,0)),IF($B$4="R&amp;T Level 5 - Clinical Lecturers (Vet School)",SUMIF(Points_Lookup!$M:$M,$B21,Points_Lookup!$P:$P),IF($B$4="R&amp;T Level 6 - Clinical Associate Professors and Clinical Readers (Vet School)",SUMIF(Points_Lookup!$T:$T,$B21,Points_Lookup!$W:$W),IFERROR(INDEX(Points_Lookup!B:B,MATCH($Z21,Points_Lookup!$AE:$AE,0)),""))))))))</f>
        <v>20198</v>
      </c>
      <c r="D21" s="45"/>
      <c r="E21" s="27">
        <f ca="1">IF($B21="","",IF($B$4="Apprenticeship","-",SUM(IF(SUM(C21/12)&lt;Thresholds_Rates!$C$7,(SUM(C21/12)-Thresholds_Rates!$C$5)*Thresholds_Rates!$C$9,(Thresholds_Rates!$C$7-Thresholds_Rates!$C$5)*Thresholds_Rates!$C$9),IF(SUM(C21/12)&gt;Thresholds_Rates!$C$7,((SUM(C21/12)-Thresholds_Rates!$C$7)*Thresholds_Rates!$C$10),0),SUM(Thresholds_Rates!$C$5-Thresholds_Rates!$C$4)*-Thresholds_Rates!$C$8)*12))</f>
        <v>1198.912</v>
      </c>
      <c r="F21" s="27" t="str">
        <f ca="1">IF($B21="","",IF(AND($B$4="Salary Points 2 to 57",B21&lt;$AA$2),"-",IF(SUMIF(Grades!$A:$A,$B$4,Grades!BO:BO)=0,"-",IF(AND($B$4="Salary Points 2 to 57",B21&gt;=$AA$2),$C21*$AD$1,IF(AND(OR($B$4="New Consultant Contract"),$B21&lt;&gt;""),$C21*$AD$1,IF(AND(OR($B$4="Clinical Lecturer / Medical Research Fellow",$B$4="Clinical Consultant - Old Contract (GP)"),$B21&lt;&gt;""),$C21*$AD$1,IF(AND(OR($B$4="APM Level 7",$B$4="R&amp;T Level 7"),E21&lt;&gt;""),$C21*$AD$1,IF(SUMIF(Grades!$A:$A,$B$4,Grades!BO:BO)=1,$C21*$AD$1,""))))))))</f>
        <v>-</v>
      </c>
      <c r="G21" s="27" t="str">
        <f ca="1">IF(B21="","",IF($B$4="Salary Points 2 to 57","-",IF(SUMIF(Grades!$A:$A,$B$4,Grades!BP:BP)=0,"-",IF(AND(OR($B$4="New Consultant Contract"),$B21&lt;&gt;""),$C21*$AD$2,IF(AND(OR($B$4="Clinical Lecturer / Medical Research Fellow",$B$4="Clinical Consultant - Old Contract (GP)"),$B21&lt;&gt;""),$C21*$AD$2,IF(AND(OR($B$4="APM Level 7",$B$4="R&amp;T Level 7"),F21&lt;&gt;""),$C21*$AD$2,IF(SUMIF(Grades!$A:$A,$B$4,Grades!BP:BP)=1,$C21*$AD$2,"")))))))</f>
        <v>-</v>
      </c>
      <c r="H21" s="27">
        <f ca="1">IF($B$4="Apprenticeship","-",IF(B21="","",IF(SUMIF(Grades!$A:$A,$B$4,Grades!BQ:BQ)=0,"-",IF(AND($B$4="Salary Points 2 to 57",B21&gt;$AA$3),"-",IF(AND($B$4="Salary Points 2 to 57",B21&lt;=$AA$3),$C21*$AD$3,IF(AND(OR($B$4="New Consultant Contract"),$B21&lt;&gt;""),$C21*$AD$3,IF(AND(OR($B$4="Clinical Lecturer / Medical Research Fellow",$B$4="Clinical Consultant - Old Contract (GP)"),$B21&lt;&gt;""),$C21*$AD$3,IF(AND(OR($B$4="APM Level 7",$B$4="R&amp;T Level 7"),G21&lt;&gt;""),$C21*$AD$3,IF(SUMIF(Grades!$A:$A,$B$4,Grades!BQ:BQ)=1,$C21*$AD$3,"")))))))))</f>
        <v>7877.22</v>
      </c>
      <c r="I21" s="27">
        <f ca="1">IF($B21="","",ROUND(($C21-(Thresholds_Rates!$C$5*12))*Thresholds_Rates!$C$10,0))</f>
        <v>1689</v>
      </c>
      <c r="J21" s="27">
        <f ca="1">IF(B21="","",IF(AND($B$4="Salary Points 2 to 57",B21&gt;$AA$3),"-",IF(SUMIF(Grades!$A:$A,$B$4,Grades!BR:BR)=0,"-",IF(AND($B$4="Salary Points 2 to 57",B21&lt;=$AA$3),$C21*$AD$4,IF(AND(OR($B$4="New Consultant Contract"),$B21&lt;&gt;""),$C21*$AD$4,IF(AND(OR($B$4="Clinical Lecturer / Medical Research Fellow",$B$4="Clinical Consultant - Old Contract (GP)"),$B21&lt;&gt;""),$C21*$AD$4,IF(AND(OR($B$4="APM Level 7",$B$4="R&amp;T Level 7"),I21&lt;&gt;""),$C21*$AD$4,IF(SUMIF(Grades!$A:$A,$B$4,Grades!BQ:BQ)=1,$C21*$AD$4,""))))))))</f>
        <v>2019.8000000000002</v>
      </c>
      <c r="K21" s="6"/>
      <c r="L21" s="27" t="str">
        <f t="shared" ca="1" si="0"/>
        <v>-</v>
      </c>
      <c r="M21" s="27" t="str">
        <f t="shared" ca="1" si="1"/>
        <v>-</v>
      </c>
      <c r="N21" s="27">
        <f t="shared" ca="1" si="2"/>
        <v>29274.132000000001</v>
      </c>
      <c r="O21" s="27">
        <f t="shared" ca="1" si="3"/>
        <v>23906.799999999999</v>
      </c>
      <c r="P21" s="27">
        <f t="shared" ca="1" si="4"/>
        <v>21887</v>
      </c>
      <c r="R21" s="31" t="str">
        <f ca="1">IF(B21="","",IF($B$4="R&amp;T Level 5 - Clinical Lecturers (Vet School)",SUMIF(Points_Lookup!$M:$M,$B21,Points_Lookup!N:N),IF($B$4="R&amp;T Level 6 - Clinical Associate Professors and Clinical Readers (Vet School)",SUMIF(Points_Lookup!$T:$T,$B21,Points_Lookup!U:U),"")))</f>
        <v/>
      </c>
      <c r="S21" s="32" t="str">
        <f ca="1">IF(B21="","",IF($B$4="R&amp;T Level 5 - Clinical Lecturers (Vet School)",$C21-SUMIF(Points_Lookup!$M:$M,$B21,Points_Lookup!$O:$O),IF($B$4="R&amp;T Level 6 - Clinical Associate Professors and Clinical Readers (Vet School)",$C21-SUMIF(Points_Lookup!$T:$T,$B21,Points_Lookup!$V:$V),"")))</f>
        <v/>
      </c>
      <c r="T21" s="31" t="str">
        <f ca="1">IF(B21="","",IF($B$4="R&amp;T Level 5 - Clinical Lecturers (Vet School)",SUMIF(Points_Lookup!$M:$M,$B21,Points_Lookup!Q:Q),IF($B$4="R&amp;T Level 6 - Clinical Associate Professors and Clinical Readers (Vet School)",SUMIF(Points_Lookup!$T:$T,$B21,Points_Lookup!X:X),"")))</f>
        <v/>
      </c>
      <c r="U21" s="32" t="str">
        <f t="shared" ca="1" si="5"/>
        <v/>
      </c>
      <c r="Z21" s="28">
        <v>14</v>
      </c>
    </row>
    <row r="22" spans="2:26" x14ac:dyDescent="0.25">
      <c r="B22" s="6">
        <f ca="1">IFERROR(INDEX(Points_Lookup!A:A,MATCH($Z22,Points_Lookup!$AE:$AE,0)),"")</f>
        <v>16</v>
      </c>
      <c r="C22" s="27">
        <f ca="1">IF(B22="","",IF($B$4="Apprenticeship",SUMIF(Points_Lookup!AA:AA,B22,Points_Lookup!AC:AC),IF(AND(OR($B$4="New Consultant Contract"),$B22&lt;&gt;""),INDEX(Points_Lookup!K:K,MATCH($B22,Points_Lookup!$J:$J,0)),IF(AND(OR($B$4="Clinical Lecturer / Medical Research Fellow",$B$4="Clinical Consultant - Old Contract (GP)"),$B22&lt;&gt;""),INDEX(Points_Lookup!H:H,MATCH($B22,Points_Lookup!$G:$G,0)),IF(AND(OR($B$4="APM Level 7",$B$4="R&amp;T Level 7",$B$4="APM Level 8"),B22&lt;&gt;""),INDEX(Points_Lookup!E:E,MATCH($Z22,Points_Lookup!$AE:$AE,0)),IF($B$4="R&amp;T Level 5 - Clinical Lecturers (Vet School)",SUMIF(Points_Lookup!$M:$M,$B22,Points_Lookup!$P:$P),IF($B$4="R&amp;T Level 6 - Clinical Associate Professors and Clinical Readers (Vet School)",SUMIF(Points_Lookup!$T:$T,$B22,Points_Lookup!$W:$W),IFERROR(INDEX(Points_Lookup!B:B,MATCH($Z22,Points_Lookup!$AE:$AE,0)),""))))))))</f>
        <v>20781</v>
      </c>
      <c r="D22" s="45"/>
      <c r="E22" s="27">
        <f ca="1">IF($B22="","",IF($B$4="Apprenticeship","-",SUM(IF(SUM(C22/12)&lt;Thresholds_Rates!$C$7,(SUM(C22/12)-Thresholds_Rates!$C$5)*Thresholds_Rates!$C$9,(Thresholds_Rates!$C$7-Thresholds_Rates!$C$5)*Thresholds_Rates!$C$9),IF(SUM(C22/12)&gt;Thresholds_Rates!$C$7,((SUM(C22/12)-Thresholds_Rates!$C$7)*Thresholds_Rates!$C$10),0),SUM(Thresholds_Rates!$C$5-Thresholds_Rates!$C$4)*-Thresholds_Rates!$C$8)*12))</f>
        <v>1259.5439999999999</v>
      </c>
      <c r="F22" s="27" t="str">
        <f ca="1">IF($B22="","",IF(AND($B$4="Salary Points 2 to 57",B22&lt;$AA$2),"-",IF(SUMIF(Grades!$A:$A,$B$4,Grades!BO:BO)=0,"-",IF(AND($B$4="Salary Points 2 to 57",B22&gt;=$AA$2),$C22*$AD$1,IF(AND(OR($B$4="New Consultant Contract"),$B22&lt;&gt;""),$C22*$AD$1,IF(AND(OR($B$4="Clinical Lecturer / Medical Research Fellow",$B$4="Clinical Consultant - Old Contract (GP)"),$B22&lt;&gt;""),$C22*$AD$1,IF(AND(OR($B$4="APM Level 7",$B$4="R&amp;T Level 7"),E22&lt;&gt;""),$C22*$AD$1,IF(SUMIF(Grades!$A:$A,$B$4,Grades!BO:BO)=1,$C22*$AD$1,""))))))))</f>
        <v>-</v>
      </c>
      <c r="G22" s="27" t="str">
        <f ca="1">IF(B22="","",IF($B$4="Salary Points 2 to 57","-",IF(SUMIF(Grades!$A:$A,$B$4,Grades!BP:BP)=0,"-",IF(AND(OR($B$4="New Consultant Contract"),$B22&lt;&gt;""),$C22*$AD$2,IF(AND(OR($B$4="Clinical Lecturer / Medical Research Fellow",$B$4="Clinical Consultant - Old Contract (GP)"),$B22&lt;&gt;""),$C22*$AD$2,IF(AND(OR($B$4="APM Level 7",$B$4="R&amp;T Level 7"),F22&lt;&gt;""),$C22*$AD$2,IF(SUMIF(Grades!$A:$A,$B$4,Grades!BP:BP)=1,$C22*$AD$2,"")))))))</f>
        <v>-</v>
      </c>
      <c r="H22" s="27">
        <f ca="1">IF($B$4="Apprenticeship","-",IF(B22="","",IF(SUMIF(Grades!$A:$A,$B$4,Grades!BQ:BQ)=0,"-",IF(AND($B$4="Salary Points 2 to 57",B22&gt;$AA$3),"-",IF(AND($B$4="Salary Points 2 to 57",B22&lt;=$AA$3),$C22*$AD$3,IF(AND(OR($B$4="New Consultant Contract"),$B22&lt;&gt;""),$C22*$AD$3,IF(AND(OR($B$4="Clinical Lecturer / Medical Research Fellow",$B$4="Clinical Consultant - Old Contract (GP)"),$B22&lt;&gt;""),$C22*$AD$3,IF(AND(OR($B$4="APM Level 7",$B$4="R&amp;T Level 7"),G22&lt;&gt;""),$C22*$AD$3,IF(SUMIF(Grades!$A:$A,$B$4,Grades!BQ:BQ)=1,$C22*$AD$3,"")))))))))</f>
        <v>8104.59</v>
      </c>
      <c r="I22" s="27">
        <f ca="1">IF($B22="","",ROUND(($C22-(Thresholds_Rates!$C$5*12))*Thresholds_Rates!$C$10,0))</f>
        <v>1770</v>
      </c>
      <c r="J22" s="27">
        <f ca="1">IF(B22="","",IF(AND($B$4="Salary Points 2 to 57",B22&gt;$AA$3),"-",IF(SUMIF(Grades!$A:$A,$B$4,Grades!BR:BR)=0,"-",IF(AND($B$4="Salary Points 2 to 57",B22&lt;=$AA$3),$C22*$AD$4,IF(AND(OR($B$4="New Consultant Contract"),$B22&lt;&gt;""),$C22*$AD$4,IF(AND(OR($B$4="Clinical Lecturer / Medical Research Fellow",$B$4="Clinical Consultant - Old Contract (GP)"),$B22&lt;&gt;""),$C22*$AD$4,IF(AND(OR($B$4="APM Level 7",$B$4="R&amp;T Level 7"),I22&lt;&gt;""),$C22*$AD$4,IF(SUMIF(Grades!$A:$A,$B$4,Grades!BQ:BQ)=1,$C22*$AD$4,""))))))))</f>
        <v>2078.1</v>
      </c>
      <c r="K22" s="6"/>
      <c r="L22" s="27" t="str">
        <f t="shared" ca="1" si="0"/>
        <v>-</v>
      </c>
      <c r="M22" s="27" t="str">
        <f t="shared" ca="1" si="1"/>
        <v>-</v>
      </c>
      <c r="N22" s="27">
        <f t="shared" ca="1" si="2"/>
        <v>30145.134000000002</v>
      </c>
      <c r="O22" s="27">
        <f t="shared" ca="1" si="3"/>
        <v>24629.1</v>
      </c>
      <c r="P22" s="27">
        <f t="shared" ca="1" si="4"/>
        <v>22551</v>
      </c>
      <c r="R22" s="31" t="str">
        <f ca="1">IF(B22="","",IF($B$4="R&amp;T Level 5 - Clinical Lecturers (Vet School)",SUMIF(Points_Lookup!$M:$M,$B22,Points_Lookup!N:N),IF($B$4="R&amp;T Level 6 - Clinical Associate Professors and Clinical Readers (Vet School)",SUMIF(Points_Lookup!$T:$T,$B22,Points_Lookup!U:U),"")))</f>
        <v/>
      </c>
      <c r="S22" s="32" t="str">
        <f ca="1">IF(B22="","",IF($B$4="R&amp;T Level 5 - Clinical Lecturers (Vet School)",$C22-SUMIF(Points_Lookup!$M:$M,$B22,Points_Lookup!$O:$O),IF($B$4="R&amp;T Level 6 - Clinical Associate Professors and Clinical Readers (Vet School)",$C22-SUMIF(Points_Lookup!$T:$T,$B22,Points_Lookup!$V:$V),"")))</f>
        <v/>
      </c>
      <c r="T22" s="31" t="str">
        <f ca="1">IF(B22="","",IF($B$4="R&amp;T Level 5 - Clinical Lecturers (Vet School)",SUMIF(Points_Lookup!$M:$M,$B22,Points_Lookup!Q:Q),IF($B$4="R&amp;T Level 6 - Clinical Associate Professors and Clinical Readers (Vet School)",SUMIF(Points_Lookup!$T:$T,$B22,Points_Lookup!X:X),"")))</f>
        <v/>
      </c>
      <c r="U22" s="32" t="str">
        <f t="shared" ca="1" si="5"/>
        <v/>
      </c>
      <c r="Z22" s="28">
        <v>15</v>
      </c>
    </row>
    <row r="23" spans="2:26" x14ac:dyDescent="0.25">
      <c r="B23" s="6">
        <f ca="1">IFERROR(INDEX(Points_Lookup!A:A,MATCH($Z23,Points_Lookup!$AE:$AE,0)),"")</f>
        <v>17</v>
      </c>
      <c r="C23" s="27">
        <f ca="1">IF(B23="","",IF($B$4="Apprenticeship",SUMIF(Points_Lookup!AA:AA,B23,Points_Lookup!AC:AC),IF(AND(OR($B$4="New Consultant Contract"),$B23&lt;&gt;""),INDEX(Points_Lookup!K:K,MATCH($B23,Points_Lookup!$J:$J,0)),IF(AND(OR($B$4="Clinical Lecturer / Medical Research Fellow",$B$4="Clinical Consultant - Old Contract (GP)"),$B23&lt;&gt;""),INDEX(Points_Lookup!H:H,MATCH($B23,Points_Lookup!$G:$G,0)),IF(AND(OR($B$4="APM Level 7",$B$4="R&amp;T Level 7",$B$4="APM Level 8"),B23&lt;&gt;""),INDEX(Points_Lookup!E:E,MATCH($Z23,Points_Lookup!$AE:$AE,0)),IF($B$4="R&amp;T Level 5 - Clinical Lecturers (Vet School)",SUMIF(Points_Lookup!$M:$M,$B23,Points_Lookup!$P:$P),IF($B$4="R&amp;T Level 6 - Clinical Associate Professors and Clinical Readers (Vet School)",SUMIF(Points_Lookup!$T:$T,$B23,Points_Lookup!$W:$W),IFERROR(INDEX(Points_Lookup!B:B,MATCH($Z23,Points_Lookup!$AE:$AE,0)),""))))))))</f>
        <v>21391</v>
      </c>
      <c r="D23" s="45"/>
      <c r="E23" s="27">
        <f ca="1">IF($B23="","",IF($B$4="Apprenticeship","-",SUM(IF(SUM(C23/12)&lt;Thresholds_Rates!$C$7,(SUM(C23/12)-Thresholds_Rates!$C$5)*Thresholds_Rates!$C$9,(Thresholds_Rates!$C$7-Thresholds_Rates!$C$5)*Thresholds_Rates!$C$9),IF(SUM(C23/12)&gt;Thresholds_Rates!$C$7,((SUM(C23/12)-Thresholds_Rates!$C$7)*Thresholds_Rates!$C$10),0),SUM(Thresholds_Rates!$C$5-Thresholds_Rates!$C$4)*-Thresholds_Rates!$C$8)*12))</f>
        <v>1322.9839999999999</v>
      </c>
      <c r="F23" s="27" t="str">
        <f ca="1">IF($B23="","",IF(AND($B$4="Salary Points 2 to 57",B23&lt;$AA$2),"-",IF(SUMIF(Grades!$A:$A,$B$4,Grades!BO:BO)=0,"-",IF(AND($B$4="Salary Points 2 to 57",B23&gt;=$AA$2),$C23*$AD$1,IF(AND(OR($B$4="New Consultant Contract"),$B23&lt;&gt;""),$C23*$AD$1,IF(AND(OR($B$4="Clinical Lecturer / Medical Research Fellow",$B$4="Clinical Consultant - Old Contract (GP)"),$B23&lt;&gt;""),$C23*$AD$1,IF(AND(OR($B$4="APM Level 7",$B$4="R&amp;T Level 7"),E23&lt;&gt;""),$C23*$AD$1,IF(SUMIF(Grades!$A:$A,$B$4,Grades!BO:BO)=1,$C23*$AD$1,""))))))))</f>
        <v>-</v>
      </c>
      <c r="G23" s="27" t="str">
        <f ca="1">IF(B23="","",IF($B$4="Salary Points 2 to 57","-",IF(SUMIF(Grades!$A:$A,$B$4,Grades!BP:BP)=0,"-",IF(AND(OR($B$4="New Consultant Contract"),$B23&lt;&gt;""),$C23*$AD$2,IF(AND(OR($B$4="Clinical Lecturer / Medical Research Fellow",$B$4="Clinical Consultant - Old Contract (GP)"),$B23&lt;&gt;""),$C23*$AD$2,IF(AND(OR($B$4="APM Level 7",$B$4="R&amp;T Level 7"),F23&lt;&gt;""),$C23*$AD$2,IF(SUMIF(Grades!$A:$A,$B$4,Grades!BP:BP)=1,$C23*$AD$2,"")))))))</f>
        <v>-</v>
      </c>
      <c r="H23" s="27">
        <f ca="1">IF($B$4="Apprenticeship","-",IF(B23="","",IF(SUMIF(Grades!$A:$A,$B$4,Grades!BQ:BQ)=0,"-",IF(AND($B$4="Salary Points 2 to 57",B23&gt;$AA$3),"-",IF(AND($B$4="Salary Points 2 to 57",B23&lt;=$AA$3),$C23*$AD$3,IF(AND(OR($B$4="New Consultant Contract"),$B23&lt;&gt;""),$C23*$AD$3,IF(AND(OR($B$4="Clinical Lecturer / Medical Research Fellow",$B$4="Clinical Consultant - Old Contract (GP)"),$B23&lt;&gt;""),$C23*$AD$3,IF(AND(OR($B$4="APM Level 7",$B$4="R&amp;T Level 7"),G23&lt;&gt;""),$C23*$AD$3,IF(SUMIF(Grades!$A:$A,$B$4,Grades!BQ:BQ)=1,$C23*$AD$3,"")))))))))</f>
        <v>8342.49</v>
      </c>
      <c r="I23" s="27">
        <f ca="1">IF($B23="","",ROUND(($C23-(Thresholds_Rates!$C$5*12))*Thresholds_Rates!$C$10,0))</f>
        <v>1854</v>
      </c>
      <c r="J23" s="27">
        <f ca="1">IF(B23="","",IF(AND($B$4="Salary Points 2 to 57",B23&gt;$AA$3),"-",IF(SUMIF(Grades!$A:$A,$B$4,Grades!BR:BR)=0,"-",IF(AND($B$4="Salary Points 2 to 57",B23&lt;=$AA$3),$C23*$AD$4,IF(AND(OR($B$4="New Consultant Contract"),$B23&lt;&gt;""),$C23*$AD$4,IF(AND(OR($B$4="Clinical Lecturer / Medical Research Fellow",$B$4="Clinical Consultant - Old Contract (GP)"),$B23&lt;&gt;""),$C23*$AD$4,IF(AND(OR($B$4="APM Level 7",$B$4="R&amp;T Level 7"),I23&lt;&gt;""),$C23*$AD$4,IF(SUMIF(Grades!$A:$A,$B$4,Grades!BQ:BQ)=1,$C23*$AD$4,""))))))))</f>
        <v>2139.1</v>
      </c>
      <c r="K23" s="6"/>
      <c r="L23" s="27" t="str">
        <f t="shared" ca="1" si="0"/>
        <v>-</v>
      </c>
      <c r="M23" s="27" t="str">
        <f t="shared" ca="1" si="1"/>
        <v>-</v>
      </c>
      <c r="N23" s="27">
        <f t="shared" ca="1" si="2"/>
        <v>31056.474000000002</v>
      </c>
      <c r="O23" s="27">
        <f t="shared" ca="1" si="3"/>
        <v>25384.1</v>
      </c>
      <c r="P23" s="27">
        <f t="shared" ca="1" si="4"/>
        <v>23245</v>
      </c>
      <c r="R23" s="31" t="str">
        <f ca="1">IF(B23="","",IF($B$4="R&amp;T Level 5 - Clinical Lecturers (Vet School)",SUMIF(Points_Lookup!$M:$M,$B23,Points_Lookup!N:N),IF($B$4="R&amp;T Level 6 - Clinical Associate Professors and Clinical Readers (Vet School)",SUMIF(Points_Lookup!$T:$T,$B23,Points_Lookup!U:U),"")))</f>
        <v/>
      </c>
      <c r="S23" s="32" t="str">
        <f ca="1">IF(B23="","",IF($B$4="R&amp;T Level 5 - Clinical Lecturers (Vet School)",$C23-SUMIF(Points_Lookup!$M:$M,$B23,Points_Lookup!$O:$O),IF($B$4="R&amp;T Level 6 - Clinical Associate Professors and Clinical Readers (Vet School)",$C23-SUMIF(Points_Lookup!$T:$T,$B23,Points_Lookup!$V:$V),"")))</f>
        <v/>
      </c>
      <c r="T23" s="31" t="str">
        <f ca="1">IF(B23="","",IF($B$4="R&amp;T Level 5 - Clinical Lecturers (Vet School)",SUMIF(Points_Lookup!$M:$M,$B23,Points_Lookup!Q:Q),IF($B$4="R&amp;T Level 6 - Clinical Associate Professors and Clinical Readers (Vet School)",SUMIF(Points_Lookup!$T:$T,$B23,Points_Lookup!X:X),"")))</f>
        <v/>
      </c>
      <c r="U23" s="32" t="str">
        <f t="shared" ca="1" si="5"/>
        <v/>
      </c>
      <c r="Z23" s="28">
        <v>16</v>
      </c>
    </row>
    <row r="24" spans="2:26" x14ac:dyDescent="0.25">
      <c r="B24" s="6">
        <f ca="1">IFERROR(INDEX(Points_Lookup!A:A,MATCH($Z24,Points_Lookup!$AE:$AE,0)),"")</f>
        <v>18</v>
      </c>
      <c r="C24" s="27">
        <f ca="1">IF(B24="","",IF($B$4="Apprenticeship",SUMIF(Points_Lookup!AA:AA,B24,Points_Lookup!AC:AC),IF(AND(OR($B$4="New Consultant Contract"),$B24&lt;&gt;""),INDEX(Points_Lookup!K:K,MATCH($B24,Points_Lookup!$J:$J,0)),IF(AND(OR($B$4="Clinical Lecturer / Medical Research Fellow",$B$4="Clinical Consultant - Old Contract (GP)"),$B24&lt;&gt;""),INDEX(Points_Lookup!H:H,MATCH($B24,Points_Lookup!$G:$G,0)),IF(AND(OR($B$4="APM Level 7",$B$4="R&amp;T Level 7",$B$4="APM Level 8"),B24&lt;&gt;""),INDEX(Points_Lookup!E:E,MATCH($Z24,Points_Lookup!$AE:$AE,0)),IF($B$4="R&amp;T Level 5 - Clinical Lecturers (Vet School)",SUMIF(Points_Lookup!$M:$M,$B24,Points_Lookup!$P:$P),IF($B$4="R&amp;T Level 6 - Clinical Associate Professors and Clinical Readers (Vet School)",SUMIF(Points_Lookup!$T:$T,$B24,Points_Lookup!$W:$W),IFERROR(INDEX(Points_Lookup!B:B,MATCH($Z24,Points_Lookup!$AE:$AE,0)),""))))))))</f>
        <v>22029</v>
      </c>
      <c r="D24" s="45"/>
      <c r="E24" s="27">
        <f ca="1">IF($B24="","",IF($B$4="Apprenticeship","-",SUM(IF(SUM(C24/12)&lt;Thresholds_Rates!$C$7,(SUM(C24/12)-Thresholds_Rates!$C$5)*Thresholds_Rates!$C$9,(Thresholds_Rates!$C$7-Thresholds_Rates!$C$5)*Thresholds_Rates!$C$9),IF(SUM(C24/12)&gt;Thresholds_Rates!$C$7,((SUM(C24/12)-Thresholds_Rates!$C$7)*Thresholds_Rates!$C$10),0),SUM(Thresholds_Rates!$C$5-Thresholds_Rates!$C$4)*-Thresholds_Rates!$C$8)*12))</f>
        <v>1389.3359999999998</v>
      </c>
      <c r="F24" s="27" t="str">
        <f ca="1">IF($B24="","",IF(AND($B$4="Salary Points 2 to 57",B24&lt;$AA$2),"-",IF(SUMIF(Grades!$A:$A,$B$4,Grades!BO:BO)=0,"-",IF(AND($B$4="Salary Points 2 to 57",B24&gt;=$AA$2),$C24*$AD$1,IF(AND(OR($B$4="New Consultant Contract"),$B24&lt;&gt;""),$C24*$AD$1,IF(AND(OR($B$4="Clinical Lecturer / Medical Research Fellow",$B$4="Clinical Consultant - Old Contract (GP)"),$B24&lt;&gt;""),$C24*$AD$1,IF(AND(OR($B$4="APM Level 7",$B$4="R&amp;T Level 7"),E24&lt;&gt;""),$C24*$AD$1,IF(SUMIF(Grades!$A:$A,$B$4,Grades!BO:BO)=1,$C24*$AD$1,""))))))))</f>
        <v>-</v>
      </c>
      <c r="G24" s="27" t="str">
        <f ca="1">IF(B24="","",IF($B$4="Salary Points 2 to 57","-",IF(SUMIF(Grades!$A:$A,$B$4,Grades!BP:BP)=0,"-",IF(AND(OR($B$4="New Consultant Contract"),$B24&lt;&gt;""),$C24*$AD$2,IF(AND(OR($B$4="Clinical Lecturer / Medical Research Fellow",$B$4="Clinical Consultant - Old Contract (GP)"),$B24&lt;&gt;""),$C24*$AD$2,IF(AND(OR($B$4="APM Level 7",$B$4="R&amp;T Level 7"),F24&lt;&gt;""),$C24*$AD$2,IF(SUMIF(Grades!$A:$A,$B$4,Grades!BP:BP)=1,$C24*$AD$2,"")))))))</f>
        <v>-</v>
      </c>
      <c r="H24" s="27">
        <f ca="1">IF($B$4="Apprenticeship","-",IF(B24="","",IF(SUMIF(Grades!$A:$A,$B$4,Grades!BQ:BQ)=0,"-",IF(AND($B$4="Salary Points 2 to 57",B24&gt;$AA$3),"-",IF(AND($B$4="Salary Points 2 to 57",B24&lt;=$AA$3),$C24*$AD$3,IF(AND(OR($B$4="New Consultant Contract"),$B24&lt;&gt;""),$C24*$AD$3,IF(AND(OR($B$4="Clinical Lecturer / Medical Research Fellow",$B$4="Clinical Consultant - Old Contract (GP)"),$B24&lt;&gt;""),$C24*$AD$3,IF(AND(OR($B$4="APM Level 7",$B$4="R&amp;T Level 7"),G24&lt;&gt;""),$C24*$AD$3,IF(SUMIF(Grades!$A:$A,$B$4,Grades!BQ:BQ)=1,$C24*$AD$3,"")))))))))</f>
        <v>8591.31</v>
      </c>
      <c r="I24" s="27">
        <f ca="1">IF($B24="","",ROUND(($C24-(Thresholds_Rates!$C$5*12))*Thresholds_Rates!$C$10,0))</f>
        <v>1942</v>
      </c>
      <c r="J24" s="27">
        <f ca="1">IF(B24="","",IF(AND($B$4="Salary Points 2 to 57",B24&gt;$AA$3),"-",IF(SUMIF(Grades!$A:$A,$B$4,Grades!BR:BR)=0,"-",IF(AND($B$4="Salary Points 2 to 57",B24&lt;=$AA$3),$C24*$AD$4,IF(AND(OR($B$4="New Consultant Contract"),$B24&lt;&gt;""),$C24*$AD$4,IF(AND(OR($B$4="Clinical Lecturer / Medical Research Fellow",$B$4="Clinical Consultant - Old Contract (GP)"),$B24&lt;&gt;""),$C24*$AD$4,IF(AND(OR($B$4="APM Level 7",$B$4="R&amp;T Level 7"),I24&lt;&gt;""),$C24*$AD$4,IF(SUMIF(Grades!$A:$A,$B$4,Grades!BQ:BQ)=1,$C24*$AD$4,""))))))))</f>
        <v>2202.9</v>
      </c>
      <c r="K24" s="6"/>
      <c r="L24" s="27" t="str">
        <f t="shared" ca="1" si="0"/>
        <v>-</v>
      </c>
      <c r="M24" s="27" t="str">
        <f t="shared" ca="1" si="1"/>
        <v>-</v>
      </c>
      <c r="N24" s="27">
        <f t="shared" ca="1" si="2"/>
        <v>32009.646000000001</v>
      </c>
      <c r="O24" s="27">
        <f t="shared" ca="1" si="3"/>
        <v>26173.9</v>
      </c>
      <c r="P24" s="27">
        <f t="shared" ca="1" si="4"/>
        <v>23971</v>
      </c>
      <c r="R24" s="31" t="str">
        <f ca="1">IF(B24="","",IF($B$4="R&amp;T Level 5 - Clinical Lecturers (Vet School)",SUMIF(Points_Lookup!$M:$M,$B24,Points_Lookup!N:N),IF($B$4="R&amp;T Level 6 - Clinical Associate Professors and Clinical Readers (Vet School)",SUMIF(Points_Lookup!$T:$T,$B24,Points_Lookup!U:U),"")))</f>
        <v/>
      </c>
      <c r="S24" s="32" t="str">
        <f ca="1">IF(B24="","",IF($B$4="R&amp;T Level 5 - Clinical Lecturers (Vet School)",$C24-SUMIF(Points_Lookup!$M:$M,$B24,Points_Lookup!$O:$O),IF($B$4="R&amp;T Level 6 - Clinical Associate Professors and Clinical Readers (Vet School)",$C24-SUMIF(Points_Lookup!$T:$T,$B24,Points_Lookup!$V:$V),"")))</f>
        <v/>
      </c>
      <c r="T24" s="31" t="str">
        <f ca="1">IF(B24="","",IF($B$4="R&amp;T Level 5 - Clinical Lecturers (Vet School)",SUMIF(Points_Lookup!$M:$M,$B24,Points_Lookup!Q:Q),IF($B$4="R&amp;T Level 6 - Clinical Associate Professors and Clinical Readers (Vet School)",SUMIF(Points_Lookup!$T:$T,$B24,Points_Lookup!X:X),"")))</f>
        <v/>
      </c>
      <c r="U24" s="32" t="str">
        <f t="shared" ca="1" si="5"/>
        <v/>
      </c>
      <c r="Z24" s="28">
        <v>17</v>
      </c>
    </row>
    <row r="25" spans="2:26" x14ac:dyDescent="0.25">
      <c r="B25" s="6">
        <f ca="1">IFERROR(INDEX(Points_Lookup!A:A,MATCH($Z25,Points_Lookup!$AE:$AE,0)),"")</f>
        <v>19</v>
      </c>
      <c r="C25" s="27">
        <f ca="1">IF(B25="","",IF($B$4="Apprenticeship",SUMIF(Points_Lookup!AA:AA,B25,Points_Lookup!AC:AC),IF(AND(OR($B$4="New Consultant Contract"),$B25&lt;&gt;""),INDEX(Points_Lookup!K:K,MATCH($B25,Points_Lookup!$J:$J,0)),IF(AND(OR($B$4="Clinical Lecturer / Medical Research Fellow",$B$4="Clinical Consultant - Old Contract (GP)"),$B25&lt;&gt;""),INDEX(Points_Lookup!H:H,MATCH($B25,Points_Lookup!$G:$G,0)),IF(AND(OR($B$4="APM Level 7",$B$4="R&amp;T Level 7",$B$4="APM Level 8"),B25&lt;&gt;""),INDEX(Points_Lookup!E:E,MATCH($Z25,Points_Lookup!$AE:$AE,0)),IF($B$4="R&amp;T Level 5 - Clinical Lecturers (Vet School)",SUMIF(Points_Lookup!$M:$M,$B25,Points_Lookup!$P:$P),IF($B$4="R&amp;T Level 6 - Clinical Associate Professors and Clinical Readers (Vet School)",SUMIF(Points_Lookup!$T:$T,$B25,Points_Lookup!$W:$W),IFERROR(INDEX(Points_Lookup!B:B,MATCH($Z25,Points_Lookup!$AE:$AE,0)),""))))))))</f>
        <v>22685</v>
      </c>
      <c r="D25" s="45"/>
      <c r="E25" s="27">
        <f ca="1">IF($B25="","",IF($B$4="Apprenticeship","-",SUM(IF(SUM(C25/12)&lt;Thresholds_Rates!$C$7,(SUM(C25/12)-Thresholds_Rates!$C$5)*Thresholds_Rates!$C$9,(Thresholds_Rates!$C$7-Thresholds_Rates!$C$5)*Thresholds_Rates!$C$9),IF(SUM(C25/12)&gt;Thresholds_Rates!$C$7,((SUM(C25/12)-Thresholds_Rates!$C$7)*Thresholds_Rates!$C$10),0),SUM(Thresholds_Rates!$C$5-Thresholds_Rates!$C$4)*-Thresholds_Rates!$C$8)*12))</f>
        <v>1457.56</v>
      </c>
      <c r="F25" s="27" t="str">
        <f ca="1">IF($B25="","",IF(AND($B$4="Salary Points 2 to 57",B25&lt;$AA$2),"-",IF(SUMIF(Grades!$A:$A,$B$4,Grades!BO:BO)=0,"-",IF(AND($B$4="Salary Points 2 to 57",B25&gt;=$AA$2),$C25*$AD$1,IF(AND(OR($B$4="New Consultant Contract"),$B25&lt;&gt;""),$C25*$AD$1,IF(AND(OR($B$4="Clinical Lecturer / Medical Research Fellow",$B$4="Clinical Consultant - Old Contract (GP)"),$B25&lt;&gt;""),$C25*$AD$1,IF(AND(OR($B$4="APM Level 7",$B$4="R&amp;T Level 7"),E25&lt;&gt;""),$C25*$AD$1,IF(SUMIF(Grades!$A:$A,$B$4,Grades!BO:BO)=1,$C25*$AD$1,""))))))))</f>
        <v>-</v>
      </c>
      <c r="G25" s="27" t="str">
        <f ca="1">IF(B25="","",IF($B$4="Salary Points 2 to 57","-",IF(SUMIF(Grades!$A:$A,$B$4,Grades!BP:BP)=0,"-",IF(AND(OR($B$4="New Consultant Contract"),$B25&lt;&gt;""),$C25*$AD$2,IF(AND(OR($B$4="Clinical Lecturer / Medical Research Fellow",$B$4="Clinical Consultant - Old Contract (GP)"),$B25&lt;&gt;""),$C25*$AD$2,IF(AND(OR($B$4="APM Level 7",$B$4="R&amp;T Level 7"),F25&lt;&gt;""),$C25*$AD$2,IF(SUMIF(Grades!$A:$A,$B$4,Grades!BP:BP)=1,$C25*$AD$2,"")))))))</f>
        <v>-</v>
      </c>
      <c r="H25" s="27">
        <f ca="1">IF($B$4="Apprenticeship","-",IF(B25="","",IF(SUMIF(Grades!$A:$A,$B$4,Grades!BQ:BQ)=0,"-",IF(AND($B$4="Salary Points 2 to 57",B25&gt;$AA$3),"-",IF(AND($B$4="Salary Points 2 to 57",B25&lt;=$AA$3),$C25*$AD$3,IF(AND(OR($B$4="New Consultant Contract"),$B25&lt;&gt;""),$C25*$AD$3,IF(AND(OR($B$4="Clinical Lecturer / Medical Research Fellow",$B$4="Clinical Consultant - Old Contract (GP)"),$B25&lt;&gt;""),$C25*$AD$3,IF(AND(OR($B$4="APM Level 7",$B$4="R&amp;T Level 7"),G25&lt;&gt;""),$C25*$AD$3,IF(SUMIF(Grades!$A:$A,$B$4,Grades!BQ:BQ)=1,$C25*$AD$3,"")))))))))</f>
        <v>8847.15</v>
      </c>
      <c r="I25" s="27">
        <f ca="1">IF($B25="","",ROUND(($C25-(Thresholds_Rates!$C$5*12))*Thresholds_Rates!$C$10,0))</f>
        <v>2033</v>
      </c>
      <c r="J25" s="27">
        <f ca="1">IF(B25="","",IF(AND($B$4="Salary Points 2 to 57",B25&gt;$AA$3),"-",IF(SUMIF(Grades!$A:$A,$B$4,Grades!BR:BR)=0,"-",IF(AND($B$4="Salary Points 2 to 57",B25&lt;=$AA$3),$C25*$AD$4,IF(AND(OR($B$4="New Consultant Contract"),$B25&lt;&gt;""),$C25*$AD$4,IF(AND(OR($B$4="Clinical Lecturer / Medical Research Fellow",$B$4="Clinical Consultant - Old Contract (GP)"),$B25&lt;&gt;""),$C25*$AD$4,IF(AND(OR($B$4="APM Level 7",$B$4="R&amp;T Level 7"),I25&lt;&gt;""),$C25*$AD$4,IF(SUMIF(Grades!$A:$A,$B$4,Grades!BQ:BQ)=1,$C25*$AD$4,""))))))))</f>
        <v>2268.5</v>
      </c>
      <c r="K25" s="6"/>
      <c r="L25" s="27" t="str">
        <f t="shared" ca="1" si="0"/>
        <v>-</v>
      </c>
      <c r="M25" s="27" t="str">
        <f t="shared" ca="1" si="1"/>
        <v>-</v>
      </c>
      <c r="N25" s="27">
        <f t="shared" ca="1" si="2"/>
        <v>32989.71</v>
      </c>
      <c r="O25" s="27">
        <f t="shared" ca="1" si="3"/>
        <v>26986.5</v>
      </c>
      <c r="P25" s="27">
        <f t="shared" ca="1" si="4"/>
        <v>24718</v>
      </c>
      <c r="R25" s="31" t="str">
        <f ca="1">IF(B25="","",IF($B$4="R&amp;T Level 5 - Clinical Lecturers (Vet School)",SUMIF(Points_Lookup!$M:$M,$B25,Points_Lookup!N:N),IF($B$4="R&amp;T Level 6 - Clinical Associate Professors and Clinical Readers (Vet School)",SUMIF(Points_Lookup!$T:$T,$B25,Points_Lookup!U:U),"")))</f>
        <v/>
      </c>
      <c r="S25" s="32" t="str">
        <f ca="1">IF(B25="","",IF($B$4="R&amp;T Level 5 - Clinical Lecturers (Vet School)",$C25-SUMIF(Points_Lookup!$M:$M,$B25,Points_Lookup!$O:$O),IF($B$4="R&amp;T Level 6 - Clinical Associate Professors and Clinical Readers (Vet School)",$C25-SUMIF(Points_Lookup!$T:$T,$B25,Points_Lookup!$V:$V),"")))</f>
        <v/>
      </c>
      <c r="T25" s="31" t="str">
        <f ca="1">IF(B25="","",IF($B$4="R&amp;T Level 5 - Clinical Lecturers (Vet School)",SUMIF(Points_Lookup!$M:$M,$B25,Points_Lookup!Q:Q),IF($B$4="R&amp;T Level 6 - Clinical Associate Professors and Clinical Readers (Vet School)",SUMIF(Points_Lookup!$T:$T,$B25,Points_Lookup!X:X),"")))</f>
        <v/>
      </c>
      <c r="U25" s="32" t="str">
        <f t="shared" ca="1" si="5"/>
        <v/>
      </c>
      <c r="Z25" s="28">
        <v>18</v>
      </c>
    </row>
    <row r="26" spans="2:26" x14ac:dyDescent="0.25">
      <c r="B26" s="6">
        <f ca="1">IFERROR(INDEX(Points_Lookup!A:A,MATCH($Z26,Points_Lookup!$AE:$AE,0)),"")</f>
        <v>20</v>
      </c>
      <c r="C26" s="27">
        <f ca="1">IF(B26="","",IF($B$4="Apprenticeship",SUMIF(Points_Lookup!AA:AA,B26,Points_Lookup!AC:AC),IF(AND(OR($B$4="New Consultant Contract"),$B26&lt;&gt;""),INDEX(Points_Lookup!K:K,MATCH($B26,Points_Lookup!$J:$J,0)),IF(AND(OR($B$4="Clinical Lecturer / Medical Research Fellow",$B$4="Clinical Consultant - Old Contract (GP)"),$B26&lt;&gt;""),INDEX(Points_Lookup!H:H,MATCH($B26,Points_Lookup!$G:$G,0)),IF(AND(OR($B$4="APM Level 7",$B$4="R&amp;T Level 7",$B$4="APM Level 8"),B26&lt;&gt;""),INDEX(Points_Lookup!E:E,MATCH($Z26,Points_Lookup!$AE:$AE,0)),IF($B$4="R&amp;T Level 5 - Clinical Lecturers (Vet School)",SUMIF(Points_Lookup!$M:$M,$B26,Points_Lookup!$P:$P),IF($B$4="R&amp;T Level 6 - Clinical Associate Professors and Clinical Readers (Vet School)",SUMIF(Points_Lookup!$T:$T,$B26,Points_Lookup!$W:$W),IFERROR(INDEX(Points_Lookup!B:B,MATCH($Z26,Points_Lookup!$AE:$AE,0)),""))))))))</f>
        <v>23386</v>
      </c>
      <c r="D26" s="45"/>
      <c r="E26" s="27">
        <f ca="1">IF($B26="","",IF($B$4="Apprenticeship","-",SUM(IF(SUM(C26/12)&lt;Thresholds_Rates!$C$7,(SUM(C26/12)-Thresholds_Rates!$C$5)*Thresholds_Rates!$C$9,(Thresholds_Rates!$C$7-Thresholds_Rates!$C$5)*Thresholds_Rates!$C$9),IF(SUM(C26/12)&gt;Thresholds_Rates!$C$7,((SUM(C26/12)-Thresholds_Rates!$C$7)*Thresholds_Rates!$C$10),0),SUM(Thresholds_Rates!$C$5-Thresholds_Rates!$C$4)*-Thresholds_Rates!$C$8)*12))</f>
        <v>1530.4639999999999</v>
      </c>
      <c r="F26" s="27" t="str">
        <f ca="1">IF($B26="","",IF(AND($B$4="Salary Points 2 to 57",B26&lt;$AA$2),"-",IF(SUMIF(Grades!$A:$A,$B$4,Grades!BO:BO)=0,"-",IF(AND($B$4="Salary Points 2 to 57",B26&gt;=$AA$2),$C26*$AD$1,IF(AND(OR($B$4="New Consultant Contract"),$B26&lt;&gt;""),$C26*$AD$1,IF(AND(OR($B$4="Clinical Lecturer / Medical Research Fellow",$B$4="Clinical Consultant - Old Contract (GP)"),$B26&lt;&gt;""),$C26*$AD$1,IF(AND(OR($B$4="APM Level 7",$B$4="R&amp;T Level 7"),E26&lt;&gt;""),$C26*$AD$1,IF(SUMIF(Grades!$A:$A,$B$4,Grades!BO:BO)=1,$C26*$AD$1,""))))))))</f>
        <v>-</v>
      </c>
      <c r="G26" s="27" t="str">
        <f ca="1">IF(B26="","",IF($B$4="Salary Points 2 to 57","-",IF(SUMIF(Grades!$A:$A,$B$4,Grades!BP:BP)=0,"-",IF(AND(OR($B$4="New Consultant Contract"),$B26&lt;&gt;""),$C26*$AD$2,IF(AND(OR($B$4="Clinical Lecturer / Medical Research Fellow",$B$4="Clinical Consultant - Old Contract (GP)"),$B26&lt;&gt;""),$C26*$AD$2,IF(AND(OR($B$4="APM Level 7",$B$4="R&amp;T Level 7"),F26&lt;&gt;""),$C26*$AD$2,IF(SUMIF(Grades!$A:$A,$B$4,Grades!BP:BP)=1,$C26*$AD$2,"")))))))</f>
        <v>-</v>
      </c>
      <c r="H26" s="27">
        <f ca="1">IF($B$4="Apprenticeship","-",IF(B26="","",IF(SUMIF(Grades!$A:$A,$B$4,Grades!BQ:BQ)=0,"-",IF(AND($B$4="Salary Points 2 to 57",B26&gt;$AA$3),"-",IF(AND($B$4="Salary Points 2 to 57",B26&lt;=$AA$3),$C26*$AD$3,IF(AND(OR($B$4="New Consultant Contract"),$B26&lt;&gt;""),$C26*$AD$3,IF(AND(OR($B$4="Clinical Lecturer / Medical Research Fellow",$B$4="Clinical Consultant - Old Contract (GP)"),$B26&lt;&gt;""),$C26*$AD$3,IF(AND(OR($B$4="APM Level 7",$B$4="R&amp;T Level 7"),G26&lt;&gt;""),$C26*$AD$3,IF(SUMIF(Grades!$A:$A,$B$4,Grades!BQ:BQ)=1,$C26*$AD$3,"")))))))))</f>
        <v>9120.5400000000009</v>
      </c>
      <c r="I26" s="27">
        <f ca="1">IF($B26="","",ROUND(($C26-(Thresholds_Rates!$C$5*12))*Thresholds_Rates!$C$10,0))</f>
        <v>2129</v>
      </c>
      <c r="J26" s="27">
        <f ca="1">IF(B26="","",IF(AND($B$4="Salary Points 2 to 57",B26&gt;$AA$3),"-",IF(SUMIF(Grades!$A:$A,$B$4,Grades!BR:BR)=0,"-",IF(AND($B$4="Salary Points 2 to 57",B26&lt;=$AA$3),$C26*$AD$4,IF(AND(OR($B$4="New Consultant Contract"),$B26&lt;&gt;""),$C26*$AD$4,IF(AND(OR($B$4="Clinical Lecturer / Medical Research Fellow",$B$4="Clinical Consultant - Old Contract (GP)"),$B26&lt;&gt;""),$C26*$AD$4,IF(AND(OR($B$4="APM Level 7",$B$4="R&amp;T Level 7"),I26&lt;&gt;""),$C26*$AD$4,IF(SUMIF(Grades!$A:$A,$B$4,Grades!BQ:BQ)=1,$C26*$AD$4,""))))))))</f>
        <v>2338.6</v>
      </c>
      <c r="K26" s="6"/>
      <c r="L26" s="27" t="str">
        <f t="shared" ca="1" si="0"/>
        <v>-</v>
      </c>
      <c r="M26" s="27" t="str">
        <f t="shared" ca="1" si="1"/>
        <v>-</v>
      </c>
      <c r="N26" s="27">
        <f t="shared" ca="1" si="2"/>
        <v>34037.004000000001</v>
      </c>
      <c r="O26" s="27">
        <f t="shared" ca="1" si="3"/>
        <v>27853.599999999999</v>
      </c>
      <c r="P26" s="27">
        <f t="shared" ca="1" si="4"/>
        <v>25515</v>
      </c>
      <c r="R26" s="31" t="str">
        <f ca="1">IF(B26="","",IF($B$4="R&amp;T Level 5 - Clinical Lecturers (Vet School)",SUMIF(Points_Lookup!$M:$M,$B26,Points_Lookup!N:N),IF($B$4="R&amp;T Level 6 - Clinical Associate Professors and Clinical Readers (Vet School)",SUMIF(Points_Lookup!$T:$T,$B26,Points_Lookup!U:U),"")))</f>
        <v/>
      </c>
      <c r="S26" s="32" t="str">
        <f ca="1">IF(B26="","",IF($B$4="R&amp;T Level 5 - Clinical Lecturers (Vet School)",$C26-SUMIF(Points_Lookup!$M:$M,$B26,Points_Lookup!$O:$O),IF($B$4="R&amp;T Level 6 - Clinical Associate Professors and Clinical Readers (Vet School)",$C26-SUMIF(Points_Lookup!$T:$T,$B26,Points_Lookup!$V:$V),"")))</f>
        <v/>
      </c>
      <c r="T26" s="31" t="str">
        <f ca="1">IF(B26="","",IF($B$4="R&amp;T Level 5 - Clinical Lecturers (Vet School)",SUMIF(Points_Lookup!$M:$M,$B26,Points_Lookup!Q:Q),IF($B$4="R&amp;T Level 6 - Clinical Associate Professors and Clinical Readers (Vet School)",SUMIF(Points_Lookup!$T:$T,$B26,Points_Lookup!X:X),"")))</f>
        <v/>
      </c>
      <c r="U26" s="32" t="str">
        <f t="shared" ca="1" si="5"/>
        <v/>
      </c>
      <c r="Z26" s="28">
        <v>19</v>
      </c>
    </row>
    <row r="27" spans="2:26" x14ac:dyDescent="0.25">
      <c r="B27" s="6">
        <f ca="1">IFERROR(INDEX(Points_Lookup!A:A,MATCH($Z27,Points_Lookup!$AE:$AE,0)),"")</f>
        <v>21</v>
      </c>
      <c r="C27" s="27">
        <f ca="1">IF(B27="","",IF($B$4="Apprenticeship",SUMIF(Points_Lookup!AA:AA,B27,Points_Lookup!AC:AC),IF(AND(OR($B$4="New Consultant Contract"),$B27&lt;&gt;""),INDEX(Points_Lookup!K:K,MATCH($B27,Points_Lookup!$J:$J,0)),IF(AND(OR($B$4="Clinical Lecturer / Medical Research Fellow",$B$4="Clinical Consultant - Old Contract (GP)"),$B27&lt;&gt;""),INDEX(Points_Lookup!H:H,MATCH($B27,Points_Lookup!$G:$G,0)),IF(AND(OR($B$4="APM Level 7",$B$4="R&amp;T Level 7",$B$4="APM Level 8"),B27&lt;&gt;""),INDEX(Points_Lookup!E:E,MATCH($Z27,Points_Lookup!$AE:$AE,0)),IF($B$4="R&amp;T Level 5 - Clinical Lecturers (Vet School)",SUMIF(Points_Lookup!$M:$M,$B27,Points_Lookup!$P:$P),IF($B$4="R&amp;T Level 6 - Clinical Associate Professors and Clinical Readers (Vet School)",SUMIF(Points_Lookup!$T:$T,$B27,Points_Lookup!$W:$W),IFERROR(INDEX(Points_Lookup!B:B,MATCH($Z27,Points_Lookup!$AE:$AE,0)),""))))))))</f>
        <v>24057</v>
      </c>
      <c r="D27" s="45"/>
      <c r="E27" s="27">
        <f ca="1">IF($B27="","",IF($B$4="Apprenticeship","-",SUM(IF(SUM(C27/12)&lt;Thresholds_Rates!$C$7,(SUM(C27/12)-Thresholds_Rates!$C$5)*Thresholds_Rates!$C$9,(Thresholds_Rates!$C$7-Thresholds_Rates!$C$5)*Thresholds_Rates!$C$9),IF(SUM(C27/12)&gt;Thresholds_Rates!$C$7,((SUM(C27/12)-Thresholds_Rates!$C$7)*Thresholds_Rates!$C$10),0),SUM(Thresholds_Rates!$C$5-Thresholds_Rates!$C$4)*-Thresholds_Rates!$C$8)*12))</f>
        <v>1600.248</v>
      </c>
      <c r="F27" s="27" t="str">
        <f ca="1">IF($B27="","",IF(AND($B$4="Salary Points 2 to 57",B27&lt;$AA$2),"-",IF(SUMIF(Grades!$A:$A,$B$4,Grades!BO:BO)=0,"-",IF(AND($B$4="Salary Points 2 to 57",B27&gt;=$AA$2),$C27*$AD$1,IF(AND(OR($B$4="New Consultant Contract"),$B27&lt;&gt;""),$C27*$AD$1,IF(AND(OR($B$4="Clinical Lecturer / Medical Research Fellow",$B$4="Clinical Consultant - Old Contract (GP)"),$B27&lt;&gt;""),$C27*$AD$1,IF(AND(OR($B$4="APM Level 7",$B$4="R&amp;T Level 7"),E27&lt;&gt;""),$C27*$AD$1,IF(SUMIF(Grades!$A:$A,$B$4,Grades!BO:BO)=1,$C27*$AD$1,""))))))))</f>
        <v>-</v>
      </c>
      <c r="G27" s="27" t="str">
        <f ca="1">IF(B27="","",IF($B$4="Salary Points 2 to 57","-",IF(SUMIF(Grades!$A:$A,$B$4,Grades!BP:BP)=0,"-",IF(AND(OR($B$4="New Consultant Contract"),$B27&lt;&gt;""),$C27*$AD$2,IF(AND(OR($B$4="Clinical Lecturer / Medical Research Fellow",$B$4="Clinical Consultant - Old Contract (GP)"),$B27&lt;&gt;""),$C27*$AD$2,IF(AND(OR($B$4="APM Level 7",$B$4="R&amp;T Level 7"),F27&lt;&gt;""),$C27*$AD$2,IF(SUMIF(Grades!$A:$A,$B$4,Grades!BP:BP)=1,$C27*$AD$2,"")))))))</f>
        <v>-</v>
      </c>
      <c r="H27" s="27">
        <f ca="1">IF($B$4="Apprenticeship","-",IF(B27="","",IF(SUMIF(Grades!$A:$A,$B$4,Grades!BQ:BQ)=0,"-",IF(AND($B$4="Salary Points 2 to 57",B27&gt;$AA$3),"-",IF(AND($B$4="Salary Points 2 to 57",B27&lt;=$AA$3),$C27*$AD$3,IF(AND(OR($B$4="New Consultant Contract"),$B27&lt;&gt;""),$C27*$AD$3,IF(AND(OR($B$4="Clinical Lecturer / Medical Research Fellow",$B$4="Clinical Consultant - Old Contract (GP)"),$B27&lt;&gt;""),$C27*$AD$3,IF(AND(OR($B$4="APM Level 7",$B$4="R&amp;T Level 7"),G27&lt;&gt;""),$C27*$AD$3,IF(SUMIF(Grades!$A:$A,$B$4,Grades!BQ:BQ)=1,$C27*$AD$3,"")))))))))</f>
        <v>9382.23</v>
      </c>
      <c r="I27" s="27">
        <f ca="1">IF($B27="","",ROUND(($C27-(Thresholds_Rates!$C$5*12))*Thresholds_Rates!$C$10,0))</f>
        <v>2222</v>
      </c>
      <c r="J27" s="27">
        <f ca="1">IF(B27="","",IF(AND($B$4="Salary Points 2 to 57",B27&gt;$AA$3),"-",IF(SUMIF(Grades!$A:$A,$B$4,Grades!BR:BR)=0,"-",IF(AND($B$4="Salary Points 2 to 57",B27&lt;=$AA$3),$C27*$AD$4,IF(AND(OR($B$4="New Consultant Contract"),$B27&lt;&gt;""),$C27*$AD$4,IF(AND(OR($B$4="Clinical Lecturer / Medical Research Fellow",$B$4="Clinical Consultant - Old Contract (GP)"),$B27&lt;&gt;""),$C27*$AD$4,IF(AND(OR($B$4="APM Level 7",$B$4="R&amp;T Level 7"),I27&lt;&gt;""),$C27*$AD$4,IF(SUMIF(Grades!$A:$A,$B$4,Grades!BQ:BQ)=1,$C27*$AD$4,""))))))))</f>
        <v>2405.7000000000003</v>
      </c>
      <c r="K27" s="6"/>
      <c r="L27" s="27" t="str">
        <f t="shared" ca="1" si="0"/>
        <v>-</v>
      </c>
      <c r="M27" s="27" t="str">
        <f t="shared" ca="1" si="1"/>
        <v>-</v>
      </c>
      <c r="N27" s="27">
        <f t="shared" ca="1" si="2"/>
        <v>35039.478000000003</v>
      </c>
      <c r="O27" s="27">
        <f t="shared" ca="1" si="3"/>
        <v>28684.7</v>
      </c>
      <c r="P27" s="27">
        <f t="shared" ca="1" si="4"/>
        <v>26279</v>
      </c>
      <c r="R27" s="31" t="str">
        <f ca="1">IF(B27="","",IF($B$4="R&amp;T Level 5 - Clinical Lecturers (Vet School)",SUMIF(Points_Lookup!$M:$M,$B27,Points_Lookup!N:N),IF($B$4="R&amp;T Level 6 - Clinical Associate Professors and Clinical Readers (Vet School)",SUMIF(Points_Lookup!$T:$T,$B27,Points_Lookup!U:U),"")))</f>
        <v/>
      </c>
      <c r="S27" s="32" t="str">
        <f ca="1">IF(B27="","",IF($B$4="R&amp;T Level 5 - Clinical Lecturers (Vet School)",$C27-SUMIF(Points_Lookup!$M:$M,$B27,Points_Lookup!$O:$O),IF($B$4="R&amp;T Level 6 - Clinical Associate Professors and Clinical Readers (Vet School)",$C27-SUMIF(Points_Lookup!$T:$T,$B27,Points_Lookup!$V:$V),"")))</f>
        <v/>
      </c>
      <c r="T27" s="31" t="str">
        <f ca="1">IF(B27="","",IF($B$4="R&amp;T Level 5 - Clinical Lecturers (Vet School)",SUMIF(Points_Lookup!$M:$M,$B27,Points_Lookup!Q:Q),IF($B$4="R&amp;T Level 6 - Clinical Associate Professors and Clinical Readers (Vet School)",SUMIF(Points_Lookup!$T:$T,$B27,Points_Lookup!X:X),"")))</f>
        <v/>
      </c>
      <c r="U27" s="32" t="str">
        <f t="shared" ca="1" si="5"/>
        <v/>
      </c>
      <c r="Z27" s="28">
        <v>20</v>
      </c>
    </row>
    <row r="28" spans="2:26" x14ac:dyDescent="0.25">
      <c r="B28" s="6">
        <f ca="1">IFERROR(INDEX(Points_Lookup!A:A,MATCH($Z28,Points_Lookup!$AE:$AE,0)),"")</f>
        <v>22</v>
      </c>
      <c r="C28" s="27">
        <f ca="1">IF(B28="","",IF($B$4="Apprenticeship",SUMIF(Points_Lookup!AA:AA,B28,Points_Lookup!AC:AC),IF(AND(OR($B$4="New Consultant Contract"),$B28&lt;&gt;""),INDEX(Points_Lookup!K:K,MATCH($B28,Points_Lookup!$J:$J,0)),IF(AND(OR($B$4="Clinical Lecturer / Medical Research Fellow",$B$4="Clinical Consultant - Old Contract (GP)"),$B28&lt;&gt;""),INDEX(Points_Lookup!H:H,MATCH($B28,Points_Lookup!$G:$G,0)),IF(AND(OR($B$4="APM Level 7",$B$4="R&amp;T Level 7",$B$4="APM Level 8"),B28&lt;&gt;""),INDEX(Points_Lookup!E:E,MATCH($Z28,Points_Lookup!$AE:$AE,0)),IF($B$4="R&amp;T Level 5 - Clinical Lecturers (Vet School)",SUMIF(Points_Lookup!$M:$M,$B28,Points_Lookup!$P:$P),IF($B$4="R&amp;T Level 6 - Clinical Associate Professors and Clinical Readers (Vet School)",SUMIF(Points_Lookup!$T:$T,$B28,Points_Lookup!$W:$W),IFERROR(INDEX(Points_Lookup!B:B,MATCH($Z28,Points_Lookup!$AE:$AE,0)),""))))))))</f>
        <v>24775</v>
      </c>
      <c r="D28" s="45"/>
      <c r="E28" s="27">
        <f ca="1">IF($B28="","",IF($B$4="Apprenticeship","-",SUM(IF(SUM(C28/12)&lt;Thresholds_Rates!$C$7,(SUM(C28/12)-Thresholds_Rates!$C$5)*Thresholds_Rates!$C$9,(Thresholds_Rates!$C$7-Thresholds_Rates!$C$5)*Thresholds_Rates!$C$9),IF(SUM(C28/12)&gt;Thresholds_Rates!$C$7,((SUM(C28/12)-Thresholds_Rates!$C$7)*Thresholds_Rates!$C$10),0),SUM(Thresholds_Rates!$C$5-Thresholds_Rates!$C$4)*-Thresholds_Rates!$C$8)*12))</f>
        <v>1674.92</v>
      </c>
      <c r="F28" s="27" t="str">
        <f ca="1">IF($B28="","",IF(AND($B$4="Salary Points 2 to 57",B28&lt;$AA$2),"-",IF(SUMIF(Grades!$A:$A,$B$4,Grades!BO:BO)=0,"-",IF(AND($B$4="Salary Points 2 to 57",B28&gt;=$AA$2),$C28*$AD$1,IF(AND(OR($B$4="New Consultant Contract"),$B28&lt;&gt;""),$C28*$AD$1,IF(AND(OR($B$4="Clinical Lecturer / Medical Research Fellow",$B$4="Clinical Consultant - Old Contract (GP)"),$B28&lt;&gt;""),$C28*$AD$1,IF(AND(OR($B$4="APM Level 7",$B$4="R&amp;T Level 7"),E28&lt;&gt;""),$C28*$AD$1,IF(SUMIF(Grades!$A:$A,$B$4,Grades!BO:BO)=1,$C28*$AD$1,""))))))))</f>
        <v>-</v>
      </c>
      <c r="G28" s="27" t="str">
        <f ca="1">IF(B28="","",IF($B$4="Salary Points 2 to 57","-",IF(SUMIF(Grades!$A:$A,$B$4,Grades!BP:BP)=0,"-",IF(AND(OR($B$4="New Consultant Contract"),$B28&lt;&gt;""),$C28*$AD$2,IF(AND(OR($B$4="Clinical Lecturer / Medical Research Fellow",$B$4="Clinical Consultant - Old Contract (GP)"),$B28&lt;&gt;""),$C28*$AD$2,IF(AND(OR($B$4="APM Level 7",$B$4="R&amp;T Level 7"),F28&lt;&gt;""),$C28*$AD$2,IF(SUMIF(Grades!$A:$A,$B$4,Grades!BP:BP)=1,$C28*$AD$2,"")))))))</f>
        <v>-</v>
      </c>
      <c r="H28" s="27">
        <f ca="1">IF($B$4="Apprenticeship","-",IF(B28="","",IF(SUMIF(Grades!$A:$A,$B$4,Grades!BQ:BQ)=0,"-",IF(AND($B$4="Salary Points 2 to 57",B28&gt;$AA$3),"-",IF(AND($B$4="Salary Points 2 to 57",B28&lt;=$AA$3),$C28*$AD$3,IF(AND(OR($B$4="New Consultant Contract"),$B28&lt;&gt;""),$C28*$AD$3,IF(AND(OR($B$4="Clinical Lecturer / Medical Research Fellow",$B$4="Clinical Consultant - Old Contract (GP)"),$B28&lt;&gt;""),$C28*$AD$3,IF(AND(OR($B$4="APM Level 7",$B$4="R&amp;T Level 7"),G28&lt;&gt;""),$C28*$AD$3,IF(SUMIF(Grades!$A:$A,$B$4,Grades!BQ:BQ)=1,$C28*$AD$3,"")))))))))</f>
        <v>9662.25</v>
      </c>
      <c r="I28" s="27">
        <f ca="1">IF($B28="","",ROUND(($C28-(Thresholds_Rates!$C$5*12))*Thresholds_Rates!$C$10,0))</f>
        <v>2321</v>
      </c>
      <c r="J28" s="27">
        <f ca="1">IF(B28="","",IF(AND($B$4="Salary Points 2 to 57",B28&gt;$AA$3),"-",IF(SUMIF(Grades!$A:$A,$B$4,Grades!BR:BR)=0,"-",IF(AND($B$4="Salary Points 2 to 57",B28&lt;=$AA$3),$C28*$AD$4,IF(AND(OR($B$4="New Consultant Contract"),$B28&lt;&gt;""),$C28*$AD$4,IF(AND(OR($B$4="Clinical Lecturer / Medical Research Fellow",$B$4="Clinical Consultant - Old Contract (GP)"),$B28&lt;&gt;""),$C28*$AD$4,IF(AND(OR($B$4="APM Level 7",$B$4="R&amp;T Level 7"),I28&lt;&gt;""),$C28*$AD$4,IF(SUMIF(Grades!$A:$A,$B$4,Grades!BQ:BQ)=1,$C28*$AD$4,""))))))))</f>
        <v>2477.5</v>
      </c>
      <c r="K28" s="6"/>
      <c r="L28" s="27" t="str">
        <f t="shared" ca="1" si="0"/>
        <v>-</v>
      </c>
      <c r="M28" s="27" t="str">
        <f t="shared" ca="1" si="1"/>
        <v>-</v>
      </c>
      <c r="N28" s="27">
        <f t="shared" ca="1" si="2"/>
        <v>36112.17</v>
      </c>
      <c r="O28" s="27">
        <f t="shared" ca="1" si="3"/>
        <v>29573.5</v>
      </c>
      <c r="P28" s="27">
        <f t="shared" ca="1" si="4"/>
        <v>27096</v>
      </c>
      <c r="R28" s="31" t="str">
        <f ca="1">IF(B28="","",IF($B$4="R&amp;T Level 5 - Clinical Lecturers (Vet School)",SUMIF(Points_Lookup!$M:$M,$B28,Points_Lookup!N:N),IF($B$4="R&amp;T Level 6 - Clinical Associate Professors and Clinical Readers (Vet School)",SUMIF(Points_Lookup!$T:$T,$B28,Points_Lookup!U:U),"")))</f>
        <v/>
      </c>
      <c r="S28" s="32" t="str">
        <f ca="1">IF(B28="","",IF($B$4="R&amp;T Level 5 - Clinical Lecturers (Vet School)",$C28-SUMIF(Points_Lookup!$M:$M,$B28,Points_Lookup!$O:$O),IF($B$4="R&amp;T Level 6 - Clinical Associate Professors and Clinical Readers (Vet School)",$C28-SUMIF(Points_Lookup!$T:$T,$B28,Points_Lookup!$V:$V),"")))</f>
        <v/>
      </c>
      <c r="T28" s="31" t="str">
        <f ca="1">IF(B28="","",IF($B$4="R&amp;T Level 5 - Clinical Lecturers (Vet School)",SUMIF(Points_Lookup!$M:$M,$B28,Points_Lookup!Q:Q),IF($B$4="R&amp;T Level 6 - Clinical Associate Professors and Clinical Readers (Vet School)",SUMIF(Points_Lookup!$T:$T,$B28,Points_Lookup!X:X),"")))</f>
        <v/>
      </c>
      <c r="U28" s="32" t="str">
        <f t="shared" ca="1" si="5"/>
        <v/>
      </c>
      <c r="Z28" s="28">
        <v>21</v>
      </c>
    </row>
    <row r="29" spans="2:26" x14ac:dyDescent="0.25">
      <c r="B29" s="6">
        <f ca="1">IFERROR(INDEX(Points_Lookup!A:A,MATCH($Z29,Points_Lookup!$AE:$AE,0)),"")</f>
        <v>23</v>
      </c>
      <c r="C29" s="27">
        <f ca="1">IF(B29="","",IF($B$4="Apprenticeship",SUMIF(Points_Lookup!AA:AA,B29,Points_Lookup!AC:AC),IF(AND(OR($B$4="New Consultant Contract"),$B29&lt;&gt;""),INDEX(Points_Lookup!K:K,MATCH($B29,Points_Lookup!$J:$J,0)),IF(AND(OR($B$4="Clinical Lecturer / Medical Research Fellow",$B$4="Clinical Consultant - Old Contract (GP)"),$B29&lt;&gt;""),INDEX(Points_Lookup!H:H,MATCH($B29,Points_Lookup!$G:$G,0)),IF(AND(OR($B$4="APM Level 7",$B$4="R&amp;T Level 7",$B$4="APM Level 8"),B29&lt;&gt;""),INDEX(Points_Lookup!E:E,MATCH($Z29,Points_Lookup!$AE:$AE,0)),IF($B$4="R&amp;T Level 5 - Clinical Lecturers (Vet School)",SUMIF(Points_Lookup!$M:$M,$B29,Points_Lookup!$P:$P),IF($B$4="R&amp;T Level 6 - Clinical Associate Professors and Clinical Readers (Vet School)",SUMIF(Points_Lookup!$T:$T,$B29,Points_Lookup!$W:$W),IFERROR(INDEX(Points_Lookup!B:B,MATCH($Z29,Points_Lookup!$AE:$AE,0)),""))))))))</f>
        <v>25513</v>
      </c>
      <c r="D29" s="45"/>
      <c r="E29" s="27">
        <f ca="1">IF($B29="","",IF($B$4="Apprenticeship","-",SUM(IF(SUM(C29/12)&lt;Thresholds_Rates!$C$7,(SUM(C29/12)-Thresholds_Rates!$C$5)*Thresholds_Rates!$C$9,(Thresholds_Rates!$C$7-Thresholds_Rates!$C$5)*Thresholds_Rates!$C$9),IF(SUM(C29/12)&gt;Thresholds_Rates!$C$7,((SUM(C29/12)-Thresholds_Rates!$C$7)*Thresholds_Rates!$C$10),0),SUM(Thresholds_Rates!$C$5-Thresholds_Rates!$C$4)*-Thresholds_Rates!$C$8)*12))</f>
        <v>1751.6720000000005</v>
      </c>
      <c r="F29" s="27">
        <f ca="1">IF($B29="","",IF(AND($B$4="Salary Points 2 to 57",B29&lt;$AA$2),"-",IF(SUMIF(Grades!$A:$A,$B$4,Grades!BO:BO)=0,"-",IF(AND($B$4="Salary Points 2 to 57",B29&gt;=$AA$2),$C29*$AD$1,IF(AND(OR($B$4="New Consultant Contract"),$B29&lt;&gt;""),$C29*$AD$1,IF(AND(OR($B$4="Clinical Lecturer / Medical Research Fellow",$B$4="Clinical Consultant - Old Contract (GP)"),$B29&lt;&gt;""),$C29*$AD$1,IF(AND(OR($B$4="APM Level 7",$B$4="R&amp;T Level 7"),E29&lt;&gt;""),$C29*$AD$1,IF(SUMIF(Grades!$A:$A,$B$4,Grades!BO:BO)=1,$C29*$AD$1,""))))))))</f>
        <v>4082.08</v>
      </c>
      <c r="G29" s="27" t="str">
        <f ca="1">IF(B29="","",IF($B$4="Salary Points 2 to 57","-",IF(SUMIF(Grades!$A:$A,$B$4,Grades!BP:BP)=0,"-",IF(AND(OR($B$4="New Consultant Contract"),$B29&lt;&gt;""),$C29*$AD$2,IF(AND(OR($B$4="Clinical Lecturer / Medical Research Fellow",$B$4="Clinical Consultant - Old Contract (GP)"),$B29&lt;&gt;""),$C29*$AD$2,IF(AND(OR($B$4="APM Level 7",$B$4="R&amp;T Level 7"),F29&lt;&gt;""),$C29*$AD$2,IF(SUMIF(Grades!$A:$A,$B$4,Grades!BP:BP)=1,$C29*$AD$2,"")))))))</f>
        <v>-</v>
      </c>
      <c r="H29" s="27">
        <f ca="1">IF($B$4="Apprenticeship","-",IF(B29="","",IF(SUMIF(Grades!$A:$A,$B$4,Grades!BQ:BQ)=0,"-",IF(AND($B$4="Salary Points 2 to 57",B29&gt;$AA$3),"-",IF(AND($B$4="Salary Points 2 to 57",B29&lt;=$AA$3),$C29*$AD$3,IF(AND(OR($B$4="New Consultant Contract"),$B29&lt;&gt;""),$C29*$AD$3,IF(AND(OR($B$4="Clinical Lecturer / Medical Research Fellow",$B$4="Clinical Consultant - Old Contract (GP)"),$B29&lt;&gt;""),$C29*$AD$3,IF(AND(OR($B$4="APM Level 7",$B$4="R&amp;T Level 7"),G29&lt;&gt;""),$C29*$AD$3,IF(SUMIF(Grades!$A:$A,$B$4,Grades!BQ:BQ)=1,$C29*$AD$3,"")))))))))</f>
        <v>9950.07</v>
      </c>
      <c r="I29" s="27">
        <f ca="1">IF($B29="","",ROUND(($C29-(Thresholds_Rates!$C$5*12))*Thresholds_Rates!$C$10,0))</f>
        <v>2423</v>
      </c>
      <c r="J29" s="27">
        <f ca="1">IF(B29="","",IF(AND($B$4="Salary Points 2 to 57",B29&gt;$AA$3),"-",IF(SUMIF(Grades!$A:$A,$B$4,Grades!BR:BR)=0,"-",IF(AND($B$4="Salary Points 2 to 57",B29&lt;=$AA$3),$C29*$AD$4,IF(AND(OR($B$4="New Consultant Contract"),$B29&lt;&gt;""),$C29*$AD$4,IF(AND(OR($B$4="Clinical Lecturer / Medical Research Fellow",$B$4="Clinical Consultant - Old Contract (GP)"),$B29&lt;&gt;""),$C29*$AD$4,IF(AND(OR($B$4="APM Level 7",$B$4="R&amp;T Level 7"),I29&lt;&gt;""),$C29*$AD$4,IF(SUMIF(Grades!$A:$A,$B$4,Grades!BQ:BQ)=1,$C29*$AD$4,""))))))))</f>
        <v>2551.3000000000002</v>
      </c>
      <c r="K29" s="6"/>
      <c r="L29" s="27">
        <f t="shared" ca="1" si="0"/>
        <v>31346.752</v>
      </c>
      <c r="M29" s="27" t="str">
        <f t="shared" ca="1" si="1"/>
        <v>-</v>
      </c>
      <c r="N29" s="27">
        <f t="shared" ca="1" si="2"/>
        <v>37214.741999999998</v>
      </c>
      <c r="O29" s="27">
        <f t="shared" ca="1" si="3"/>
        <v>30487.3</v>
      </c>
      <c r="P29" s="27">
        <f t="shared" ca="1" si="4"/>
        <v>27936</v>
      </c>
      <c r="R29" s="31" t="str">
        <f ca="1">IF(B29="","",IF($B$4="R&amp;T Level 5 - Clinical Lecturers (Vet School)",SUMIF(Points_Lookup!$M:$M,$B29,Points_Lookup!N:N),IF($B$4="R&amp;T Level 6 - Clinical Associate Professors and Clinical Readers (Vet School)",SUMIF(Points_Lookup!$T:$T,$B29,Points_Lookup!U:U),"")))</f>
        <v/>
      </c>
      <c r="S29" s="32" t="str">
        <f ca="1">IF(B29="","",IF($B$4="R&amp;T Level 5 - Clinical Lecturers (Vet School)",$C29-SUMIF(Points_Lookup!$M:$M,$B29,Points_Lookup!$O:$O),IF($B$4="R&amp;T Level 6 - Clinical Associate Professors and Clinical Readers (Vet School)",$C29-SUMIF(Points_Lookup!$T:$T,$B29,Points_Lookup!$V:$V),"")))</f>
        <v/>
      </c>
      <c r="T29" s="31" t="str">
        <f ca="1">IF(B29="","",IF($B$4="R&amp;T Level 5 - Clinical Lecturers (Vet School)",SUMIF(Points_Lookup!$M:$M,$B29,Points_Lookup!Q:Q),IF($B$4="R&amp;T Level 6 - Clinical Associate Professors and Clinical Readers (Vet School)",SUMIF(Points_Lookup!$T:$T,$B29,Points_Lookup!X:X),"")))</f>
        <v/>
      </c>
      <c r="U29" s="32" t="str">
        <f t="shared" ca="1" si="5"/>
        <v/>
      </c>
      <c r="Z29" s="28">
        <v>22</v>
      </c>
    </row>
    <row r="30" spans="2:26" x14ac:dyDescent="0.25">
      <c r="B30" s="6">
        <f ca="1">IFERROR(INDEX(Points_Lookup!A:A,MATCH($Z30,Points_Lookup!$AE:$AE,0)),"")</f>
        <v>24</v>
      </c>
      <c r="C30" s="27">
        <f ca="1">IF(B30="","",IF($B$4="Apprenticeship",SUMIF(Points_Lookup!AA:AA,B30,Points_Lookup!AC:AC),IF(AND(OR($B$4="New Consultant Contract"),$B30&lt;&gt;""),INDEX(Points_Lookup!K:K,MATCH($B30,Points_Lookup!$J:$J,0)),IF(AND(OR($B$4="Clinical Lecturer / Medical Research Fellow",$B$4="Clinical Consultant - Old Contract (GP)"),$B30&lt;&gt;""),INDEX(Points_Lookup!H:H,MATCH($B30,Points_Lookup!$G:$G,0)),IF(AND(OR($B$4="APM Level 7",$B$4="R&amp;T Level 7",$B$4="APM Level 8"),B30&lt;&gt;""),INDEX(Points_Lookup!E:E,MATCH($Z30,Points_Lookup!$AE:$AE,0)),IF($B$4="R&amp;T Level 5 - Clinical Lecturers (Vet School)",SUMIF(Points_Lookup!$M:$M,$B30,Points_Lookup!$P:$P),IF($B$4="R&amp;T Level 6 - Clinical Associate Professors and Clinical Readers (Vet School)",SUMIF(Points_Lookup!$T:$T,$B30,Points_Lookup!$W:$W),IFERROR(INDEX(Points_Lookup!B:B,MATCH($Z30,Points_Lookup!$AE:$AE,0)),""))))))))</f>
        <v>26274</v>
      </c>
      <c r="D30" s="45"/>
      <c r="E30" s="27">
        <f ca="1">IF($B30="","",IF($B$4="Apprenticeship","-",SUM(IF(SUM(C30/12)&lt;Thresholds_Rates!$C$7,(SUM(C30/12)-Thresholds_Rates!$C$5)*Thresholds_Rates!$C$9,(Thresholds_Rates!$C$7-Thresholds_Rates!$C$5)*Thresholds_Rates!$C$9),IF(SUM(C30/12)&gt;Thresholds_Rates!$C$7,((SUM(C30/12)-Thresholds_Rates!$C$7)*Thresholds_Rates!$C$10),0),SUM(Thresholds_Rates!$C$5-Thresholds_Rates!$C$4)*-Thresholds_Rates!$C$8)*12))</f>
        <v>1830.8160000000003</v>
      </c>
      <c r="F30" s="27">
        <f ca="1">IF($B30="","",IF(AND($B$4="Salary Points 2 to 57",B30&lt;$AA$2),"-",IF(SUMIF(Grades!$A:$A,$B$4,Grades!BO:BO)=0,"-",IF(AND($B$4="Salary Points 2 to 57",B30&gt;=$AA$2),$C30*$AD$1,IF(AND(OR($B$4="New Consultant Contract"),$B30&lt;&gt;""),$C30*$AD$1,IF(AND(OR($B$4="Clinical Lecturer / Medical Research Fellow",$B$4="Clinical Consultant - Old Contract (GP)"),$B30&lt;&gt;""),$C30*$AD$1,IF(AND(OR($B$4="APM Level 7",$B$4="R&amp;T Level 7"),E30&lt;&gt;""),$C30*$AD$1,IF(SUMIF(Grades!$A:$A,$B$4,Grades!BO:BO)=1,$C30*$AD$1,""))))))))</f>
        <v>4203.84</v>
      </c>
      <c r="G30" s="27" t="str">
        <f ca="1">IF(B30="","",IF($B$4="Salary Points 2 to 57","-",IF(SUMIF(Grades!$A:$A,$B$4,Grades!BP:BP)=0,"-",IF(AND(OR($B$4="New Consultant Contract"),$B30&lt;&gt;""),$C30*$AD$2,IF(AND(OR($B$4="Clinical Lecturer / Medical Research Fellow",$B$4="Clinical Consultant - Old Contract (GP)"),$B30&lt;&gt;""),$C30*$AD$2,IF(AND(OR($B$4="APM Level 7",$B$4="R&amp;T Level 7"),F30&lt;&gt;""),$C30*$AD$2,IF(SUMIF(Grades!$A:$A,$B$4,Grades!BP:BP)=1,$C30*$AD$2,"")))))))</f>
        <v>-</v>
      </c>
      <c r="H30" s="27">
        <f ca="1">IF($B$4="Apprenticeship","-",IF(B30="","",IF(SUMIF(Grades!$A:$A,$B$4,Grades!BQ:BQ)=0,"-",IF(AND($B$4="Salary Points 2 to 57",B30&gt;$AA$3),"-",IF(AND($B$4="Salary Points 2 to 57",B30&lt;=$AA$3),$C30*$AD$3,IF(AND(OR($B$4="New Consultant Contract"),$B30&lt;&gt;""),$C30*$AD$3,IF(AND(OR($B$4="Clinical Lecturer / Medical Research Fellow",$B$4="Clinical Consultant - Old Contract (GP)"),$B30&lt;&gt;""),$C30*$AD$3,IF(AND(OR($B$4="APM Level 7",$B$4="R&amp;T Level 7"),G30&lt;&gt;""),$C30*$AD$3,IF(SUMIF(Grades!$A:$A,$B$4,Grades!BQ:BQ)=1,$C30*$AD$3,"")))))))))</f>
        <v>10246.86</v>
      </c>
      <c r="I30" s="27">
        <f ca="1">IF($B30="","",ROUND(($C30-(Thresholds_Rates!$C$5*12))*Thresholds_Rates!$C$10,0))</f>
        <v>2528</v>
      </c>
      <c r="J30" s="27">
        <f ca="1">IF(B30="","",IF(AND($B$4="Salary Points 2 to 57",B30&gt;$AA$3),"-",IF(SUMIF(Grades!$A:$A,$B$4,Grades!BR:BR)=0,"-",IF(AND($B$4="Salary Points 2 to 57",B30&lt;=$AA$3),$C30*$AD$4,IF(AND(OR($B$4="New Consultant Contract"),$B30&lt;&gt;""),$C30*$AD$4,IF(AND(OR($B$4="Clinical Lecturer / Medical Research Fellow",$B$4="Clinical Consultant - Old Contract (GP)"),$B30&lt;&gt;""),$C30*$AD$4,IF(AND(OR($B$4="APM Level 7",$B$4="R&amp;T Level 7"),I30&lt;&gt;""),$C30*$AD$4,IF(SUMIF(Grades!$A:$A,$B$4,Grades!BQ:BQ)=1,$C30*$AD$4,""))))))))</f>
        <v>2627.4</v>
      </c>
      <c r="K30" s="6"/>
      <c r="L30" s="27">
        <f t="shared" ca="1" si="0"/>
        <v>32308.655999999999</v>
      </c>
      <c r="M30" s="27" t="str">
        <f t="shared" ca="1" si="1"/>
        <v>-</v>
      </c>
      <c r="N30" s="27">
        <f t="shared" ca="1" si="2"/>
        <v>38351.675999999999</v>
      </c>
      <c r="O30" s="27">
        <f t="shared" ca="1" si="3"/>
        <v>31429.4</v>
      </c>
      <c r="P30" s="27">
        <f t="shared" ca="1" si="4"/>
        <v>28802</v>
      </c>
      <c r="R30" s="31" t="str">
        <f ca="1">IF(B30="","",IF($B$4="R&amp;T Level 5 - Clinical Lecturers (Vet School)",SUMIF(Points_Lookup!$M:$M,$B30,Points_Lookup!N:N),IF($B$4="R&amp;T Level 6 - Clinical Associate Professors and Clinical Readers (Vet School)",SUMIF(Points_Lookup!$T:$T,$B30,Points_Lookup!U:U),"")))</f>
        <v/>
      </c>
      <c r="S30" s="32" t="str">
        <f ca="1">IF(B30="","",IF($B$4="R&amp;T Level 5 - Clinical Lecturers (Vet School)",$C30-SUMIF(Points_Lookup!$M:$M,$B30,Points_Lookup!$O:$O),IF($B$4="R&amp;T Level 6 - Clinical Associate Professors and Clinical Readers (Vet School)",$C30-SUMIF(Points_Lookup!$T:$T,$B30,Points_Lookup!$V:$V),"")))</f>
        <v/>
      </c>
      <c r="T30" s="31" t="str">
        <f ca="1">IF(B30="","",IF($B$4="R&amp;T Level 5 - Clinical Lecturers (Vet School)",SUMIF(Points_Lookup!$M:$M,$B30,Points_Lookup!Q:Q),IF($B$4="R&amp;T Level 6 - Clinical Associate Professors and Clinical Readers (Vet School)",SUMIF(Points_Lookup!$T:$T,$B30,Points_Lookup!X:X),"")))</f>
        <v/>
      </c>
      <c r="U30" s="32" t="str">
        <f t="shared" ca="1" si="5"/>
        <v/>
      </c>
      <c r="Z30" s="28">
        <v>23</v>
      </c>
    </row>
    <row r="31" spans="2:26" x14ac:dyDescent="0.25">
      <c r="B31" s="6">
        <f ca="1">IFERROR(INDEX(Points_Lookup!A:A,MATCH($Z31,Points_Lookup!$AE:$AE,0)),"")</f>
        <v>25</v>
      </c>
      <c r="C31" s="27">
        <f ca="1">IF(B31="","",IF($B$4="Apprenticeship",SUMIF(Points_Lookup!AA:AA,B31,Points_Lookup!AC:AC),IF(AND(OR($B$4="New Consultant Contract"),$B31&lt;&gt;""),INDEX(Points_Lookup!K:K,MATCH($B31,Points_Lookup!$J:$J,0)),IF(AND(OR($B$4="Clinical Lecturer / Medical Research Fellow",$B$4="Clinical Consultant - Old Contract (GP)"),$B31&lt;&gt;""),INDEX(Points_Lookup!H:H,MATCH($B31,Points_Lookup!$G:$G,0)),IF(AND(OR($B$4="APM Level 7",$B$4="R&amp;T Level 7",$B$4="APM Level 8"),B31&lt;&gt;""),INDEX(Points_Lookup!E:E,MATCH($Z31,Points_Lookup!$AE:$AE,0)),IF($B$4="R&amp;T Level 5 - Clinical Lecturers (Vet School)",SUMIF(Points_Lookup!$M:$M,$B31,Points_Lookup!$P:$P),IF($B$4="R&amp;T Level 6 - Clinical Associate Professors and Clinical Readers (Vet School)",SUMIF(Points_Lookup!$T:$T,$B31,Points_Lookup!$W:$W),IFERROR(INDEX(Points_Lookup!B:B,MATCH($Z31,Points_Lookup!$AE:$AE,0)),""))))))))</f>
        <v>27057</v>
      </c>
      <c r="D31" s="45"/>
      <c r="E31" s="27">
        <f ca="1">IF($B31="","",IF($B$4="Apprenticeship","-",SUM(IF(SUM(C31/12)&lt;Thresholds_Rates!$C$7,(SUM(C31/12)-Thresholds_Rates!$C$5)*Thresholds_Rates!$C$9,(Thresholds_Rates!$C$7-Thresholds_Rates!$C$5)*Thresholds_Rates!$C$9),IF(SUM(C31/12)&gt;Thresholds_Rates!$C$7,((SUM(C31/12)-Thresholds_Rates!$C$7)*Thresholds_Rates!$C$10),0),SUM(Thresholds_Rates!$C$5-Thresholds_Rates!$C$4)*-Thresholds_Rates!$C$8)*12))</f>
        <v>1912.248</v>
      </c>
      <c r="F31" s="27">
        <f ca="1">IF($B31="","",IF(AND($B$4="Salary Points 2 to 57",B31&lt;$AA$2),"-",IF(SUMIF(Grades!$A:$A,$B$4,Grades!BO:BO)=0,"-",IF(AND($B$4="Salary Points 2 to 57",B31&gt;=$AA$2),$C31*$AD$1,IF(AND(OR($B$4="New Consultant Contract"),$B31&lt;&gt;""),$C31*$AD$1,IF(AND(OR($B$4="Clinical Lecturer / Medical Research Fellow",$B$4="Clinical Consultant - Old Contract (GP)"),$B31&lt;&gt;""),$C31*$AD$1,IF(AND(OR($B$4="APM Level 7",$B$4="R&amp;T Level 7"),E31&lt;&gt;""),$C31*$AD$1,IF(SUMIF(Grades!$A:$A,$B$4,Grades!BO:BO)=1,$C31*$AD$1,""))))))))</f>
        <v>4329.12</v>
      </c>
      <c r="G31" s="27" t="str">
        <f ca="1">IF(B31="","",IF($B$4="Salary Points 2 to 57","-",IF(SUMIF(Grades!$A:$A,$B$4,Grades!BP:BP)=0,"-",IF(AND(OR($B$4="New Consultant Contract"),$B31&lt;&gt;""),$C31*$AD$2,IF(AND(OR($B$4="Clinical Lecturer / Medical Research Fellow",$B$4="Clinical Consultant - Old Contract (GP)"),$B31&lt;&gt;""),$C31*$AD$2,IF(AND(OR($B$4="APM Level 7",$B$4="R&amp;T Level 7"),F31&lt;&gt;""),$C31*$AD$2,IF(SUMIF(Grades!$A:$A,$B$4,Grades!BP:BP)=1,$C31*$AD$2,"")))))))</f>
        <v>-</v>
      </c>
      <c r="H31" s="27">
        <f ca="1">IF($B$4="Apprenticeship","-",IF(B31="","",IF(SUMIF(Grades!$A:$A,$B$4,Grades!BQ:BQ)=0,"-",IF(AND($B$4="Salary Points 2 to 57",B31&gt;$AA$3),"-",IF(AND($B$4="Salary Points 2 to 57",B31&lt;=$AA$3),$C31*$AD$3,IF(AND(OR($B$4="New Consultant Contract"),$B31&lt;&gt;""),$C31*$AD$3,IF(AND(OR($B$4="Clinical Lecturer / Medical Research Fellow",$B$4="Clinical Consultant - Old Contract (GP)"),$B31&lt;&gt;""),$C31*$AD$3,IF(AND(OR($B$4="APM Level 7",$B$4="R&amp;T Level 7"),G31&lt;&gt;""),$C31*$AD$3,IF(SUMIF(Grades!$A:$A,$B$4,Grades!BQ:BQ)=1,$C31*$AD$3,"")))))))))</f>
        <v>10552.23</v>
      </c>
      <c r="I31" s="27">
        <f ca="1">IF($B31="","",ROUND(($C31-(Thresholds_Rates!$C$5*12))*Thresholds_Rates!$C$10,0))</f>
        <v>2636</v>
      </c>
      <c r="J31" s="27">
        <f ca="1">IF(B31="","",IF(AND($B$4="Salary Points 2 to 57",B31&gt;$AA$3),"-",IF(SUMIF(Grades!$A:$A,$B$4,Grades!BR:BR)=0,"-",IF(AND($B$4="Salary Points 2 to 57",B31&lt;=$AA$3),$C31*$AD$4,IF(AND(OR($B$4="New Consultant Contract"),$B31&lt;&gt;""),$C31*$AD$4,IF(AND(OR($B$4="Clinical Lecturer / Medical Research Fellow",$B$4="Clinical Consultant - Old Contract (GP)"),$B31&lt;&gt;""),$C31*$AD$4,IF(AND(OR($B$4="APM Level 7",$B$4="R&amp;T Level 7"),I31&lt;&gt;""),$C31*$AD$4,IF(SUMIF(Grades!$A:$A,$B$4,Grades!BQ:BQ)=1,$C31*$AD$4,""))))))))</f>
        <v>2705.7000000000003</v>
      </c>
      <c r="K31" s="6"/>
      <c r="L31" s="27">
        <f t="shared" ca="1" si="0"/>
        <v>33298.368000000002</v>
      </c>
      <c r="M31" s="27" t="str">
        <f t="shared" ca="1" si="1"/>
        <v>-</v>
      </c>
      <c r="N31" s="27">
        <f t="shared" ca="1" si="2"/>
        <v>39521.478000000003</v>
      </c>
      <c r="O31" s="27">
        <f t="shared" ca="1" si="3"/>
        <v>32398.7</v>
      </c>
      <c r="P31" s="27">
        <f t="shared" ca="1" si="4"/>
        <v>29693</v>
      </c>
      <c r="R31" s="31" t="str">
        <f ca="1">IF(B31="","",IF($B$4="R&amp;T Level 5 - Clinical Lecturers (Vet School)",SUMIF(Points_Lookup!$M:$M,$B31,Points_Lookup!N:N),IF($B$4="R&amp;T Level 6 - Clinical Associate Professors and Clinical Readers (Vet School)",SUMIF(Points_Lookup!$T:$T,$B31,Points_Lookup!U:U),"")))</f>
        <v/>
      </c>
      <c r="S31" s="32" t="str">
        <f ca="1">IF(B31="","",IF($B$4="R&amp;T Level 5 - Clinical Lecturers (Vet School)",$C31-SUMIF(Points_Lookup!$M:$M,$B31,Points_Lookup!$O:$O),IF($B$4="R&amp;T Level 6 - Clinical Associate Professors and Clinical Readers (Vet School)",$C31-SUMIF(Points_Lookup!$T:$T,$B31,Points_Lookup!$V:$V),"")))</f>
        <v/>
      </c>
      <c r="T31" s="31" t="str">
        <f ca="1">IF(B31="","",IF($B$4="R&amp;T Level 5 - Clinical Lecturers (Vet School)",SUMIF(Points_Lookup!$M:$M,$B31,Points_Lookup!Q:Q),IF($B$4="R&amp;T Level 6 - Clinical Associate Professors and Clinical Readers (Vet School)",SUMIF(Points_Lookup!$T:$T,$B31,Points_Lookup!X:X),"")))</f>
        <v/>
      </c>
      <c r="U31" s="32" t="str">
        <f t="shared" ca="1" si="5"/>
        <v/>
      </c>
      <c r="Z31" s="28">
        <v>24</v>
      </c>
    </row>
    <row r="32" spans="2:26" x14ac:dyDescent="0.25">
      <c r="B32" s="6">
        <f ca="1">IFERROR(INDEX(Points_Lookup!A:A,MATCH($Z32,Points_Lookup!$AE:$AE,0)),"")</f>
        <v>26</v>
      </c>
      <c r="C32" s="27">
        <f ca="1">IF(B32="","",IF($B$4="Apprenticeship",SUMIF(Points_Lookup!AA:AA,B32,Points_Lookup!AC:AC),IF(AND(OR($B$4="New Consultant Contract"),$B32&lt;&gt;""),INDEX(Points_Lookup!K:K,MATCH($B32,Points_Lookup!$J:$J,0)),IF(AND(OR($B$4="Clinical Lecturer / Medical Research Fellow",$B$4="Clinical Consultant - Old Contract (GP)"),$B32&lt;&gt;""),INDEX(Points_Lookup!H:H,MATCH($B32,Points_Lookup!$G:$G,0)),IF(AND(OR($B$4="APM Level 7",$B$4="R&amp;T Level 7",$B$4="APM Level 8"),B32&lt;&gt;""),INDEX(Points_Lookup!E:E,MATCH($Z32,Points_Lookup!$AE:$AE,0)),IF($B$4="R&amp;T Level 5 - Clinical Lecturers (Vet School)",SUMIF(Points_Lookup!$M:$M,$B32,Points_Lookup!$P:$P),IF($B$4="R&amp;T Level 6 - Clinical Associate Professors and Clinical Readers (Vet School)",SUMIF(Points_Lookup!$T:$T,$B32,Points_Lookup!$W:$W),IFERROR(INDEX(Points_Lookup!B:B,MATCH($Z32,Points_Lookup!$AE:$AE,0)),""))))))))</f>
        <v>27864</v>
      </c>
      <c r="D32" s="45"/>
      <c r="E32" s="27">
        <f ca="1">IF($B32="","",IF($B$4="Apprenticeship","-",SUM(IF(SUM(C32/12)&lt;Thresholds_Rates!$C$7,(SUM(C32/12)-Thresholds_Rates!$C$5)*Thresholds_Rates!$C$9,(Thresholds_Rates!$C$7-Thresholds_Rates!$C$5)*Thresholds_Rates!$C$9),IF(SUM(C32/12)&gt;Thresholds_Rates!$C$7,((SUM(C32/12)-Thresholds_Rates!$C$7)*Thresholds_Rates!$C$10),0),SUM(Thresholds_Rates!$C$5-Thresholds_Rates!$C$4)*-Thresholds_Rates!$C$8)*12))</f>
        <v>1996.1760000000002</v>
      </c>
      <c r="F32" s="27">
        <f ca="1">IF($B32="","",IF(AND($B$4="Salary Points 2 to 57",B32&lt;$AA$2),"-",IF(SUMIF(Grades!$A:$A,$B$4,Grades!BO:BO)=0,"-",IF(AND($B$4="Salary Points 2 to 57",B32&gt;=$AA$2),$C32*$AD$1,IF(AND(OR($B$4="New Consultant Contract"),$B32&lt;&gt;""),$C32*$AD$1,IF(AND(OR($B$4="Clinical Lecturer / Medical Research Fellow",$B$4="Clinical Consultant - Old Contract (GP)"),$B32&lt;&gt;""),$C32*$AD$1,IF(AND(OR($B$4="APM Level 7",$B$4="R&amp;T Level 7"),E32&lt;&gt;""),$C32*$AD$1,IF(SUMIF(Grades!$A:$A,$B$4,Grades!BO:BO)=1,$C32*$AD$1,""))))))))</f>
        <v>4458.24</v>
      </c>
      <c r="G32" s="27" t="str">
        <f ca="1">IF(B32="","",IF($B$4="Salary Points 2 to 57","-",IF(SUMIF(Grades!$A:$A,$B$4,Grades!BP:BP)=0,"-",IF(AND(OR($B$4="New Consultant Contract"),$B32&lt;&gt;""),$C32*$AD$2,IF(AND(OR($B$4="Clinical Lecturer / Medical Research Fellow",$B$4="Clinical Consultant - Old Contract (GP)"),$B32&lt;&gt;""),$C32*$AD$2,IF(AND(OR($B$4="APM Level 7",$B$4="R&amp;T Level 7"),F32&lt;&gt;""),$C32*$AD$2,IF(SUMIF(Grades!$A:$A,$B$4,Grades!BP:BP)=1,$C32*$AD$2,"")))))))</f>
        <v>-</v>
      </c>
      <c r="H32" s="27">
        <f ca="1">IF($B$4="Apprenticeship","-",IF(B32="","",IF(SUMIF(Grades!$A:$A,$B$4,Grades!BQ:BQ)=0,"-",IF(AND($B$4="Salary Points 2 to 57",B32&gt;$AA$3),"-",IF(AND($B$4="Salary Points 2 to 57",B32&lt;=$AA$3),$C32*$AD$3,IF(AND(OR($B$4="New Consultant Contract"),$B32&lt;&gt;""),$C32*$AD$3,IF(AND(OR($B$4="Clinical Lecturer / Medical Research Fellow",$B$4="Clinical Consultant - Old Contract (GP)"),$B32&lt;&gt;""),$C32*$AD$3,IF(AND(OR($B$4="APM Level 7",$B$4="R&amp;T Level 7"),G32&lt;&gt;""),$C32*$AD$3,IF(SUMIF(Grades!$A:$A,$B$4,Grades!BQ:BQ)=1,$C32*$AD$3,"")))))))))</f>
        <v>10866.960000000001</v>
      </c>
      <c r="I32" s="27">
        <f ca="1">IF($B32="","",ROUND(($C32-(Thresholds_Rates!$C$5*12))*Thresholds_Rates!$C$10,0))</f>
        <v>2747</v>
      </c>
      <c r="J32" s="27">
        <f ca="1">IF(B32="","",IF(AND($B$4="Salary Points 2 to 57",B32&gt;$AA$3),"-",IF(SUMIF(Grades!$A:$A,$B$4,Grades!BR:BR)=0,"-",IF(AND($B$4="Salary Points 2 to 57",B32&lt;=$AA$3),$C32*$AD$4,IF(AND(OR($B$4="New Consultant Contract"),$B32&lt;&gt;""),$C32*$AD$4,IF(AND(OR($B$4="Clinical Lecturer / Medical Research Fellow",$B$4="Clinical Consultant - Old Contract (GP)"),$B32&lt;&gt;""),$C32*$AD$4,IF(AND(OR($B$4="APM Level 7",$B$4="R&amp;T Level 7"),I32&lt;&gt;""),$C32*$AD$4,IF(SUMIF(Grades!$A:$A,$B$4,Grades!BQ:BQ)=1,$C32*$AD$4,""))))))))</f>
        <v>2786.4</v>
      </c>
      <c r="K32" s="6"/>
      <c r="L32" s="27">
        <f t="shared" ca="1" si="0"/>
        <v>34318.415999999997</v>
      </c>
      <c r="M32" s="27" t="str">
        <f t="shared" ca="1" si="1"/>
        <v>-</v>
      </c>
      <c r="N32" s="27">
        <f t="shared" ca="1" si="2"/>
        <v>40727.135999999999</v>
      </c>
      <c r="O32" s="27">
        <f t="shared" ca="1" si="3"/>
        <v>33397.4</v>
      </c>
      <c r="P32" s="27">
        <f t="shared" ca="1" si="4"/>
        <v>30611</v>
      </c>
      <c r="R32" s="31" t="str">
        <f ca="1">IF(B32="","",IF($B$4="R&amp;T Level 5 - Clinical Lecturers (Vet School)",SUMIF(Points_Lookup!$M:$M,$B32,Points_Lookup!N:N),IF($B$4="R&amp;T Level 6 - Clinical Associate Professors and Clinical Readers (Vet School)",SUMIF(Points_Lookup!$T:$T,$B32,Points_Lookup!U:U),"")))</f>
        <v/>
      </c>
      <c r="S32" s="32" t="str">
        <f ca="1">IF(B32="","",IF($B$4="R&amp;T Level 5 - Clinical Lecturers (Vet School)",$C32-SUMIF(Points_Lookup!$M:$M,$B32,Points_Lookup!$O:$O),IF($B$4="R&amp;T Level 6 - Clinical Associate Professors and Clinical Readers (Vet School)",$C32-SUMIF(Points_Lookup!$T:$T,$B32,Points_Lookup!$V:$V),"")))</f>
        <v/>
      </c>
      <c r="T32" s="31" t="str">
        <f ca="1">IF(B32="","",IF($B$4="R&amp;T Level 5 - Clinical Lecturers (Vet School)",SUMIF(Points_Lookup!$M:$M,$B32,Points_Lookup!Q:Q),IF($B$4="R&amp;T Level 6 - Clinical Associate Professors and Clinical Readers (Vet School)",SUMIF(Points_Lookup!$T:$T,$B32,Points_Lookup!X:X),"")))</f>
        <v/>
      </c>
      <c r="U32" s="32" t="str">
        <f t="shared" ca="1" si="5"/>
        <v/>
      </c>
      <c r="Z32" s="28">
        <v>25</v>
      </c>
    </row>
    <row r="33" spans="2:26" x14ac:dyDescent="0.25">
      <c r="B33" s="6">
        <f ca="1">IFERROR(INDEX(Points_Lookup!A:A,MATCH($Z33,Points_Lookup!$AE:$AE,0)),"")</f>
        <v>27</v>
      </c>
      <c r="C33" s="27">
        <f ca="1">IF(B33="","",IF($B$4="Apprenticeship",SUMIF(Points_Lookup!AA:AA,B33,Points_Lookup!AC:AC),IF(AND(OR($B$4="New Consultant Contract"),$B33&lt;&gt;""),INDEX(Points_Lookup!K:K,MATCH($B33,Points_Lookup!$J:$J,0)),IF(AND(OR($B$4="Clinical Lecturer / Medical Research Fellow",$B$4="Clinical Consultant - Old Contract (GP)"),$B33&lt;&gt;""),INDEX(Points_Lookup!H:H,MATCH($B33,Points_Lookup!$G:$G,0)),IF(AND(OR($B$4="APM Level 7",$B$4="R&amp;T Level 7",$B$4="APM Level 8"),B33&lt;&gt;""),INDEX(Points_Lookup!E:E,MATCH($Z33,Points_Lookup!$AE:$AE,0)),IF($B$4="R&amp;T Level 5 - Clinical Lecturers (Vet School)",SUMIF(Points_Lookup!$M:$M,$B33,Points_Lookup!$P:$P),IF($B$4="R&amp;T Level 6 - Clinical Associate Professors and Clinical Readers (Vet School)",SUMIF(Points_Lookup!$T:$T,$B33,Points_Lookup!$W:$W),IFERROR(INDEX(Points_Lookup!B:B,MATCH($Z33,Points_Lookup!$AE:$AE,0)),""))))))))</f>
        <v>28695</v>
      </c>
      <c r="D33" s="45"/>
      <c r="E33" s="27">
        <f ca="1">IF($B33="","",IF($B$4="Apprenticeship","-",SUM(IF(SUM(C33/12)&lt;Thresholds_Rates!$C$7,(SUM(C33/12)-Thresholds_Rates!$C$5)*Thresholds_Rates!$C$9,(Thresholds_Rates!$C$7-Thresholds_Rates!$C$5)*Thresholds_Rates!$C$9),IF(SUM(C33/12)&gt;Thresholds_Rates!$C$7,((SUM(C33/12)-Thresholds_Rates!$C$7)*Thresholds_Rates!$C$10),0),SUM(Thresholds_Rates!$C$5-Thresholds_Rates!$C$4)*-Thresholds_Rates!$C$8)*12))</f>
        <v>2082.6000000000004</v>
      </c>
      <c r="F33" s="27">
        <f ca="1">IF($B33="","",IF(AND($B$4="Salary Points 2 to 57",B33&lt;$AA$2),"-",IF(SUMIF(Grades!$A:$A,$B$4,Grades!BO:BO)=0,"-",IF(AND($B$4="Salary Points 2 to 57",B33&gt;=$AA$2),$C33*$AD$1,IF(AND(OR($B$4="New Consultant Contract"),$B33&lt;&gt;""),$C33*$AD$1,IF(AND(OR($B$4="Clinical Lecturer / Medical Research Fellow",$B$4="Clinical Consultant - Old Contract (GP)"),$B33&lt;&gt;""),$C33*$AD$1,IF(AND(OR($B$4="APM Level 7",$B$4="R&amp;T Level 7"),E33&lt;&gt;""),$C33*$AD$1,IF(SUMIF(Grades!$A:$A,$B$4,Grades!BO:BO)=1,$C33*$AD$1,""))))))))</f>
        <v>4591.2</v>
      </c>
      <c r="G33" s="27" t="str">
        <f ca="1">IF(B33="","",IF($B$4="Salary Points 2 to 57","-",IF(SUMIF(Grades!$A:$A,$B$4,Grades!BP:BP)=0,"-",IF(AND(OR($B$4="New Consultant Contract"),$B33&lt;&gt;""),$C33*$AD$2,IF(AND(OR($B$4="Clinical Lecturer / Medical Research Fellow",$B$4="Clinical Consultant - Old Contract (GP)"),$B33&lt;&gt;""),$C33*$AD$2,IF(AND(OR($B$4="APM Level 7",$B$4="R&amp;T Level 7"),F33&lt;&gt;""),$C33*$AD$2,IF(SUMIF(Grades!$A:$A,$B$4,Grades!BP:BP)=1,$C33*$AD$2,"")))))))</f>
        <v>-</v>
      </c>
      <c r="H33" s="27">
        <f ca="1">IF($B$4="Apprenticeship","-",IF(B33="","",IF(SUMIF(Grades!$A:$A,$B$4,Grades!BQ:BQ)=0,"-",IF(AND($B$4="Salary Points 2 to 57",B33&gt;$AA$3),"-",IF(AND($B$4="Salary Points 2 to 57",B33&lt;=$AA$3),$C33*$AD$3,IF(AND(OR($B$4="New Consultant Contract"),$B33&lt;&gt;""),$C33*$AD$3,IF(AND(OR($B$4="Clinical Lecturer / Medical Research Fellow",$B$4="Clinical Consultant - Old Contract (GP)"),$B33&lt;&gt;""),$C33*$AD$3,IF(AND(OR($B$4="APM Level 7",$B$4="R&amp;T Level 7"),G33&lt;&gt;""),$C33*$AD$3,IF(SUMIF(Grades!$A:$A,$B$4,Grades!BQ:BQ)=1,$C33*$AD$3,"")))))))))</f>
        <v>11191.050000000001</v>
      </c>
      <c r="I33" s="27">
        <f ca="1">IF($B33="","",ROUND(($C33-(Thresholds_Rates!$C$5*12))*Thresholds_Rates!$C$10,0))</f>
        <v>2862</v>
      </c>
      <c r="J33" s="27">
        <f ca="1">IF(B33="","",IF(AND($B$4="Salary Points 2 to 57",B33&gt;$AA$3),"-",IF(SUMIF(Grades!$A:$A,$B$4,Grades!BR:BR)=0,"-",IF(AND($B$4="Salary Points 2 to 57",B33&lt;=$AA$3),$C33*$AD$4,IF(AND(OR($B$4="New Consultant Contract"),$B33&lt;&gt;""),$C33*$AD$4,IF(AND(OR($B$4="Clinical Lecturer / Medical Research Fellow",$B$4="Clinical Consultant - Old Contract (GP)"),$B33&lt;&gt;""),$C33*$AD$4,IF(AND(OR($B$4="APM Level 7",$B$4="R&amp;T Level 7"),I33&lt;&gt;""),$C33*$AD$4,IF(SUMIF(Grades!$A:$A,$B$4,Grades!BQ:BQ)=1,$C33*$AD$4,""))))))))</f>
        <v>2869.5</v>
      </c>
      <c r="K33" s="6"/>
      <c r="L33" s="27">
        <f t="shared" ca="1" si="0"/>
        <v>35368.799999999996</v>
      </c>
      <c r="M33" s="27" t="str">
        <f t="shared" ca="1" si="1"/>
        <v>-</v>
      </c>
      <c r="N33" s="27">
        <f t="shared" ca="1" si="2"/>
        <v>41968.65</v>
      </c>
      <c r="O33" s="27">
        <f t="shared" ca="1" si="3"/>
        <v>34426.5</v>
      </c>
      <c r="P33" s="27">
        <f t="shared" ca="1" si="4"/>
        <v>31557</v>
      </c>
      <c r="R33" s="31" t="str">
        <f ca="1">IF(B33="","",IF($B$4="R&amp;T Level 5 - Clinical Lecturers (Vet School)",SUMIF(Points_Lookup!$M:$M,$B33,Points_Lookup!N:N),IF($B$4="R&amp;T Level 6 - Clinical Associate Professors and Clinical Readers (Vet School)",SUMIF(Points_Lookup!$T:$T,$B33,Points_Lookup!U:U),"")))</f>
        <v/>
      </c>
      <c r="S33" s="32" t="str">
        <f ca="1">IF(B33="","",IF($B$4="R&amp;T Level 5 - Clinical Lecturers (Vet School)",$C33-SUMIF(Points_Lookup!$M:$M,$B33,Points_Lookup!$O:$O),IF($B$4="R&amp;T Level 6 - Clinical Associate Professors and Clinical Readers (Vet School)",$C33-SUMIF(Points_Lookup!$T:$T,$B33,Points_Lookup!$V:$V),"")))</f>
        <v/>
      </c>
      <c r="T33" s="31" t="str">
        <f ca="1">IF(B33="","",IF($B$4="R&amp;T Level 5 - Clinical Lecturers (Vet School)",SUMIF(Points_Lookup!$M:$M,$B33,Points_Lookup!Q:Q),IF($B$4="R&amp;T Level 6 - Clinical Associate Professors and Clinical Readers (Vet School)",SUMIF(Points_Lookup!$T:$T,$B33,Points_Lookup!X:X),"")))</f>
        <v/>
      </c>
      <c r="U33" s="32" t="str">
        <f t="shared" ca="1" si="5"/>
        <v/>
      </c>
      <c r="Z33" s="28">
        <v>26</v>
      </c>
    </row>
    <row r="34" spans="2:26" x14ac:dyDescent="0.25">
      <c r="B34" s="6">
        <f ca="1">IFERROR(INDEX(Points_Lookup!A:A,MATCH($Z34,Points_Lookup!$AE:$AE,0)),"")</f>
        <v>28</v>
      </c>
      <c r="C34" s="27">
        <f ca="1">IF(B34="","",IF($B$4="Apprenticeship",SUMIF(Points_Lookup!AA:AA,B34,Points_Lookup!AC:AC),IF(AND(OR($B$4="New Consultant Contract"),$B34&lt;&gt;""),INDEX(Points_Lookup!K:K,MATCH($B34,Points_Lookup!$J:$J,0)),IF(AND(OR($B$4="Clinical Lecturer / Medical Research Fellow",$B$4="Clinical Consultant - Old Contract (GP)"),$B34&lt;&gt;""),INDEX(Points_Lookup!H:H,MATCH($B34,Points_Lookup!$G:$G,0)),IF(AND(OR($B$4="APM Level 7",$B$4="R&amp;T Level 7",$B$4="APM Level 8"),B34&lt;&gt;""),INDEX(Points_Lookup!E:E,MATCH($Z34,Points_Lookup!$AE:$AE,0)),IF($B$4="R&amp;T Level 5 - Clinical Lecturers (Vet School)",SUMIF(Points_Lookup!$M:$M,$B34,Points_Lookup!$P:$P),IF($B$4="R&amp;T Level 6 - Clinical Associate Professors and Clinical Readers (Vet School)",SUMIF(Points_Lookup!$T:$T,$B34,Points_Lookup!$W:$W),IFERROR(INDEX(Points_Lookup!B:B,MATCH($Z34,Points_Lookup!$AE:$AE,0)),""))))))))</f>
        <v>29552</v>
      </c>
      <c r="D34" s="45"/>
      <c r="E34" s="27">
        <f ca="1">IF($B34="","",IF($B$4="Apprenticeship","-",SUM(IF(SUM(C34/12)&lt;Thresholds_Rates!$C$7,(SUM(C34/12)-Thresholds_Rates!$C$5)*Thresholds_Rates!$C$9,(Thresholds_Rates!$C$7-Thresholds_Rates!$C$5)*Thresholds_Rates!$C$9),IF(SUM(C34/12)&gt;Thresholds_Rates!$C$7,((SUM(C34/12)-Thresholds_Rates!$C$7)*Thresholds_Rates!$C$10),0),SUM(Thresholds_Rates!$C$5-Thresholds_Rates!$C$4)*-Thresholds_Rates!$C$8)*12))</f>
        <v>2171.7280000000001</v>
      </c>
      <c r="F34" s="27">
        <f ca="1">IF($B34="","",IF(AND($B$4="Salary Points 2 to 57",B34&lt;$AA$2),"-",IF(SUMIF(Grades!$A:$A,$B$4,Grades!BO:BO)=0,"-",IF(AND($B$4="Salary Points 2 to 57",B34&gt;=$AA$2),$C34*$AD$1,IF(AND(OR($B$4="New Consultant Contract"),$B34&lt;&gt;""),$C34*$AD$1,IF(AND(OR($B$4="Clinical Lecturer / Medical Research Fellow",$B$4="Clinical Consultant - Old Contract (GP)"),$B34&lt;&gt;""),$C34*$AD$1,IF(AND(OR($B$4="APM Level 7",$B$4="R&amp;T Level 7"),E34&lt;&gt;""),$C34*$AD$1,IF(SUMIF(Grades!$A:$A,$B$4,Grades!BO:BO)=1,$C34*$AD$1,""))))))))</f>
        <v>4728.32</v>
      </c>
      <c r="G34" s="27" t="str">
        <f ca="1">IF(B34="","",IF($B$4="Salary Points 2 to 57","-",IF(SUMIF(Grades!$A:$A,$B$4,Grades!BP:BP)=0,"-",IF(AND(OR($B$4="New Consultant Contract"),$B34&lt;&gt;""),$C34*$AD$2,IF(AND(OR($B$4="Clinical Lecturer / Medical Research Fellow",$B$4="Clinical Consultant - Old Contract (GP)"),$B34&lt;&gt;""),$C34*$AD$2,IF(AND(OR($B$4="APM Level 7",$B$4="R&amp;T Level 7"),F34&lt;&gt;""),$C34*$AD$2,IF(SUMIF(Grades!$A:$A,$B$4,Grades!BP:BP)=1,$C34*$AD$2,"")))))))</f>
        <v>-</v>
      </c>
      <c r="H34" s="27">
        <f ca="1">IF($B$4="Apprenticeship","-",IF(B34="","",IF(SUMIF(Grades!$A:$A,$B$4,Grades!BQ:BQ)=0,"-",IF(AND($B$4="Salary Points 2 to 57",B34&gt;$AA$3),"-",IF(AND($B$4="Salary Points 2 to 57",B34&lt;=$AA$3),$C34*$AD$3,IF(AND(OR($B$4="New Consultant Contract"),$B34&lt;&gt;""),$C34*$AD$3,IF(AND(OR($B$4="Clinical Lecturer / Medical Research Fellow",$B$4="Clinical Consultant - Old Contract (GP)"),$B34&lt;&gt;""),$C34*$AD$3,IF(AND(OR($B$4="APM Level 7",$B$4="R&amp;T Level 7"),G34&lt;&gt;""),$C34*$AD$3,IF(SUMIF(Grades!$A:$A,$B$4,Grades!BQ:BQ)=1,$C34*$AD$3,"")))))))))</f>
        <v>11525.28</v>
      </c>
      <c r="I34" s="27">
        <f ca="1">IF($B34="","",ROUND(($C34-(Thresholds_Rates!$C$5*12))*Thresholds_Rates!$C$10,0))</f>
        <v>2980</v>
      </c>
      <c r="J34" s="27">
        <f ca="1">IF(B34="","",IF(AND($B$4="Salary Points 2 to 57",B34&gt;$AA$3),"-",IF(SUMIF(Grades!$A:$A,$B$4,Grades!BR:BR)=0,"-",IF(AND($B$4="Salary Points 2 to 57",B34&lt;=$AA$3),$C34*$AD$4,IF(AND(OR($B$4="New Consultant Contract"),$B34&lt;&gt;""),$C34*$AD$4,IF(AND(OR($B$4="Clinical Lecturer / Medical Research Fellow",$B$4="Clinical Consultant - Old Contract (GP)"),$B34&lt;&gt;""),$C34*$AD$4,IF(AND(OR($B$4="APM Level 7",$B$4="R&amp;T Level 7"),I34&lt;&gt;""),$C34*$AD$4,IF(SUMIF(Grades!$A:$A,$B$4,Grades!BQ:BQ)=1,$C34*$AD$4,""))))))))</f>
        <v>2955.2000000000003</v>
      </c>
      <c r="K34" s="6"/>
      <c r="L34" s="27">
        <f t="shared" ca="1" si="0"/>
        <v>36452.047999999995</v>
      </c>
      <c r="M34" s="27" t="str">
        <f t="shared" ca="1" si="1"/>
        <v>-</v>
      </c>
      <c r="N34" s="27">
        <f t="shared" ca="1" si="2"/>
        <v>43249.008000000002</v>
      </c>
      <c r="O34" s="27">
        <f t="shared" ca="1" si="3"/>
        <v>35487.199999999997</v>
      </c>
      <c r="P34" s="27">
        <f t="shared" ca="1" si="4"/>
        <v>32532</v>
      </c>
      <c r="R34" s="31" t="str">
        <f ca="1">IF(B34="","",IF($B$4="R&amp;T Level 5 - Clinical Lecturers (Vet School)",SUMIF(Points_Lookup!$M:$M,$B34,Points_Lookup!N:N),IF($B$4="R&amp;T Level 6 - Clinical Associate Professors and Clinical Readers (Vet School)",SUMIF(Points_Lookup!$T:$T,$B34,Points_Lookup!U:U),"")))</f>
        <v/>
      </c>
      <c r="S34" s="32" t="str">
        <f ca="1">IF(B34="","",IF($B$4="R&amp;T Level 5 - Clinical Lecturers (Vet School)",$C34-SUMIF(Points_Lookup!$M:$M,$B34,Points_Lookup!$O:$O),IF($B$4="R&amp;T Level 6 - Clinical Associate Professors and Clinical Readers (Vet School)",$C34-SUMIF(Points_Lookup!$T:$T,$B34,Points_Lookup!$V:$V),"")))</f>
        <v/>
      </c>
      <c r="T34" s="31" t="str">
        <f ca="1">IF(B34="","",IF($B$4="R&amp;T Level 5 - Clinical Lecturers (Vet School)",SUMIF(Points_Lookup!$M:$M,$B34,Points_Lookup!Q:Q),IF($B$4="R&amp;T Level 6 - Clinical Associate Professors and Clinical Readers (Vet School)",SUMIF(Points_Lookup!$T:$T,$B34,Points_Lookup!X:X),"")))</f>
        <v/>
      </c>
      <c r="U34" s="32" t="str">
        <f t="shared" ca="1" si="5"/>
        <v/>
      </c>
      <c r="Z34" s="28">
        <v>27</v>
      </c>
    </row>
    <row r="35" spans="2:26" x14ac:dyDescent="0.25">
      <c r="B35" s="6">
        <f ca="1">IFERROR(INDEX(Points_Lookup!A:A,MATCH($Z35,Points_Lookup!$AE:$AE,0)),"")</f>
        <v>29</v>
      </c>
      <c r="C35" s="27">
        <f ca="1">IF(B35="","",IF($B$4="Apprenticeship",SUMIF(Points_Lookup!AA:AA,B35,Points_Lookup!AC:AC),IF(AND(OR($B$4="New Consultant Contract"),$B35&lt;&gt;""),INDEX(Points_Lookup!K:K,MATCH($B35,Points_Lookup!$J:$J,0)),IF(AND(OR($B$4="Clinical Lecturer / Medical Research Fellow",$B$4="Clinical Consultant - Old Contract (GP)"),$B35&lt;&gt;""),INDEX(Points_Lookup!H:H,MATCH($B35,Points_Lookup!$G:$G,0)),IF(AND(OR($B$4="APM Level 7",$B$4="R&amp;T Level 7",$B$4="APM Level 8"),B35&lt;&gt;""),INDEX(Points_Lookup!E:E,MATCH($Z35,Points_Lookup!$AE:$AE,0)),IF($B$4="R&amp;T Level 5 - Clinical Lecturers (Vet School)",SUMIF(Points_Lookup!$M:$M,$B35,Points_Lookup!$P:$P),IF($B$4="R&amp;T Level 6 - Clinical Associate Professors and Clinical Readers (Vet School)",SUMIF(Points_Lookup!$T:$T,$B35,Points_Lookup!$W:$W),IFERROR(INDEX(Points_Lookup!B:B,MATCH($Z35,Points_Lookup!$AE:$AE,0)),""))))))))</f>
        <v>30434</v>
      </c>
      <c r="D35" s="45"/>
      <c r="E35" s="27">
        <f ca="1">IF($B35="","",IF($B$4="Apprenticeship","-",SUM(IF(SUM(C35/12)&lt;Thresholds_Rates!$C$7,(SUM(C35/12)-Thresholds_Rates!$C$5)*Thresholds_Rates!$C$9,(Thresholds_Rates!$C$7-Thresholds_Rates!$C$5)*Thresholds_Rates!$C$9),IF(SUM(C35/12)&gt;Thresholds_Rates!$C$7,((SUM(C35/12)-Thresholds_Rates!$C$7)*Thresholds_Rates!$C$10),0),SUM(Thresholds_Rates!$C$5-Thresholds_Rates!$C$4)*-Thresholds_Rates!$C$8)*12))</f>
        <v>2263.4560000000001</v>
      </c>
      <c r="F35" s="27">
        <f ca="1">IF($B35="","",IF(AND($B$4="Salary Points 2 to 57",B35&lt;$AA$2),"-",IF(SUMIF(Grades!$A:$A,$B$4,Grades!BO:BO)=0,"-",IF(AND($B$4="Salary Points 2 to 57",B35&gt;=$AA$2),$C35*$AD$1,IF(AND(OR($B$4="New Consultant Contract"),$B35&lt;&gt;""),$C35*$AD$1,IF(AND(OR($B$4="Clinical Lecturer / Medical Research Fellow",$B$4="Clinical Consultant - Old Contract (GP)"),$B35&lt;&gt;""),$C35*$AD$1,IF(AND(OR($B$4="APM Level 7",$B$4="R&amp;T Level 7"),E35&lt;&gt;""),$C35*$AD$1,IF(SUMIF(Grades!$A:$A,$B$4,Grades!BO:BO)=1,$C35*$AD$1,""))))))))</f>
        <v>4869.4400000000005</v>
      </c>
      <c r="G35" s="27" t="str">
        <f ca="1">IF(B35="","",IF($B$4="Salary Points 2 to 57","-",IF(SUMIF(Grades!$A:$A,$B$4,Grades!BP:BP)=0,"-",IF(AND(OR($B$4="New Consultant Contract"),$B35&lt;&gt;""),$C35*$AD$2,IF(AND(OR($B$4="Clinical Lecturer / Medical Research Fellow",$B$4="Clinical Consultant - Old Contract (GP)"),$B35&lt;&gt;""),$C35*$AD$2,IF(AND(OR($B$4="APM Level 7",$B$4="R&amp;T Level 7"),F35&lt;&gt;""),$C35*$AD$2,IF(SUMIF(Grades!$A:$A,$B$4,Grades!BP:BP)=1,$C35*$AD$2,"")))))))</f>
        <v>-</v>
      </c>
      <c r="H35" s="27">
        <f ca="1">IF($B$4="Apprenticeship","-",IF(B35="","",IF(SUMIF(Grades!$A:$A,$B$4,Grades!BQ:BQ)=0,"-",IF(AND($B$4="Salary Points 2 to 57",B35&gt;$AA$3),"-",IF(AND($B$4="Salary Points 2 to 57",B35&lt;=$AA$3),$C35*$AD$3,IF(AND(OR($B$4="New Consultant Contract"),$B35&lt;&gt;""),$C35*$AD$3,IF(AND(OR($B$4="Clinical Lecturer / Medical Research Fellow",$B$4="Clinical Consultant - Old Contract (GP)"),$B35&lt;&gt;""),$C35*$AD$3,IF(AND(OR($B$4="APM Level 7",$B$4="R&amp;T Level 7"),G35&lt;&gt;""),$C35*$AD$3,IF(SUMIF(Grades!$A:$A,$B$4,Grades!BQ:BQ)=1,$C35*$AD$3,"")))))))))</f>
        <v>11869.26</v>
      </c>
      <c r="I35" s="27">
        <f ca="1">IF($B35="","",ROUND(($C35-(Thresholds_Rates!$C$5*12))*Thresholds_Rates!$C$10,0))</f>
        <v>3102</v>
      </c>
      <c r="J35" s="27">
        <f ca="1">IF(B35="","",IF(AND($B$4="Salary Points 2 to 57",B35&gt;$AA$3),"-",IF(SUMIF(Grades!$A:$A,$B$4,Grades!BR:BR)=0,"-",IF(AND($B$4="Salary Points 2 to 57",B35&lt;=$AA$3),$C35*$AD$4,IF(AND(OR($B$4="New Consultant Contract"),$B35&lt;&gt;""),$C35*$AD$4,IF(AND(OR($B$4="Clinical Lecturer / Medical Research Fellow",$B$4="Clinical Consultant - Old Contract (GP)"),$B35&lt;&gt;""),$C35*$AD$4,IF(AND(OR($B$4="APM Level 7",$B$4="R&amp;T Level 7"),I35&lt;&gt;""),$C35*$AD$4,IF(SUMIF(Grades!$A:$A,$B$4,Grades!BQ:BQ)=1,$C35*$AD$4,""))))))))</f>
        <v>3043.4</v>
      </c>
      <c r="K35" s="6"/>
      <c r="L35" s="27">
        <f t="shared" ca="1" si="0"/>
        <v>37566.896000000001</v>
      </c>
      <c r="M35" s="27" t="str">
        <f t="shared" ca="1" si="1"/>
        <v>-</v>
      </c>
      <c r="N35" s="27">
        <f t="shared" ca="1" si="2"/>
        <v>44566.716</v>
      </c>
      <c r="O35" s="27">
        <f t="shared" ca="1" si="3"/>
        <v>36579.4</v>
      </c>
      <c r="P35" s="27">
        <f t="shared" ca="1" si="4"/>
        <v>33536</v>
      </c>
      <c r="R35" s="31" t="str">
        <f ca="1">IF(B35="","",IF($B$4="R&amp;T Level 5 - Clinical Lecturers (Vet School)",SUMIF(Points_Lookup!$M:$M,$B35,Points_Lookup!N:N),IF($B$4="R&amp;T Level 6 - Clinical Associate Professors and Clinical Readers (Vet School)",SUMIF(Points_Lookup!$T:$T,$B35,Points_Lookup!U:U),"")))</f>
        <v/>
      </c>
      <c r="S35" s="32" t="str">
        <f ca="1">IF(B35="","",IF($B$4="R&amp;T Level 5 - Clinical Lecturers (Vet School)",$C35-SUMIF(Points_Lookup!$M:$M,$B35,Points_Lookup!$O:$O),IF($B$4="R&amp;T Level 6 - Clinical Associate Professors and Clinical Readers (Vet School)",$C35-SUMIF(Points_Lookup!$T:$T,$B35,Points_Lookup!$V:$V),"")))</f>
        <v/>
      </c>
      <c r="T35" s="31" t="str">
        <f ca="1">IF(B35="","",IF($B$4="R&amp;T Level 5 - Clinical Lecturers (Vet School)",SUMIF(Points_Lookup!$M:$M,$B35,Points_Lookup!Q:Q),IF($B$4="R&amp;T Level 6 - Clinical Associate Professors and Clinical Readers (Vet School)",SUMIF(Points_Lookup!$T:$T,$B35,Points_Lookup!X:X),"")))</f>
        <v/>
      </c>
      <c r="U35" s="32" t="str">
        <f t="shared" ca="1" si="5"/>
        <v/>
      </c>
      <c r="Z35" s="28">
        <v>28</v>
      </c>
    </row>
    <row r="36" spans="2:26" x14ac:dyDescent="0.25">
      <c r="B36" s="6">
        <f ca="1">IFERROR(INDEX(Points_Lookup!A:A,MATCH($Z36,Points_Lookup!$AE:$AE,0)),"")</f>
        <v>30</v>
      </c>
      <c r="C36" s="27">
        <f ca="1">IF(B36="","",IF($B$4="Apprenticeship",SUMIF(Points_Lookup!AA:AA,B36,Points_Lookup!AC:AC),IF(AND(OR($B$4="New Consultant Contract"),$B36&lt;&gt;""),INDEX(Points_Lookup!K:K,MATCH($B36,Points_Lookup!$J:$J,0)),IF(AND(OR($B$4="Clinical Lecturer / Medical Research Fellow",$B$4="Clinical Consultant - Old Contract (GP)"),$B36&lt;&gt;""),INDEX(Points_Lookup!H:H,MATCH($B36,Points_Lookup!$G:$G,0)),IF(AND(OR($B$4="APM Level 7",$B$4="R&amp;T Level 7",$B$4="APM Level 8"),B36&lt;&gt;""),INDEX(Points_Lookup!E:E,MATCH($Z36,Points_Lookup!$AE:$AE,0)),IF($B$4="R&amp;T Level 5 - Clinical Lecturers (Vet School)",SUMIF(Points_Lookup!$M:$M,$B36,Points_Lookup!$P:$P),IF($B$4="R&amp;T Level 6 - Clinical Associate Professors and Clinical Readers (Vet School)",SUMIF(Points_Lookup!$T:$T,$B36,Points_Lookup!$W:$W),IFERROR(INDEX(Points_Lookup!B:B,MATCH($Z36,Points_Lookup!$AE:$AE,0)),""))))))))</f>
        <v>31342</v>
      </c>
      <c r="D36" s="45"/>
      <c r="E36" s="27">
        <f ca="1">IF($B36="","",IF($B$4="Apprenticeship","-",SUM(IF(SUM(C36/12)&lt;Thresholds_Rates!$C$7,(SUM(C36/12)-Thresholds_Rates!$C$5)*Thresholds_Rates!$C$9,(Thresholds_Rates!$C$7-Thresholds_Rates!$C$5)*Thresholds_Rates!$C$9),IF(SUM(C36/12)&gt;Thresholds_Rates!$C$7,((SUM(C36/12)-Thresholds_Rates!$C$7)*Thresholds_Rates!$C$10),0),SUM(Thresholds_Rates!$C$5-Thresholds_Rates!$C$4)*-Thresholds_Rates!$C$8)*12))</f>
        <v>2357.8880000000004</v>
      </c>
      <c r="F36" s="27">
        <f ca="1">IF($B36="","",IF(AND($B$4="Salary Points 2 to 57",B36&lt;$AA$2),"-",IF(SUMIF(Grades!$A:$A,$B$4,Grades!BO:BO)=0,"-",IF(AND($B$4="Salary Points 2 to 57",B36&gt;=$AA$2),$C36*$AD$1,IF(AND(OR($B$4="New Consultant Contract"),$B36&lt;&gt;""),$C36*$AD$1,IF(AND(OR($B$4="Clinical Lecturer / Medical Research Fellow",$B$4="Clinical Consultant - Old Contract (GP)"),$B36&lt;&gt;""),$C36*$AD$1,IF(AND(OR($B$4="APM Level 7",$B$4="R&amp;T Level 7"),E36&lt;&gt;""),$C36*$AD$1,IF(SUMIF(Grades!$A:$A,$B$4,Grades!BO:BO)=1,$C36*$AD$1,""))))))))</f>
        <v>5014.72</v>
      </c>
      <c r="G36" s="27" t="str">
        <f ca="1">IF(B36="","",IF($B$4="Salary Points 2 to 57","-",IF(SUMIF(Grades!$A:$A,$B$4,Grades!BP:BP)=0,"-",IF(AND(OR($B$4="New Consultant Contract"),$B36&lt;&gt;""),$C36*$AD$2,IF(AND(OR($B$4="Clinical Lecturer / Medical Research Fellow",$B$4="Clinical Consultant - Old Contract (GP)"),$B36&lt;&gt;""),$C36*$AD$2,IF(AND(OR($B$4="APM Level 7",$B$4="R&amp;T Level 7"),F36&lt;&gt;""),$C36*$AD$2,IF(SUMIF(Grades!$A:$A,$B$4,Grades!BP:BP)=1,$C36*$AD$2,"")))))))</f>
        <v>-</v>
      </c>
      <c r="H36" s="27">
        <f ca="1">IF($B$4="Apprenticeship","-",IF(B36="","",IF(SUMIF(Grades!$A:$A,$B$4,Grades!BQ:BQ)=0,"-",IF(AND($B$4="Salary Points 2 to 57",B36&gt;$AA$3),"-",IF(AND($B$4="Salary Points 2 to 57",B36&lt;=$AA$3),$C36*$AD$3,IF(AND(OR($B$4="New Consultant Contract"),$B36&lt;&gt;""),$C36*$AD$3,IF(AND(OR($B$4="Clinical Lecturer / Medical Research Fellow",$B$4="Clinical Consultant - Old Contract (GP)"),$B36&lt;&gt;""),$C36*$AD$3,IF(AND(OR($B$4="APM Level 7",$B$4="R&amp;T Level 7"),G36&lt;&gt;""),$C36*$AD$3,IF(SUMIF(Grades!$A:$A,$B$4,Grades!BQ:BQ)=1,$C36*$AD$3,"")))))))))</f>
        <v>12223.380000000001</v>
      </c>
      <c r="I36" s="27">
        <f ca="1">IF($B36="","",ROUND(($C36-(Thresholds_Rates!$C$5*12))*Thresholds_Rates!$C$10,0))</f>
        <v>3227</v>
      </c>
      <c r="J36" s="27">
        <f ca="1">IF(B36="","",IF(AND($B$4="Salary Points 2 to 57",B36&gt;$AA$3),"-",IF(SUMIF(Grades!$A:$A,$B$4,Grades!BR:BR)=0,"-",IF(AND($B$4="Salary Points 2 to 57",B36&lt;=$AA$3),$C36*$AD$4,IF(AND(OR($B$4="New Consultant Contract"),$B36&lt;&gt;""),$C36*$AD$4,IF(AND(OR($B$4="Clinical Lecturer / Medical Research Fellow",$B$4="Clinical Consultant - Old Contract (GP)"),$B36&lt;&gt;""),$C36*$AD$4,IF(AND(OR($B$4="APM Level 7",$B$4="R&amp;T Level 7"),I36&lt;&gt;""),$C36*$AD$4,IF(SUMIF(Grades!$A:$A,$B$4,Grades!BQ:BQ)=1,$C36*$AD$4,""))))))))</f>
        <v>3134.2000000000003</v>
      </c>
      <c r="K36" s="6"/>
      <c r="L36" s="27">
        <f t="shared" ca="1" si="0"/>
        <v>38714.608</v>
      </c>
      <c r="M36" s="27" t="str">
        <f t="shared" ca="1" si="1"/>
        <v>-</v>
      </c>
      <c r="N36" s="27">
        <f t="shared" ca="1" si="2"/>
        <v>45923.267999999996</v>
      </c>
      <c r="O36" s="27">
        <f t="shared" ca="1" si="3"/>
        <v>37703.199999999997</v>
      </c>
      <c r="P36" s="27">
        <f t="shared" ca="1" si="4"/>
        <v>34569</v>
      </c>
      <c r="R36" s="31" t="str">
        <f ca="1">IF(B36="","",IF($B$4="R&amp;T Level 5 - Clinical Lecturers (Vet School)",SUMIF(Points_Lookup!$M:$M,$B36,Points_Lookup!N:N),IF($B$4="R&amp;T Level 6 - Clinical Associate Professors and Clinical Readers (Vet School)",SUMIF(Points_Lookup!$T:$T,$B36,Points_Lookup!U:U),"")))</f>
        <v/>
      </c>
      <c r="S36" s="32" t="str">
        <f ca="1">IF(B36="","",IF($B$4="R&amp;T Level 5 - Clinical Lecturers (Vet School)",$C36-SUMIF(Points_Lookup!$M:$M,$B36,Points_Lookup!$O:$O),IF($B$4="R&amp;T Level 6 - Clinical Associate Professors and Clinical Readers (Vet School)",$C36-SUMIF(Points_Lookup!$T:$T,$B36,Points_Lookup!$V:$V),"")))</f>
        <v/>
      </c>
      <c r="T36" s="31" t="str">
        <f ca="1">IF(B36="","",IF($B$4="R&amp;T Level 5 - Clinical Lecturers (Vet School)",SUMIF(Points_Lookup!$M:$M,$B36,Points_Lookup!Q:Q),IF($B$4="R&amp;T Level 6 - Clinical Associate Professors and Clinical Readers (Vet School)",SUMIF(Points_Lookup!$T:$T,$B36,Points_Lookup!X:X),"")))</f>
        <v/>
      </c>
      <c r="U36" s="32" t="str">
        <f t="shared" ca="1" si="5"/>
        <v/>
      </c>
      <c r="Z36" s="28">
        <v>29</v>
      </c>
    </row>
    <row r="37" spans="2:26" x14ac:dyDescent="0.25">
      <c r="B37" s="6">
        <f ca="1">IFERROR(INDEX(Points_Lookup!A:A,MATCH($Z37,Points_Lookup!$AE:$AE,0)),"")</f>
        <v>31</v>
      </c>
      <c r="C37" s="27">
        <f ca="1">IF(B37="","",IF($B$4="Apprenticeship",SUMIF(Points_Lookup!AA:AA,B37,Points_Lookup!AC:AC),IF(AND(OR($B$4="New Consultant Contract"),$B37&lt;&gt;""),INDEX(Points_Lookup!K:K,MATCH($B37,Points_Lookup!$J:$J,0)),IF(AND(OR($B$4="Clinical Lecturer / Medical Research Fellow",$B$4="Clinical Consultant - Old Contract (GP)"),$B37&lt;&gt;""),INDEX(Points_Lookup!H:H,MATCH($B37,Points_Lookup!$G:$G,0)),IF(AND(OR($B$4="APM Level 7",$B$4="R&amp;T Level 7",$B$4="APM Level 8"),B37&lt;&gt;""),INDEX(Points_Lookup!E:E,MATCH($Z37,Points_Lookup!$AE:$AE,0)),IF($B$4="R&amp;T Level 5 - Clinical Lecturers (Vet School)",SUMIF(Points_Lookup!$M:$M,$B37,Points_Lookup!$P:$P),IF($B$4="R&amp;T Level 6 - Clinical Associate Professors and Clinical Readers (Vet School)",SUMIF(Points_Lookup!$T:$T,$B37,Points_Lookup!$W:$W),IFERROR(INDEX(Points_Lookup!B:B,MATCH($Z37,Points_Lookup!$AE:$AE,0)),""))))))))</f>
        <v>32277</v>
      </c>
      <c r="D37" s="45"/>
      <c r="E37" s="27">
        <f ca="1">IF($B37="","",IF($B$4="Apprenticeship","-",SUM(IF(SUM(C37/12)&lt;Thresholds_Rates!$C$7,(SUM(C37/12)-Thresholds_Rates!$C$5)*Thresholds_Rates!$C$9,(Thresholds_Rates!$C$7-Thresholds_Rates!$C$5)*Thresholds_Rates!$C$9),IF(SUM(C37/12)&gt;Thresholds_Rates!$C$7,((SUM(C37/12)-Thresholds_Rates!$C$7)*Thresholds_Rates!$C$10),0),SUM(Thresholds_Rates!$C$5-Thresholds_Rates!$C$4)*-Thresholds_Rates!$C$8)*12))</f>
        <v>2455.1279999999997</v>
      </c>
      <c r="F37" s="27">
        <f ca="1">IF($B37="","",IF(AND($B$4="Salary Points 2 to 57",B37&lt;$AA$2),"-",IF(SUMIF(Grades!$A:$A,$B$4,Grades!BO:BO)=0,"-",IF(AND($B$4="Salary Points 2 to 57",B37&gt;=$AA$2),$C37*$AD$1,IF(AND(OR($B$4="New Consultant Contract"),$B37&lt;&gt;""),$C37*$AD$1,IF(AND(OR($B$4="Clinical Lecturer / Medical Research Fellow",$B$4="Clinical Consultant - Old Contract (GP)"),$B37&lt;&gt;""),$C37*$AD$1,IF(AND(OR($B$4="APM Level 7",$B$4="R&amp;T Level 7"),E37&lt;&gt;""),$C37*$AD$1,IF(SUMIF(Grades!$A:$A,$B$4,Grades!BO:BO)=1,$C37*$AD$1,""))))))))</f>
        <v>5164.32</v>
      </c>
      <c r="G37" s="27" t="str">
        <f ca="1">IF(B37="","",IF($B$4="Salary Points 2 to 57","-",IF(SUMIF(Grades!$A:$A,$B$4,Grades!BP:BP)=0,"-",IF(AND(OR($B$4="New Consultant Contract"),$B37&lt;&gt;""),$C37*$AD$2,IF(AND(OR($B$4="Clinical Lecturer / Medical Research Fellow",$B$4="Clinical Consultant - Old Contract (GP)"),$B37&lt;&gt;""),$C37*$AD$2,IF(AND(OR($B$4="APM Level 7",$B$4="R&amp;T Level 7"),F37&lt;&gt;""),$C37*$AD$2,IF(SUMIF(Grades!$A:$A,$B$4,Grades!BP:BP)=1,$C37*$AD$2,"")))))))</f>
        <v>-</v>
      </c>
      <c r="H37" s="27" t="str">
        <f ca="1">IF($B$4="Apprenticeship","-",IF(B37="","",IF(SUMIF(Grades!$A:$A,$B$4,Grades!BQ:BQ)=0,"-",IF(AND($B$4="Salary Points 2 to 57",B37&gt;$AA$3),"-",IF(AND($B$4="Salary Points 2 to 57",B37&lt;=$AA$3),$C37*$AD$3,IF(AND(OR($B$4="New Consultant Contract"),$B37&lt;&gt;""),$C37*$AD$3,IF(AND(OR($B$4="Clinical Lecturer / Medical Research Fellow",$B$4="Clinical Consultant - Old Contract (GP)"),$B37&lt;&gt;""),$C37*$AD$3,IF(AND(OR($B$4="APM Level 7",$B$4="R&amp;T Level 7"),G37&lt;&gt;""),$C37*$AD$3,IF(SUMIF(Grades!$A:$A,$B$4,Grades!BQ:BQ)=1,$C37*$AD$3,"")))))))))</f>
        <v>-</v>
      </c>
      <c r="I37" s="27">
        <f ca="1">IF($B37="","",ROUND(($C37-(Thresholds_Rates!$C$5*12))*Thresholds_Rates!$C$10,0))</f>
        <v>3356</v>
      </c>
      <c r="J37" s="27" t="str">
        <f ca="1">IF(B37="","",IF(AND($B$4="Salary Points 2 to 57",B37&gt;$AA$3),"-",IF(SUMIF(Grades!$A:$A,$B$4,Grades!BR:BR)=0,"-",IF(AND($B$4="Salary Points 2 to 57",B37&lt;=$AA$3),$C37*$AD$4,IF(AND(OR($B$4="New Consultant Contract"),$B37&lt;&gt;""),$C37*$AD$4,IF(AND(OR($B$4="Clinical Lecturer / Medical Research Fellow",$B$4="Clinical Consultant - Old Contract (GP)"),$B37&lt;&gt;""),$C37*$AD$4,IF(AND(OR($B$4="APM Level 7",$B$4="R&amp;T Level 7"),I37&lt;&gt;""),$C37*$AD$4,IF(SUMIF(Grades!$A:$A,$B$4,Grades!BQ:BQ)=1,$C37*$AD$4,""))))))))</f>
        <v>-</v>
      </c>
      <c r="K37" s="6"/>
      <c r="L37" s="27">
        <f t="shared" ca="1" si="0"/>
        <v>39896.447999999997</v>
      </c>
      <c r="M37" s="27" t="str">
        <f t="shared" ca="1" si="1"/>
        <v>-</v>
      </c>
      <c r="N37" s="27" t="str">
        <f t="shared" ca="1" si="2"/>
        <v>-</v>
      </c>
      <c r="O37" s="27" t="str">
        <f t="shared" ca="1" si="3"/>
        <v>-</v>
      </c>
      <c r="P37" s="27">
        <f t="shared" ca="1" si="4"/>
        <v>35633</v>
      </c>
      <c r="R37" s="31" t="str">
        <f ca="1">IF(B37="","",IF($B$4="R&amp;T Level 5 - Clinical Lecturers (Vet School)",SUMIF(Points_Lookup!$M:$M,$B37,Points_Lookup!N:N),IF($B$4="R&amp;T Level 6 - Clinical Associate Professors and Clinical Readers (Vet School)",SUMIF(Points_Lookup!$T:$T,$B37,Points_Lookup!U:U),"")))</f>
        <v/>
      </c>
      <c r="S37" s="32" t="str">
        <f ca="1">IF(B37="","",IF($B$4="R&amp;T Level 5 - Clinical Lecturers (Vet School)",$C37-SUMIF(Points_Lookup!$M:$M,$B37,Points_Lookup!$O:$O),IF($B$4="R&amp;T Level 6 - Clinical Associate Professors and Clinical Readers (Vet School)",$C37-SUMIF(Points_Lookup!$T:$T,$B37,Points_Lookup!$V:$V),"")))</f>
        <v/>
      </c>
      <c r="T37" s="31" t="str">
        <f ca="1">IF(B37="","",IF($B$4="R&amp;T Level 5 - Clinical Lecturers (Vet School)",SUMIF(Points_Lookup!$M:$M,$B37,Points_Lookup!Q:Q),IF($B$4="R&amp;T Level 6 - Clinical Associate Professors and Clinical Readers (Vet School)",SUMIF(Points_Lookup!$T:$T,$B37,Points_Lookup!X:X),"")))</f>
        <v/>
      </c>
      <c r="U37" s="32" t="str">
        <f t="shared" ca="1" si="5"/>
        <v/>
      </c>
      <c r="Z37" s="28">
        <v>30</v>
      </c>
    </row>
    <row r="38" spans="2:26" x14ac:dyDescent="0.25">
      <c r="B38" s="6">
        <f ca="1">IFERROR(INDEX(Points_Lookup!A:A,MATCH($Z38,Points_Lookup!$AE:$AE,0)),"")</f>
        <v>32</v>
      </c>
      <c r="C38" s="27">
        <f ca="1">IF(B38="","",IF($B$4="Apprenticeship",SUMIF(Points_Lookup!AA:AA,B38,Points_Lookup!AC:AC),IF(AND(OR($B$4="New Consultant Contract"),$B38&lt;&gt;""),INDEX(Points_Lookup!K:K,MATCH($B38,Points_Lookup!$J:$J,0)),IF(AND(OR($B$4="Clinical Lecturer / Medical Research Fellow",$B$4="Clinical Consultant - Old Contract (GP)"),$B38&lt;&gt;""),INDEX(Points_Lookup!H:H,MATCH($B38,Points_Lookup!$G:$G,0)),IF(AND(OR($B$4="APM Level 7",$B$4="R&amp;T Level 7",$B$4="APM Level 8"),B38&lt;&gt;""),INDEX(Points_Lookup!E:E,MATCH($Z38,Points_Lookup!$AE:$AE,0)),IF($B$4="R&amp;T Level 5 - Clinical Lecturers (Vet School)",SUMIF(Points_Lookup!$M:$M,$B38,Points_Lookup!$P:$P),IF($B$4="R&amp;T Level 6 - Clinical Associate Professors and Clinical Readers (Vet School)",SUMIF(Points_Lookup!$T:$T,$B38,Points_Lookup!$W:$W),IFERROR(INDEX(Points_Lookup!B:B,MATCH($Z38,Points_Lookup!$AE:$AE,0)),""))))))))</f>
        <v>33242</v>
      </c>
      <c r="D38" s="45"/>
      <c r="E38" s="27">
        <f ca="1">IF($B38="","",IF($B$4="Apprenticeship","-",SUM(IF(SUM(C38/12)&lt;Thresholds_Rates!$C$7,(SUM(C38/12)-Thresholds_Rates!$C$5)*Thresholds_Rates!$C$9,(Thresholds_Rates!$C$7-Thresholds_Rates!$C$5)*Thresholds_Rates!$C$9),IF(SUM(C38/12)&gt;Thresholds_Rates!$C$7,((SUM(C38/12)-Thresholds_Rates!$C$7)*Thresholds_Rates!$C$10),0),SUM(Thresholds_Rates!$C$5-Thresholds_Rates!$C$4)*-Thresholds_Rates!$C$8)*12))</f>
        <v>2555.4879999999998</v>
      </c>
      <c r="F38" s="27">
        <f ca="1">IF($B38="","",IF(AND($B$4="Salary Points 2 to 57",B38&lt;$AA$2),"-",IF(SUMIF(Grades!$A:$A,$B$4,Grades!BO:BO)=0,"-",IF(AND($B$4="Salary Points 2 to 57",B38&gt;=$AA$2),$C38*$AD$1,IF(AND(OR($B$4="New Consultant Contract"),$B38&lt;&gt;""),$C38*$AD$1,IF(AND(OR($B$4="Clinical Lecturer / Medical Research Fellow",$B$4="Clinical Consultant - Old Contract (GP)"),$B38&lt;&gt;""),$C38*$AD$1,IF(AND(OR($B$4="APM Level 7",$B$4="R&amp;T Level 7"),E38&lt;&gt;""),$C38*$AD$1,IF(SUMIF(Grades!$A:$A,$B$4,Grades!BO:BO)=1,$C38*$AD$1,""))))))))</f>
        <v>5318.72</v>
      </c>
      <c r="G38" s="27" t="str">
        <f ca="1">IF(B38="","",IF($B$4="Salary Points 2 to 57","-",IF(SUMIF(Grades!$A:$A,$B$4,Grades!BP:BP)=0,"-",IF(AND(OR($B$4="New Consultant Contract"),$B38&lt;&gt;""),$C38*$AD$2,IF(AND(OR($B$4="Clinical Lecturer / Medical Research Fellow",$B$4="Clinical Consultant - Old Contract (GP)"),$B38&lt;&gt;""),$C38*$AD$2,IF(AND(OR($B$4="APM Level 7",$B$4="R&amp;T Level 7"),F38&lt;&gt;""),$C38*$AD$2,IF(SUMIF(Grades!$A:$A,$B$4,Grades!BP:BP)=1,$C38*$AD$2,"")))))))</f>
        <v>-</v>
      </c>
      <c r="H38" s="27" t="str">
        <f ca="1">IF($B$4="Apprenticeship","-",IF(B38="","",IF(SUMIF(Grades!$A:$A,$B$4,Grades!BQ:BQ)=0,"-",IF(AND($B$4="Salary Points 2 to 57",B38&gt;$AA$3),"-",IF(AND($B$4="Salary Points 2 to 57",B38&lt;=$AA$3),$C38*$AD$3,IF(AND(OR($B$4="New Consultant Contract"),$B38&lt;&gt;""),$C38*$AD$3,IF(AND(OR($B$4="Clinical Lecturer / Medical Research Fellow",$B$4="Clinical Consultant - Old Contract (GP)"),$B38&lt;&gt;""),$C38*$AD$3,IF(AND(OR($B$4="APM Level 7",$B$4="R&amp;T Level 7"),G38&lt;&gt;""),$C38*$AD$3,IF(SUMIF(Grades!$A:$A,$B$4,Grades!BQ:BQ)=1,$C38*$AD$3,"")))))))))</f>
        <v>-</v>
      </c>
      <c r="I38" s="27">
        <f ca="1">IF($B38="","",ROUND(($C38-(Thresholds_Rates!$C$5*12))*Thresholds_Rates!$C$10,0))</f>
        <v>3489</v>
      </c>
      <c r="J38" s="27" t="str">
        <f ca="1">IF(B38="","",IF(AND($B$4="Salary Points 2 to 57",B38&gt;$AA$3),"-",IF(SUMIF(Grades!$A:$A,$B$4,Grades!BR:BR)=0,"-",IF(AND($B$4="Salary Points 2 to 57",B38&lt;=$AA$3),$C38*$AD$4,IF(AND(OR($B$4="New Consultant Contract"),$B38&lt;&gt;""),$C38*$AD$4,IF(AND(OR($B$4="Clinical Lecturer / Medical Research Fellow",$B$4="Clinical Consultant - Old Contract (GP)"),$B38&lt;&gt;""),$C38*$AD$4,IF(AND(OR($B$4="APM Level 7",$B$4="R&amp;T Level 7"),I38&lt;&gt;""),$C38*$AD$4,IF(SUMIF(Grades!$A:$A,$B$4,Grades!BQ:BQ)=1,$C38*$AD$4,""))))))))</f>
        <v>-</v>
      </c>
      <c r="K38" s="6"/>
      <c r="L38" s="27">
        <f t="shared" ca="1" si="0"/>
        <v>41116.207999999999</v>
      </c>
      <c r="M38" s="27" t="str">
        <f t="shared" ca="1" si="1"/>
        <v>-</v>
      </c>
      <c r="N38" s="27" t="str">
        <f t="shared" ca="1" si="2"/>
        <v>-</v>
      </c>
      <c r="O38" s="27" t="str">
        <f t="shared" ca="1" si="3"/>
        <v>-</v>
      </c>
      <c r="P38" s="27">
        <f t="shared" ca="1" si="4"/>
        <v>36731</v>
      </c>
      <c r="R38" s="31" t="str">
        <f ca="1">IF(B38="","",IF($B$4="R&amp;T Level 5 - Clinical Lecturers (Vet School)",SUMIF(Points_Lookup!$M:$M,$B38,Points_Lookup!N:N),IF($B$4="R&amp;T Level 6 - Clinical Associate Professors and Clinical Readers (Vet School)",SUMIF(Points_Lookup!$T:$T,$B38,Points_Lookup!U:U),"")))</f>
        <v/>
      </c>
      <c r="S38" s="32" t="str">
        <f ca="1">IF(B38="","",IF($B$4="R&amp;T Level 5 - Clinical Lecturers (Vet School)",$C38-SUMIF(Points_Lookup!$M:$M,$B38,Points_Lookup!$O:$O),IF($B$4="R&amp;T Level 6 - Clinical Associate Professors and Clinical Readers (Vet School)",$C38-SUMIF(Points_Lookup!$T:$T,$B38,Points_Lookup!$V:$V),"")))</f>
        <v/>
      </c>
      <c r="T38" s="31" t="str">
        <f ca="1">IF(B38="","",IF($B$4="R&amp;T Level 5 - Clinical Lecturers (Vet School)",SUMIF(Points_Lookup!$M:$M,$B38,Points_Lookup!Q:Q),IF($B$4="R&amp;T Level 6 - Clinical Associate Professors and Clinical Readers (Vet School)",SUMIF(Points_Lookup!$T:$T,$B38,Points_Lookup!X:X),"")))</f>
        <v/>
      </c>
      <c r="U38" s="32" t="str">
        <f t="shared" ca="1" si="5"/>
        <v/>
      </c>
      <c r="Z38" s="28">
        <v>31</v>
      </c>
    </row>
    <row r="39" spans="2:26" x14ac:dyDescent="0.25">
      <c r="B39" s="6">
        <f ca="1">IFERROR(INDEX(Points_Lookup!A:A,MATCH($Z39,Points_Lookup!$AE:$AE,0)),"")</f>
        <v>33</v>
      </c>
      <c r="C39" s="27">
        <f ca="1">IF(B39="","",IF($B$4="Apprenticeship",SUMIF(Points_Lookup!AA:AA,B39,Points_Lookup!AC:AC),IF(AND(OR($B$4="New Consultant Contract"),$B39&lt;&gt;""),INDEX(Points_Lookup!K:K,MATCH($B39,Points_Lookup!$J:$J,0)),IF(AND(OR($B$4="Clinical Lecturer / Medical Research Fellow",$B$4="Clinical Consultant - Old Contract (GP)"),$B39&lt;&gt;""),INDEX(Points_Lookup!H:H,MATCH($B39,Points_Lookup!$G:$G,0)),IF(AND(OR($B$4="APM Level 7",$B$4="R&amp;T Level 7",$B$4="APM Level 8"),B39&lt;&gt;""),INDEX(Points_Lookup!E:E,MATCH($Z39,Points_Lookup!$AE:$AE,0)),IF($B$4="R&amp;T Level 5 - Clinical Lecturers (Vet School)",SUMIF(Points_Lookup!$M:$M,$B39,Points_Lookup!$P:$P),IF($B$4="R&amp;T Level 6 - Clinical Associate Professors and Clinical Readers (Vet School)",SUMIF(Points_Lookup!$T:$T,$B39,Points_Lookup!$W:$W),IFERROR(INDEX(Points_Lookup!B:B,MATCH($Z39,Points_Lookup!$AE:$AE,0)),""))))))))</f>
        <v>34233</v>
      </c>
      <c r="D39" s="45"/>
      <c r="E39" s="27">
        <f ca="1">IF($B39="","",IF($B$4="Apprenticeship","-",SUM(IF(SUM(C39/12)&lt;Thresholds_Rates!$C$7,(SUM(C39/12)-Thresholds_Rates!$C$5)*Thresholds_Rates!$C$9,(Thresholds_Rates!$C$7-Thresholds_Rates!$C$5)*Thresholds_Rates!$C$9),IF(SUM(C39/12)&gt;Thresholds_Rates!$C$7,((SUM(C39/12)-Thresholds_Rates!$C$7)*Thresholds_Rates!$C$10),0),SUM(Thresholds_Rates!$C$5-Thresholds_Rates!$C$4)*-Thresholds_Rates!$C$8)*12))</f>
        <v>2658.5519999999997</v>
      </c>
      <c r="F39" s="27">
        <f ca="1">IF($B39="","",IF(AND($B$4="Salary Points 2 to 57",B39&lt;$AA$2),"-",IF(SUMIF(Grades!$A:$A,$B$4,Grades!BO:BO)=0,"-",IF(AND($B$4="Salary Points 2 to 57",B39&gt;=$AA$2),$C39*$AD$1,IF(AND(OR($B$4="New Consultant Contract"),$B39&lt;&gt;""),$C39*$AD$1,IF(AND(OR($B$4="Clinical Lecturer / Medical Research Fellow",$B$4="Clinical Consultant - Old Contract (GP)"),$B39&lt;&gt;""),$C39*$AD$1,IF(AND(OR($B$4="APM Level 7",$B$4="R&amp;T Level 7"),E39&lt;&gt;""),$C39*$AD$1,IF(SUMIF(Grades!$A:$A,$B$4,Grades!BO:BO)=1,$C39*$AD$1,""))))))))</f>
        <v>5477.28</v>
      </c>
      <c r="G39" s="27" t="str">
        <f ca="1">IF(B39="","",IF($B$4="Salary Points 2 to 57","-",IF(SUMIF(Grades!$A:$A,$B$4,Grades!BP:BP)=0,"-",IF(AND(OR($B$4="New Consultant Contract"),$B39&lt;&gt;""),$C39*$AD$2,IF(AND(OR($B$4="Clinical Lecturer / Medical Research Fellow",$B$4="Clinical Consultant - Old Contract (GP)"),$B39&lt;&gt;""),$C39*$AD$2,IF(AND(OR($B$4="APM Level 7",$B$4="R&amp;T Level 7"),F39&lt;&gt;""),$C39*$AD$2,IF(SUMIF(Grades!$A:$A,$B$4,Grades!BP:BP)=1,$C39*$AD$2,"")))))))</f>
        <v>-</v>
      </c>
      <c r="H39" s="27" t="str">
        <f ca="1">IF($B$4="Apprenticeship","-",IF(B39="","",IF(SUMIF(Grades!$A:$A,$B$4,Grades!BQ:BQ)=0,"-",IF(AND($B$4="Salary Points 2 to 57",B39&gt;$AA$3),"-",IF(AND($B$4="Salary Points 2 to 57",B39&lt;=$AA$3),$C39*$AD$3,IF(AND(OR($B$4="New Consultant Contract"),$B39&lt;&gt;""),$C39*$AD$3,IF(AND(OR($B$4="Clinical Lecturer / Medical Research Fellow",$B$4="Clinical Consultant - Old Contract (GP)"),$B39&lt;&gt;""),$C39*$AD$3,IF(AND(OR($B$4="APM Level 7",$B$4="R&amp;T Level 7"),G39&lt;&gt;""),$C39*$AD$3,IF(SUMIF(Grades!$A:$A,$B$4,Grades!BQ:BQ)=1,$C39*$AD$3,"")))))))))</f>
        <v>-</v>
      </c>
      <c r="I39" s="27">
        <f ca="1">IF($B39="","",ROUND(($C39-(Thresholds_Rates!$C$5*12))*Thresholds_Rates!$C$10,0))</f>
        <v>3626</v>
      </c>
      <c r="J39" s="27" t="str">
        <f ca="1">IF(B39="","",IF(AND($B$4="Salary Points 2 to 57",B39&gt;$AA$3),"-",IF(SUMIF(Grades!$A:$A,$B$4,Grades!BR:BR)=0,"-",IF(AND($B$4="Salary Points 2 to 57",B39&lt;=$AA$3),$C39*$AD$4,IF(AND(OR($B$4="New Consultant Contract"),$B39&lt;&gt;""),$C39*$AD$4,IF(AND(OR($B$4="Clinical Lecturer / Medical Research Fellow",$B$4="Clinical Consultant - Old Contract (GP)"),$B39&lt;&gt;""),$C39*$AD$4,IF(AND(OR($B$4="APM Level 7",$B$4="R&amp;T Level 7"),I39&lt;&gt;""),$C39*$AD$4,IF(SUMIF(Grades!$A:$A,$B$4,Grades!BQ:BQ)=1,$C39*$AD$4,""))))))))</f>
        <v>-</v>
      </c>
      <c r="K39" s="6"/>
      <c r="L39" s="27">
        <f t="shared" ca="1" si="0"/>
        <v>42368.831999999995</v>
      </c>
      <c r="M39" s="27" t="str">
        <f t="shared" ca="1" si="1"/>
        <v>-</v>
      </c>
      <c r="N39" s="27" t="str">
        <f t="shared" ca="1" si="2"/>
        <v>-</v>
      </c>
      <c r="O39" s="27" t="str">
        <f t="shared" ca="1" si="3"/>
        <v>-</v>
      </c>
      <c r="P39" s="27">
        <f t="shared" ca="1" si="4"/>
        <v>37859</v>
      </c>
      <c r="R39" s="31" t="str">
        <f ca="1">IF(B39="","",IF($B$4="R&amp;T Level 5 - Clinical Lecturers (Vet School)",SUMIF(Points_Lookup!$M:$M,$B39,Points_Lookup!N:N),IF($B$4="R&amp;T Level 6 - Clinical Associate Professors and Clinical Readers (Vet School)",SUMIF(Points_Lookup!$T:$T,$B39,Points_Lookup!U:U),"")))</f>
        <v/>
      </c>
      <c r="S39" s="32" t="str">
        <f ca="1">IF(B39="","",IF($B$4="R&amp;T Level 5 - Clinical Lecturers (Vet School)",$C39-SUMIF(Points_Lookup!$M:$M,$B39,Points_Lookup!$O:$O),IF($B$4="R&amp;T Level 6 - Clinical Associate Professors and Clinical Readers (Vet School)",$C39-SUMIF(Points_Lookup!$T:$T,$B39,Points_Lookup!$V:$V),"")))</f>
        <v/>
      </c>
      <c r="T39" s="31" t="str">
        <f ca="1">IF(B39="","",IF($B$4="R&amp;T Level 5 - Clinical Lecturers (Vet School)",SUMIF(Points_Lookup!$M:$M,$B39,Points_Lookup!Q:Q),IF($B$4="R&amp;T Level 6 - Clinical Associate Professors and Clinical Readers (Vet School)",SUMIF(Points_Lookup!$T:$T,$B39,Points_Lookup!X:X),"")))</f>
        <v/>
      </c>
      <c r="U39" s="32" t="str">
        <f t="shared" ca="1" si="5"/>
        <v/>
      </c>
      <c r="Z39" s="28">
        <v>32</v>
      </c>
    </row>
    <row r="40" spans="2:26" x14ac:dyDescent="0.25">
      <c r="B40" s="6">
        <f ca="1">IFERROR(INDEX(Points_Lookup!A:A,MATCH($Z40,Points_Lookup!$AE:$AE,0)),"")</f>
        <v>34</v>
      </c>
      <c r="C40" s="27">
        <f ca="1">IF(B40="","",IF($B$4="Apprenticeship",SUMIF(Points_Lookup!AA:AA,B40,Points_Lookup!AC:AC),IF(AND(OR($B$4="New Consultant Contract"),$B40&lt;&gt;""),INDEX(Points_Lookup!K:K,MATCH($B40,Points_Lookup!$J:$J,0)),IF(AND(OR($B$4="Clinical Lecturer / Medical Research Fellow",$B$4="Clinical Consultant - Old Contract (GP)"),$B40&lt;&gt;""),INDEX(Points_Lookup!H:H,MATCH($B40,Points_Lookup!$G:$G,0)),IF(AND(OR($B$4="APM Level 7",$B$4="R&amp;T Level 7",$B$4="APM Level 8"),B40&lt;&gt;""),INDEX(Points_Lookup!E:E,MATCH($Z40,Points_Lookup!$AE:$AE,0)),IF($B$4="R&amp;T Level 5 - Clinical Lecturers (Vet School)",SUMIF(Points_Lookup!$M:$M,$B40,Points_Lookup!$P:$P),IF($B$4="R&amp;T Level 6 - Clinical Associate Professors and Clinical Readers (Vet School)",SUMIF(Points_Lookup!$T:$T,$B40,Points_Lookup!$W:$W),IFERROR(INDEX(Points_Lookup!B:B,MATCH($Z40,Points_Lookup!$AE:$AE,0)),""))))))))</f>
        <v>35256</v>
      </c>
      <c r="D40" s="45"/>
      <c r="E40" s="27">
        <f ca="1">IF($B40="","",IF($B$4="Apprenticeship","-",SUM(IF(SUM(C40/12)&lt;Thresholds_Rates!$C$7,(SUM(C40/12)-Thresholds_Rates!$C$5)*Thresholds_Rates!$C$9,(Thresholds_Rates!$C$7-Thresholds_Rates!$C$5)*Thresholds_Rates!$C$9),IF(SUM(C40/12)&gt;Thresholds_Rates!$C$7,((SUM(C40/12)-Thresholds_Rates!$C$7)*Thresholds_Rates!$C$10),0),SUM(Thresholds_Rates!$C$5-Thresholds_Rates!$C$4)*-Thresholds_Rates!$C$8)*12))</f>
        <v>2764.944</v>
      </c>
      <c r="F40" s="27">
        <f ca="1">IF($B40="","",IF(AND($B$4="Salary Points 2 to 57",B40&lt;$AA$2),"-",IF(SUMIF(Grades!$A:$A,$B$4,Grades!BO:BO)=0,"-",IF(AND($B$4="Salary Points 2 to 57",B40&gt;=$AA$2),$C40*$AD$1,IF(AND(OR($B$4="New Consultant Contract"),$B40&lt;&gt;""),$C40*$AD$1,IF(AND(OR($B$4="Clinical Lecturer / Medical Research Fellow",$B$4="Clinical Consultant - Old Contract (GP)"),$B40&lt;&gt;""),$C40*$AD$1,IF(AND(OR($B$4="APM Level 7",$B$4="R&amp;T Level 7"),E40&lt;&gt;""),$C40*$AD$1,IF(SUMIF(Grades!$A:$A,$B$4,Grades!BO:BO)=1,$C40*$AD$1,""))))))))</f>
        <v>5640.96</v>
      </c>
      <c r="G40" s="27" t="str">
        <f ca="1">IF(B40="","",IF($B$4="Salary Points 2 to 57","-",IF(SUMIF(Grades!$A:$A,$B$4,Grades!BP:BP)=0,"-",IF(AND(OR($B$4="New Consultant Contract"),$B40&lt;&gt;""),$C40*$AD$2,IF(AND(OR($B$4="Clinical Lecturer / Medical Research Fellow",$B$4="Clinical Consultant - Old Contract (GP)"),$B40&lt;&gt;""),$C40*$AD$2,IF(AND(OR($B$4="APM Level 7",$B$4="R&amp;T Level 7"),F40&lt;&gt;""),$C40*$AD$2,IF(SUMIF(Grades!$A:$A,$B$4,Grades!BP:BP)=1,$C40*$AD$2,"")))))))</f>
        <v>-</v>
      </c>
      <c r="H40" s="27" t="str">
        <f ca="1">IF($B$4="Apprenticeship","-",IF(B40="","",IF(SUMIF(Grades!$A:$A,$B$4,Grades!BQ:BQ)=0,"-",IF(AND($B$4="Salary Points 2 to 57",B40&gt;$AA$3),"-",IF(AND($B$4="Salary Points 2 to 57",B40&lt;=$AA$3),$C40*$AD$3,IF(AND(OR($B$4="New Consultant Contract"),$B40&lt;&gt;""),$C40*$AD$3,IF(AND(OR($B$4="Clinical Lecturer / Medical Research Fellow",$B$4="Clinical Consultant - Old Contract (GP)"),$B40&lt;&gt;""),$C40*$AD$3,IF(AND(OR($B$4="APM Level 7",$B$4="R&amp;T Level 7"),G40&lt;&gt;""),$C40*$AD$3,IF(SUMIF(Grades!$A:$A,$B$4,Grades!BQ:BQ)=1,$C40*$AD$3,"")))))))))</f>
        <v>-</v>
      </c>
      <c r="I40" s="27">
        <f ca="1">IF($B40="","",ROUND(($C40-(Thresholds_Rates!$C$5*12))*Thresholds_Rates!$C$10,0))</f>
        <v>3767</v>
      </c>
      <c r="J40" s="27" t="str">
        <f ca="1">IF(B40="","",IF(AND($B$4="Salary Points 2 to 57",B40&gt;$AA$3),"-",IF(SUMIF(Grades!$A:$A,$B$4,Grades!BR:BR)=0,"-",IF(AND($B$4="Salary Points 2 to 57",B40&lt;=$AA$3),$C40*$AD$4,IF(AND(OR($B$4="New Consultant Contract"),$B40&lt;&gt;""),$C40*$AD$4,IF(AND(OR($B$4="Clinical Lecturer / Medical Research Fellow",$B$4="Clinical Consultant - Old Contract (GP)"),$B40&lt;&gt;""),$C40*$AD$4,IF(AND(OR($B$4="APM Level 7",$B$4="R&amp;T Level 7"),I40&lt;&gt;""),$C40*$AD$4,IF(SUMIF(Grades!$A:$A,$B$4,Grades!BQ:BQ)=1,$C40*$AD$4,""))))))))</f>
        <v>-</v>
      </c>
      <c r="K40" s="6"/>
      <c r="L40" s="27">
        <f t="shared" ca="1" si="0"/>
        <v>43661.904000000002</v>
      </c>
      <c r="M40" s="27" t="str">
        <f t="shared" ca="1" si="1"/>
        <v>-</v>
      </c>
      <c r="N40" s="27" t="str">
        <f t="shared" ca="1" si="2"/>
        <v>-</v>
      </c>
      <c r="O40" s="27" t="str">
        <f t="shared" ca="1" si="3"/>
        <v>-</v>
      </c>
      <c r="P40" s="27">
        <f t="shared" ca="1" si="4"/>
        <v>39023</v>
      </c>
      <c r="R40" s="31" t="str">
        <f ca="1">IF(B40="","",IF($B$4="R&amp;T Level 5 - Clinical Lecturers (Vet School)",SUMIF(Points_Lookup!$M:$M,$B40,Points_Lookup!N:N),IF($B$4="R&amp;T Level 6 - Clinical Associate Professors and Clinical Readers (Vet School)",SUMIF(Points_Lookup!$T:$T,$B40,Points_Lookup!U:U),"")))</f>
        <v/>
      </c>
      <c r="S40" s="32" t="str">
        <f ca="1">IF(B40="","",IF($B$4="R&amp;T Level 5 - Clinical Lecturers (Vet School)",$C40-SUMIF(Points_Lookup!$M:$M,$B40,Points_Lookup!$O:$O),IF($B$4="R&amp;T Level 6 - Clinical Associate Professors and Clinical Readers (Vet School)",$C40-SUMIF(Points_Lookup!$T:$T,$B40,Points_Lookup!$V:$V),"")))</f>
        <v/>
      </c>
      <c r="T40" s="31" t="str">
        <f ca="1">IF(B40="","",IF($B$4="R&amp;T Level 5 - Clinical Lecturers (Vet School)",SUMIF(Points_Lookup!$M:$M,$B40,Points_Lookup!Q:Q),IF($B$4="R&amp;T Level 6 - Clinical Associate Professors and Clinical Readers (Vet School)",SUMIF(Points_Lookup!$T:$T,$B40,Points_Lookup!X:X),"")))</f>
        <v/>
      </c>
      <c r="U40" s="32" t="str">
        <f t="shared" ca="1" si="5"/>
        <v/>
      </c>
      <c r="Z40" s="28">
        <v>33</v>
      </c>
    </row>
    <row r="41" spans="2:26" x14ac:dyDescent="0.25">
      <c r="B41" s="6">
        <f ca="1">IFERROR(INDEX(Points_Lookup!A:A,MATCH($Z41,Points_Lookup!$AE:$AE,0)),"")</f>
        <v>35</v>
      </c>
      <c r="C41" s="27">
        <f ca="1">IF(B41="","",IF($B$4="Apprenticeship",SUMIF(Points_Lookup!AA:AA,B41,Points_Lookup!AC:AC),IF(AND(OR($B$4="New Consultant Contract"),$B41&lt;&gt;""),INDEX(Points_Lookup!K:K,MATCH($B41,Points_Lookup!$J:$J,0)),IF(AND(OR($B$4="Clinical Lecturer / Medical Research Fellow",$B$4="Clinical Consultant - Old Contract (GP)"),$B41&lt;&gt;""),INDEX(Points_Lookup!H:H,MATCH($B41,Points_Lookup!$G:$G,0)),IF(AND(OR($B$4="APM Level 7",$B$4="R&amp;T Level 7",$B$4="APM Level 8"),B41&lt;&gt;""),INDEX(Points_Lookup!E:E,MATCH($Z41,Points_Lookup!$AE:$AE,0)),IF($B$4="R&amp;T Level 5 - Clinical Lecturers (Vet School)",SUMIF(Points_Lookup!$M:$M,$B41,Points_Lookup!$P:$P),IF($B$4="R&amp;T Level 6 - Clinical Associate Professors and Clinical Readers (Vet School)",SUMIF(Points_Lookup!$T:$T,$B41,Points_Lookup!$W:$W),IFERROR(INDEX(Points_Lookup!B:B,MATCH($Z41,Points_Lookup!$AE:$AE,0)),""))))))))</f>
        <v>36309</v>
      </c>
      <c r="D41" s="45"/>
      <c r="E41" s="27">
        <f ca="1">IF($B41="","",IF($B$4="Apprenticeship","-",SUM(IF(SUM(C41/12)&lt;Thresholds_Rates!$C$7,(SUM(C41/12)-Thresholds_Rates!$C$5)*Thresholds_Rates!$C$9,(Thresholds_Rates!$C$7-Thresholds_Rates!$C$5)*Thresholds_Rates!$C$9),IF(SUM(C41/12)&gt;Thresholds_Rates!$C$7,((SUM(C41/12)-Thresholds_Rates!$C$7)*Thresholds_Rates!$C$10),0),SUM(Thresholds_Rates!$C$5-Thresholds_Rates!$C$4)*-Thresholds_Rates!$C$8)*12))</f>
        <v>2874.4560000000001</v>
      </c>
      <c r="F41" s="27">
        <f ca="1">IF($B41="","",IF(AND($B$4="Salary Points 2 to 57",B41&lt;$AA$2),"-",IF(SUMIF(Grades!$A:$A,$B$4,Grades!BO:BO)=0,"-",IF(AND($B$4="Salary Points 2 to 57",B41&gt;=$AA$2),$C41*$AD$1,IF(AND(OR($B$4="New Consultant Contract"),$B41&lt;&gt;""),$C41*$AD$1,IF(AND(OR($B$4="Clinical Lecturer / Medical Research Fellow",$B$4="Clinical Consultant - Old Contract (GP)"),$B41&lt;&gt;""),$C41*$AD$1,IF(AND(OR($B$4="APM Level 7",$B$4="R&amp;T Level 7"),E41&lt;&gt;""),$C41*$AD$1,IF(SUMIF(Grades!$A:$A,$B$4,Grades!BO:BO)=1,$C41*$AD$1,""))))))))</f>
        <v>5809.4400000000005</v>
      </c>
      <c r="G41" s="27" t="str">
        <f ca="1">IF(B41="","",IF($B$4="Salary Points 2 to 57","-",IF(SUMIF(Grades!$A:$A,$B$4,Grades!BP:BP)=0,"-",IF(AND(OR($B$4="New Consultant Contract"),$B41&lt;&gt;""),$C41*$AD$2,IF(AND(OR($B$4="Clinical Lecturer / Medical Research Fellow",$B$4="Clinical Consultant - Old Contract (GP)"),$B41&lt;&gt;""),$C41*$AD$2,IF(AND(OR($B$4="APM Level 7",$B$4="R&amp;T Level 7"),F41&lt;&gt;""),$C41*$AD$2,IF(SUMIF(Grades!$A:$A,$B$4,Grades!BP:BP)=1,$C41*$AD$2,"")))))))</f>
        <v>-</v>
      </c>
      <c r="H41" s="27" t="str">
        <f ca="1">IF($B$4="Apprenticeship","-",IF(B41="","",IF(SUMIF(Grades!$A:$A,$B$4,Grades!BQ:BQ)=0,"-",IF(AND($B$4="Salary Points 2 to 57",B41&gt;$AA$3),"-",IF(AND($B$4="Salary Points 2 to 57",B41&lt;=$AA$3),$C41*$AD$3,IF(AND(OR($B$4="New Consultant Contract"),$B41&lt;&gt;""),$C41*$AD$3,IF(AND(OR($B$4="Clinical Lecturer / Medical Research Fellow",$B$4="Clinical Consultant - Old Contract (GP)"),$B41&lt;&gt;""),$C41*$AD$3,IF(AND(OR($B$4="APM Level 7",$B$4="R&amp;T Level 7"),G41&lt;&gt;""),$C41*$AD$3,IF(SUMIF(Grades!$A:$A,$B$4,Grades!BQ:BQ)=1,$C41*$AD$3,"")))))))))</f>
        <v>-</v>
      </c>
      <c r="I41" s="27">
        <f ca="1">IF($B41="","",ROUND(($C41-(Thresholds_Rates!$C$5*12))*Thresholds_Rates!$C$10,0))</f>
        <v>3913</v>
      </c>
      <c r="J41" s="27" t="str">
        <f ca="1">IF(B41="","",IF(AND($B$4="Salary Points 2 to 57",B41&gt;$AA$3),"-",IF(SUMIF(Grades!$A:$A,$B$4,Grades!BR:BR)=0,"-",IF(AND($B$4="Salary Points 2 to 57",B41&lt;=$AA$3),$C41*$AD$4,IF(AND(OR($B$4="New Consultant Contract"),$B41&lt;&gt;""),$C41*$AD$4,IF(AND(OR($B$4="Clinical Lecturer / Medical Research Fellow",$B$4="Clinical Consultant - Old Contract (GP)"),$B41&lt;&gt;""),$C41*$AD$4,IF(AND(OR($B$4="APM Level 7",$B$4="R&amp;T Level 7"),I41&lt;&gt;""),$C41*$AD$4,IF(SUMIF(Grades!$A:$A,$B$4,Grades!BQ:BQ)=1,$C41*$AD$4,""))))))))</f>
        <v>-</v>
      </c>
      <c r="K41" s="6"/>
      <c r="L41" s="27">
        <f t="shared" ca="1" si="0"/>
        <v>44992.896000000001</v>
      </c>
      <c r="M41" s="27" t="str">
        <f t="shared" ca="1" si="1"/>
        <v>-</v>
      </c>
      <c r="N41" s="27" t="str">
        <f t="shared" ca="1" si="2"/>
        <v>-</v>
      </c>
      <c r="O41" s="27" t="str">
        <f t="shared" ca="1" si="3"/>
        <v>-</v>
      </c>
      <c r="P41" s="27">
        <f t="shared" ca="1" si="4"/>
        <v>40222</v>
      </c>
      <c r="R41" s="31" t="str">
        <f ca="1">IF(B41="","",IF($B$4="R&amp;T Level 5 - Clinical Lecturers (Vet School)",SUMIF(Points_Lookup!$M:$M,$B41,Points_Lookup!N:N),IF($B$4="R&amp;T Level 6 - Clinical Associate Professors and Clinical Readers (Vet School)",SUMIF(Points_Lookup!$T:$T,$B41,Points_Lookup!U:U),"")))</f>
        <v/>
      </c>
      <c r="S41" s="32" t="str">
        <f ca="1">IF(B41="","",IF($B$4="R&amp;T Level 5 - Clinical Lecturers (Vet School)",$C41-SUMIF(Points_Lookup!$M:$M,$B41,Points_Lookup!$O:$O),IF($B$4="R&amp;T Level 6 - Clinical Associate Professors and Clinical Readers (Vet School)",$C41-SUMIF(Points_Lookup!$T:$T,$B41,Points_Lookup!$V:$V),"")))</f>
        <v/>
      </c>
      <c r="T41" s="31" t="str">
        <f ca="1">IF(B41="","",IF($B$4="R&amp;T Level 5 - Clinical Lecturers (Vet School)",SUMIF(Points_Lookup!$M:$M,$B41,Points_Lookup!Q:Q),IF($B$4="R&amp;T Level 6 - Clinical Associate Professors and Clinical Readers (Vet School)",SUMIF(Points_Lookup!$T:$T,$B41,Points_Lookup!X:X),"")))</f>
        <v/>
      </c>
      <c r="U41" s="32" t="str">
        <f t="shared" ca="1" si="5"/>
        <v/>
      </c>
      <c r="Z41" s="28">
        <v>34</v>
      </c>
    </row>
    <row r="42" spans="2:26" x14ac:dyDescent="0.25">
      <c r="B42" s="6">
        <f ca="1">IFERROR(INDEX(Points_Lookup!A:A,MATCH($Z42,Points_Lookup!$AE:$AE,0)),"")</f>
        <v>36</v>
      </c>
      <c r="C42" s="27">
        <f ca="1">IF(B42="","",IF($B$4="Apprenticeship",SUMIF(Points_Lookup!AA:AA,B42,Points_Lookup!AC:AC),IF(AND(OR($B$4="New Consultant Contract"),$B42&lt;&gt;""),INDEX(Points_Lookup!K:K,MATCH($B42,Points_Lookup!$J:$J,0)),IF(AND(OR($B$4="Clinical Lecturer / Medical Research Fellow",$B$4="Clinical Consultant - Old Contract (GP)"),$B42&lt;&gt;""),INDEX(Points_Lookup!H:H,MATCH($B42,Points_Lookup!$G:$G,0)),IF(AND(OR($B$4="APM Level 7",$B$4="R&amp;T Level 7",$B$4="APM Level 8"),B42&lt;&gt;""),INDEX(Points_Lookup!E:E,MATCH($Z42,Points_Lookup!$AE:$AE,0)),IF($B$4="R&amp;T Level 5 - Clinical Lecturers (Vet School)",SUMIF(Points_Lookup!$M:$M,$B42,Points_Lookup!$P:$P),IF($B$4="R&amp;T Level 6 - Clinical Associate Professors and Clinical Readers (Vet School)",SUMIF(Points_Lookup!$T:$T,$B42,Points_Lookup!$W:$W),IFERROR(INDEX(Points_Lookup!B:B,MATCH($Z42,Points_Lookup!$AE:$AE,0)),""))))))))</f>
        <v>37394</v>
      </c>
      <c r="D42" s="45"/>
      <c r="E42" s="27">
        <f ca="1">IF($B42="","",IF($B$4="Apprenticeship","-",SUM(IF(SUM(C42/12)&lt;Thresholds_Rates!$C$7,(SUM(C42/12)-Thresholds_Rates!$C$5)*Thresholds_Rates!$C$9,(Thresholds_Rates!$C$7-Thresholds_Rates!$C$5)*Thresholds_Rates!$C$9),IF(SUM(C42/12)&gt;Thresholds_Rates!$C$7,((SUM(C42/12)-Thresholds_Rates!$C$7)*Thresholds_Rates!$C$10),0),SUM(Thresholds_Rates!$C$5-Thresholds_Rates!$C$4)*-Thresholds_Rates!$C$8)*12))</f>
        <v>2987.2959999999998</v>
      </c>
      <c r="F42" s="27">
        <f ca="1">IF($B42="","",IF(AND($B$4="Salary Points 2 to 57",B42&lt;$AA$2),"-",IF(SUMIF(Grades!$A:$A,$B$4,Grades!BO:BO)=0,"-",IF(AND($B$4="Salary Points 2 to 57",B42&gt;=$AA$2),$C42*$AD$1,IF(AND(OR($B$4="New Consultant Contract"),$B42&lt;&gt;""),$C42*$AD$1,IF(AND(OR($B$4="Clinical Lecturer / Medical Research Fellow",$B$4="Clinical Consultant - Old Contract (GP)"),$B42&lt;&gt;""),$C42*$AD$1,IF(AND(OR($B$4="APM Level 7",$B$4="R&amp;T Level 7"),E42&lt;&gt;""),$C42*$AD$1,IF(SUMIF(Grades!$A:$A,$B$4,Grades!BO:BO)=1,$C42*$AD$1,""))))))))</f>
        <v>5983.04</v>
      </c>
      <c r="G42" s="27" t="str">
        <f ca="1">IF(B42="","",IF($B$4="Salary Points 2 to 57","-",IF(SUMIF(Grades!$A:$A,$B$4,Grades!BP:BP)=0,"-",IF(AND(OR($B$4="New Consultant Contract"),$B42&lt;&gt;""),$C42*$AD$2,IF(AND(OR($B$4="Clinical Lecturer / Medical Research Fellow",$B$4="Clinical Consultant - Old Contract (GP)"),$B42&lt;&gt;""),$C42*$AD$2,IF(AND(OR($B$4="APM Level 7",$B$4="R&amp;T Level 7"),F42&lt;&gt;""),$C42*$AD$2,IF(SUMIF(Grades!$A:$A,$B$4,Grades!BP:BP)=1,$C42*$AD$2,"")))))))</f>
        <v>-</v>
      </c>
      <c r="H42" s="27" t="str">
        <f ca="1">IF($B$4="Apprenticeship","-",IF(B42="","",IF(SUMIF(Grades!$A:$A,$B$4,Grades!BQ:BQ)=0,"-",IF(AND($B$4="Salary Points 2 to 57",B42&gt;$AA$3),"-",IF(AND($B$4="Salary Points 2 to 57",B42&lt;=$AA$3),$C42*$AD$3,IF(AND(OR($B$4="New Consultant Contract"),$B42&lt;&gt;""),$C42*$AD$3,IF(AND(OR($B$4="Clinical Lecturer / Medical Research Fellow",$B$4="Clinical Consultant - Old Contract (GP)"),$B42&lt;&gt;""),$C42*$AD$3,IF(AND(OR($B$4="APM Level 7",$B$4="R&amp;T Level 7"),G42&lt;&gt;""),$C42*$AD$3,IF(SUMIF(Grades!$A:$A,$B$4,Grades!BQ:BQ)=1,$C42*$AD$3,"")))))))))</f>
        <v>-</v>
      </c>
      <c r="I42" s="27">
        <f ca="1">IF($B42="","",ROUND(($C42-(Thresholds_Rates!$C$5*12))*Thresholds_Rates!$C$10,0))</f>
        <v>4062</v>
      </c>
      <c r="J42" s="27" t="str">
        <f ca="1">IF(B42="","",IF(AND($B$4="Salary Points 2 to 57",B42&gt;$AA$3),"-",IF(SUMIF(Grades!$A:$A,$B$4,Grades!BR:BR)=0,"-",IF(AND($B$4="Salary Points 2 to 57",B42&lt;=$AA$3),$C42*$AD$4,IF(AND(OR($B$4="New Consultant Contract"),$B42&lt;&gt;""),$C42*$AD$4,IF(AND(OR($B$4="Clinical Lecturer / Medical Research Fellow",$B$4="Clinical Consultant - Old Contract (GP)"),$B42&lt;&gt;""),$C42*$AD$4,IF(AND(OR($B$4="APM Level 7",$B$4="R&amp;T Level 7"),I42&lt;&gt;""),$C42*$AD$4,IF(SUMIF(Grades!$A:$A,$B$4,Grades!BQ:BQ)=1,$C42*$AD$4,""))))))))</f>
        <v>-</v>
      </c>
      <c r="K42" s="6"/>
      <c r="L42" s="27">
        <f t="shared" ca="1" si="0"/>
        <v>46364.336000000003</v>
      </c>
      <c r="M42" s="27" t="str">
        <f t="shared" ca="1" si="1"/>
        <v>-</v>
      </c>
      <c r="N42" s="27" t="str">
        <f t="shared" ca="1" si="2"/>
        <v>-</v>
      </c>
      <c r="O42" s="27" t="str">
        <f t="shared" ca="1" si="3"/>
        <v>-</v>
      </c>
      <c r="P42" s="27">
        <f t="shared" ca="1" si="4"/>
        <v>41456</v>
      </c>
      <c r="R42" s="31" t="str">
        <f ca="1">IF(B42="","",IF($B$4="R&amp;T Level 5 - Clinical Lecturers (Vet School)",SUMIF(Points_Lookup!$M:$M,$B42,Points_Lookup!N:N),IF($B$4="R&amp;T Level 6 - Clinical Associate Professors and Clinical Readers (Vet School)",SUMIF(Points_Lookup!$T:$T,$B42,Points_Lookup!U:U),"")))</f>
        <v/>
      </c>
      <c r="S42" s="32" t="str">
        <f ca="1">IF(B42="","",IF($B$4="R&amp;T Level 5 - Clinical Lecturers (Vet School)",$C42-SUMIF(Points_Lookup!$M:$M,$B42,Points_Lookup!$O:$O),IF($B$4="R&amp;T Level 6 - Clinical Associate Professors and Clinical Readers (Vet School)",$C42-SUMIF(Points_Lookup!$T:$T,$B42,Points_Lookup!$V:$V),"")))</f>
        <v/>
      </c>
      <c r="T42" s="31" t="str">
        <f ca="1">IF(B42="","",IF($B$4="R&amp;T Level 5 - Clinical Lecturers (Vet School)",SUMIF(Points_Lookup!$M:$M,$B42,Points_Lookup!Q:Q),IF($B$4="R&amp;T Level 6 - Clinical Associate Professors and Clinical Readers (Vet School)",SUMIF(Points_Lookup!$T:$T,$B42,Points_Lookup!X:X),"")))</f>
        <v/>
      </c>
      <c r="U42" s="32" t="str">
        <f t="shared" ca="1" si="5"/>
        <v/>
      </c>
      <c r="Z42" s="28">
        <v>35</v>
      </c>
    </row>
    <row r="43" spans="2:26" x14ac:dyDescent="0.25">
      <c r="B43" s="6">
        <f ca="1">IFERROR(INDEX(Points_Lookup!A:A,MATCH($Z43,Points_Lookup!$AE:$AE,0)),"")</f>
        <v>37</v>
      </c>
      <c r="C43" s="27">
        <f ca="1">IF(B43="","",IF($B$4="Apprenticeship",SUMIF(Points_Lookup!AA:AA,B43,Points_Lookup!AC:AC),IF(AND(OR($B$4="New Consultant Contract"),$B43&lt;&gt;""),INDEX(Points_Lookup!K:K,MATCH($B43,Points_Lookup!$J:$J,0)),IF(AND(OR($B$4="Clinical Lecturer / Medical Research Fellow",$B$4="Clinical Consultant - Old Contract (GP)"),$B43&lt;&gt;""),INDEX(Points_Lookup!H:H,MATCH($B43,Points_Lookup!$G:$G,0)),IF(AND(OR($B$4="APM Level 7",$B$4="R&amp;T Level 7",$B$4="APM Level 8"),B43&lt;&gt;""),INDEX(Points_Lookup!E:E,MATCH($Z43,Points_Lookup!$AE:$AE,0)),IF($B$4="R&amp;T Level 5 - Clinical Lecturers (Vet School)",SUMIF(Points_Lookup!$M:$M,$B43,Points_Lookup!$P:$P),IF($B$4="R&amp;T Level 6 - Clinical Associate Professors and Clinical Readers (Vet School)",SUMIF(Points_Lookup!$T:$T,$B43,Points_Lookup!$W:$W),IFERROR(INDEX(Points_Lookup!B:B,MATCH($Z43,Points_Lookup!$AE:$AE,0)),""))))))))</f>
        <v>38511</v>
      </c>
      <c r="D43" s="45"/>
      <c r="E43" s="27">
        <f ca="1">IF($B43="","",IF($B$4="Apprenticeship","-",SUM(IF(SUM(C43/12)&lt;Thresholds_Rates!$C$7,(SUM(C43/12)-Thresholds_Rates!$C$5)*Thresholds_Rates!$C$9,(Thresholds_Rates!$C$7-Thresholds_Rates!$C$5)*Thresholds_Rates!$C$9),IF(SUM(C43/12)&gt;Thresholds_Rates!$C$7,((SUM(C43/12)-Thresholds_Rates!$C$7)*Thresholds_Rates!$C$10),0),SUM(Thresholds_Rates!$C$5-Thresholds_Rates!$C$4)*-Thresholds_Rates!$C$8)*12))</f>
        <v>3103.4639999999999</v>
      </c>
      <c r="F43" s="27">
        <f ca="1">IF($B43="","",IF(AND($B$4="Salary Points 2 to 57",B43&lt;$AA$2),"-",IF(SUMIF(Grades!$A:$A,$B$4,Grades!BO:BO)=0,"-",IF(AND($B$4="Salary Points 2 to 57",B43&gt;=$AA$2),$C43*$AD$1,IF(AND(OR($B$4="New Consultant Contract"),$B43&lt;&gt;""),$C43*$AD$1,IF(AND(OR($B$4="Clinical Lecturer / Medical Research Fellow",$B$4="Clinical Consultant - Old Contract (GP)"),$B43&lt;&gt;""),$C43*$AD$1,IF(AND(OR($B$4="APM Level 7",$B$4="R&amp;T Level 7"),E43&lt;&gt;""),$C43*$AD$1,IF(SUMIF(Grades!$A:$A,$B$4,Grades!BO:BO)=1,$C43*$AD$1,""))))))))</f>
        <v>6161.76</v>
      </c>
      <c r="G43" s="27" t="str">
        <f ca="1">IF(B43="","",IF($B$4="Salary Points 2 to 57","-",IF(SUMIF(Grades!$A:$A,$B$4,Grades!BP:BP)=0,"-",IF(AND(OR($B$4="New Consultant Contract"),$B43&lt;&gt;""),$C43*$AD$2,IF(AND(OR($B$4="Clinical Lecturer / Medical Research Fellow",$B$4="Clinical Consultant - Old Contract (GP)"),$B43&lt;&gt;""),$C43*$AD$2,IF(AND(OR($B$4="APM Level 7",$B$4="R&amp;T Level 7"),F43&lt;&gt;""),$C43*$AD$2,IF(SUMIF(Grades!$A:$A,$B$4,Grades!BP:BP)=1,$C43*$AD$2,"")))))))</f>
        <v>-</v>
      </c>
      <c r="H43" s="27" t="str">
        <f ca="1">IF($B$4="Apprenticeship","-",IF(B43="","",IF(SUMIF(Grades!$A:$A,$B$4,Grades!BQ:BQ)=0,"-",IF(AND($B$4="Salary Points 2 to 57",B43&gt;$AA$3),"-",IF(AND($B$4="Salary Points 2 to 57",B43&lt;=$AA$3),$C43*$AD$3,IF(AND(OR($B$4="New Consultant Contract"),$B43&lt;&gt;""),$C43*$AD$3,IF(AND(OR($B$4="Clinical Lecturer / Medical Research Fellow",$B$4="Clinical Consultant - Old Contract (GP)"),$B43&lt;&gt;""),$C43*$AD$3,IF(AND(OR($B$4="APM Level 7",$B$4="R&amp;T Level 7"),G43&lt;&gt;""),$C43*$AD$3,IF(SUMIF(Grades!$A:$A,$B$4,Grades!BQ:BQ)=1,$C43*$AD$3,"")))))))))</f>
        <v>-</v>
      </c>
      <c r="I43" s="27">
        <f ca="1">IF($B43="","",ROUND(($C43-(Thresholds_Rates!$C$5*12))*Thresholds_Rates!$C$10,0))</f>
        <v>4217</v>
      </c>
      <c r="J43" s="27" t="str">
        <f ca="1">IF(B43="","",IF(AND($B$4="Salary Points 2 to 57",B43&gt;$AA$3),"-",IF(SUMIF(Grades!$A:$A,$B$4,Grades!BR:BR)=0,"-",IF(AND($B$4="Salary Points 2 to 57",B43&lt;=$AA$3),$C43*$AD$4,IF(AND(OR($B$4="New Consultant Contract"),$B43&lt;&gt;""),$C43*$AD$4,IF(AND(OR($B$4="Clinical Lecturer / Medical Research Fellow",$B$4="Clinical Consultant - Old Contract (GP)"),$B43&lt;&gt;""),$C43*$AD$4,IF(AND(OR($B$4="APM Level 7",$B$4="R&amp;T Level 7"),I43&lt;&gt;""),$C43*$AD$4,IF(SUMIF(Grades!$A:$A,$B$4,Grades!BQ:BQ)=1,$C43*$AD$4,""))))))))</f>
        <v>-</v>
      </c>
      <c r="K43" s="6"/>
      <c r="L43" s="27">
        <f t="shared" ca="1" si="0"/>
        <v>47776.224000000002</v>
      </c>
      <c r="M43" s="27" t="str">
        <f t="shared" ca="1" si="1"/>
        <v>-</v>
      </c>
      <c r="N43" s="27" t="str">
        <f t="shared" ca="1" si="2"/>
        <v>-</v>
      </c>
      <c r="O43" s="27" t="str">
        <f t="shared" ca="1" si="3"/>
        <v>-</v>
      </c>
      <c r="P43" s="27">
        <f t="shared" ca="1" si="4"/>
        <v>42728</v>
      </c>
      <c r="R43" s="31" t="str">
        <f ca="1">IF(B43="","",IF($B$4="R&amp;T Level 5 - Clinical Lecturers (Vet School)",SUMIF(Points_Lookup!$M:$M,$B43,Points_Lookup!N:N),IF($B$4="R&amp;T Level 6 - Clinical Associate Professors and Clinical Readers (Vet School)",SUMIF(Points_Lookup!$T:$T,$B43,Points_Lookup!U:U),"")))</f>
        <v/>
      </c>
      <c r="S43" s="32" t="str">
        <f ca="1">IF(B43="","",IF($B$4="R&amp;T Level 5 - Clinical Lecturers (Vet School)",$C43-SUMIF(Points_Lookup!$M:$M,$B43,Points_Lookup!$O:$O),IF($B$4="R&amp;T Level 6 - Clinical Associate Professors and Clinical Readers (Vet School)",$C43-SUMIF(Points_Lookup!$T:$T,$B43,Points_Lookup!$V:$V),"")))</f>
        <v/>
      </c>
      <c r="T43" s="31" t="str">
        <f ca="1">IF(B43="","",IF($B$4="R&amp;T Level 5 - Clinical Lecturers (Vet School)",SUMIF(Points_Lookup!$M:$M,$B43,Points_Lookup!Q:Q),IF($B$4="R&amp;T Level 6 - Clinical Associate Professors and Clinical Readers (Vet School)",SUMIF(Points_Lookup!$T:$T,$B43,Points_Lookup!X:X),"")))</f>
        <v/>
      </c>
      <c r="U43" s="32" t="str">
        <f t="shared" ca="1" si="5"/>
        <v/>
      </c>
      <c r="Z43" s="28">
        <v>36</v>
      </c>
    </row>
    <row r="44" spans="2:26" x14ac:dyDescent="0.25">
      <c r="B44" s="6">
        <f ca="1">IFERROR(INDEX(Points_Lookup!A:A,MATCH($Z44,Points_Lookup!$AE:$AE,0)),"")</f>
        <v>38</v>
      </c>
      <c r="C44" s="27">
        <f ca="1">IF(B44="","",IF($B$4="Apprenticeship",SUMIF(Points_Lookup!AA:AA,B44,Points_Lookup!AC:AC),IF(AND(OR($B$4="New Consultant Contract"),$B44&lt;&gt;""),INDEX(Points_Lookup!K:K,MATCH($B44,Points_Lookup!$J:$J,0)),IF(AND(OR($B$4="Clinical Lecturer / Medical Research Fellow",$B$4="Clinical Consultant - Old Contract (GP)"),$B44&lt;&gt;""),INDEX(Points_Lookup!H:H,MATCH($B44,Points_Lookup!$G:$G,0)),IF(AND(OR($B$4="APM Level 7",$B$4="R&amp;T Level 7",$B$4="APM Level 8"),B44&lt;&gt;""),INDEX(Points_Lookup!E:E,MATCH($Z44,Points_Lookup!$AE:$AE,0)),IF($B$4="R&amp;T Level 5 - Clinical Lecturers (Vet School)",SUMIF(Points_Lookup!$M:$M,$B44,Points_Lookup!$P:$P),IF($B$4="R&amp;T Level 6 - Clinical Associate Professors and Clinical Readers (Vet School)",SUMIF(Points_Lookup!$T:$T,$B44,Points_Lookup!$W:$W),IFERROR(INDEX(Points_Lookup!B:B,MATCH($Z44,Points_Lookup!$AE:$AE,0)),""))))))))</f>
        <v>39685</v>
      </c>
      <c r="D44" s="45"/>
      <c r="E44" s="27">
        <f ca="1">IF($B44="","",IF($B$4="Apprenticeship","-",SUM(IF(SUM(C44/12)&lt;Thresholds_Rates!$C$7,(SUM(C44/12)-Thresholds_Rates!$C$5)*Thresholds_Rates!$C$9,(Thresholds_Rates!$C$7-Thresholds_Rates!$C$5)*Thresholds_Rates!$C$9),IF(SUM(C44/12)&gt;Thresholds_Rates!$C$7,((SUM(C44/12)-Thresholds_Rates!$C$7)*Thresholds_Rates!$C$10),0),SUM(Thresholds_Rates!$C$5-Thresholds_Rates!$C$4)*-Thresholds_Rates!$C$8)*12))</f>
        <v>3225.5600000000004</v>
      </c>
      <c r="F44" s="27">
        <f ca="1">IF($B44="","",IF(AND($B$4="Salary Points 2 to 57",B44&lt;$AA$2),"-",IF(SUMIF(Grades!$A:$A,$B$4,Grades!BO:BO)=0,"-",IF(AND($B$4="Salary Points 2 to 57",B44&gt;=$AA$2),$C44*$AD$1,IF(AND(OR($B$4="New Consultant Contract"),$B44&lt;&gt;""),$C44*$AD$1,IF(AND(OR($B$4="Clinical Lecturer / Medical Research Fellow",$B$4="Clinical Consultant - Old Contract (GP)"),$B44&lt;&gt;""),$C44*$AD$1,IF(AND(OR($B$4="APM Level 7",$B$4="R&amp;T Level 7"),E44&lt;&gt;""),$C44*$AD$1,IF(SUMIF(Grades!$A:$A,$B$4,Grades!BO:BO)=1,$C44*$AD$1,""))))))))</f>
        <v>6349.6</v>
      </c>
      <c r="G44" s="27" t="str">
        <f ca="1">IF(B44="","",IF($B$4="Salary Points 2 to 57","-",IF(SUMIF(Grades!$A:$A,$B$4,Grades!BP:BP)=0,"-",IF(AND(OR($B$4="New Consultant Contract"),$B44&lt;&gt;""),$C44*$AD$2,IF(AND(OR($B$4="Clinical Lecturer / Medical Research Fellow",$B$4="Clinical Consultant - Old Contract (GP)"),$B44&lt;&gt;""),$C44*$AD$2,IF(AND(OR($B$4="APM Level 7",$B$4="R&amp;T Level 7"),F44&lt;&gt;""),$C44*$AD$2,IF(SUMIF(Grades!$A:$A,$B$4,Grades!BP:BP)=1,$C44*$AD$2,"")))))))</f>
        <v>-</v>
      </c>
      <c r="H44" s="27" t="str">
        <f ca="1">IF($B$4="Apprenticeship","-",IF(B44="","",IF(SUMIF(Grades!$A:$A,$B$4,Grades!BQ:BQ)=0,"-",IF(AND($B$4="Salary Points 2 to 57",B44&gt;$AA$3),"-",IF(AND($B$4="Salary Points 2 to 57",B44&lt;=$AA$3),$C44*$AD$3,IF(AND(OR($B$4="New Consultant Contract"),$B44&lt;&gt;""),$C44*$AD$3,IF(AND(OR($B$4="Clinical Lecturer / Medical Research Fellow",$B$4="Clinical Consultant - Old Contract (GP)"),$B44&lt;&gt;""),$C44*$AD$3,IF(AND(OR($B$4="APM Level 7",$B$4="R&amp;T Level 7"),G44&lt;&gt;""),$C44*$AD$3,IF(SUMIF(Grades!$A:$A,$B$4,Grades!BQ:BQ)=1,$C44*$AD$3,"")))))))))</f>
        <v>-</v>
      </c>
      <c r="I44" s="27">
        <f ca="1">IF($B44="","",ROUND(($C44-(Thresholds_Rates!$C$5*12))*Thresholds_Rates!$C$10,0))</f>
        <v>4379</v>
      </c>
      <c r="J44" s="27" t="str">
        <f ca="1">IF(B44="","",IF(AND($B$4="Salary Points 2 to 57",B44&gt;$AA$3),"-",IF(SUMIF(Grades!$A:$A,$B$4,Grades!BR:BR)=0,"-",IF(AND($B$4="Salary Points 2 to 57",B44&lt;=$AA$3),$C44*$AD$4,IF(AND(OR($B$4="New Consultant Contract"),$B44&lt;&gt;""),$C44*$AD$4,IF(AND(OR($B$4="Clinical Lecturer / Medical Research Fellow",$B$4="Clinical Consultant - Old Contract (GP)"),$B44&lt;&gt;""),$C44*$AD$4,IF(AND(OR($B$4="APM Level 7",$B$4="R&amp;T Level 7"),I44&lt;&gt;""),$C44*$AD$4,IF(SUMIF(Grades!$A:$A,$B$4,Grades!BQ:BQ)=1,$C44*$AD$4,""))))))))</f>
        <v>-</v>
      </c>
      <c r="K44" s="6"/>
      <c r="L44" s="27">
        <f t="shared" ca="1" si="0"/>
        <v>49260.159999999996</v>
      </c>
      <c r="M44" s="27" t="str">
        <f t="shared" ca="1" si="1"/>
        <v>-</v>
      </c>
      <c r="N44" s="27" t="str">
        <f t="shared" ca="1" si="2"/>
        <v>-</v>
      </c>
      <c r="O44" s="27" t="str">
        <f t="shared" ca="1" si="3"/>
        <v>-</v>
      </c>
      <c r="P44" s="27">
        <f t="shared" ca="1" si="4"/>
        <v>44064</v>
      </c>
      <c r="R44" s="31" t="str">
        <f ca="1">IF(B44="","",IF($B$4="R&amp;T Level 5 - Clinical Lecturers (Vet School)",SUMIF(Points_Lookup!$M:$M,$B44,Points_Lookup!N:N),IF($B$4="R&amp;T Level 6 - Clinical Associate Professors and Clinical Readers (Vet School)",SUMIF(Points_Lookup!$T:$T,$B44,Points_Lookup!U:U),"")))</f>
        <v/>
      </c>
      <c r="S44" s="32" t="str">
        <f ca="1">IF(B44="","",IF($B$4="R&amp;T Level 5 - Clinical Lecturers (Vet School)",$C44-SUMIF(Points_Lookup!$M:$M,$B44,Points_Lookup!$O:$O),IF($B$4="R&amp;T Level 6 - Clinical Associate Professors and Clinical Readers (Vet School)",$C44-SUMIF(Points_Lookup!$T:$T,$B44,Points_Lookup!$V:$V),"")))</f>
        <v/>
      </c>
      <c r="T44" s="31" t="str">
        <f ca="1">IF(B44="","",IF($B$4="R&amp;T Level 5 - Clinical Lecturers (Vet School)",SUMIF(Points_Lookup!$M:$M,$B44,Points_Lookup!Q:Q),IF($B$4="R&amp;T Level 6 - Clinical Associate Professors and Clinical Readers (Vet School)",SUMIF(Points_Lookup!$T:$T,$B44,Points_Lookup!X:X),"")))</f>
        <v/>
      </c>
      <c r="U44" s="32" t="str">
        <f t="shared" ca="1" si="5"/>
        <v/>
      </c>
      <c r="Z44" s="28">
        <v>37</v>
      </c>
    </row>
    <row r="45" spans="2:26" x14ac:dyDescent="0.25">
      <c r="B45" s="6">
        <f ca="1">IFERROR(INDEX(Points_Lookup!A:A,MATCH($Z45,Points_Lookup!$AE:$AE,0)),"")</f>
        <v>39</v>
      </c>
      <c r="C45" s="27">
        <f ca="1">IF(B45="","",IF($B$4="Apprenticeship",SUMIF(Points_Lookup!AA:AA,B45,Points_Lookup!AC:AC),IF(AND(OR($B$4="New Consultant Contract"),$B45&lt;&gt;""),INDEX(Points_Lookup!K:K,MATCH($B45,Points_Lookup!$J:$J,0)),IF(AND(OR($B$4="Clinical Lecturer / Medical Research Fellow",$B$4="Clinical Consultant - Old Contract (GP)"),$B45&lt;&gt;""),INDEX(Points_Lookup!H:H,MATCH($B45,Points_Lookup!$G:$G,0)),IF(AND(OR($B$4="APM Level 7",$B$4="R&amp;T Level 7",$B$4="APM Level 8"),B45&lt;&gt;""),INDEX(Points_Lookup!E:E,MATCH($Z45,Points_Lookup!$AE:$AE,0)),IF($B$4="R&amp;T Level 5 - Clinical Lecturers (Vet School)",SUMIF(Points_Lookup!$M:$M,$B45,Points_Lookup!$P:$P),IF($B$4="R&amp;T Level 6 - Clinical Associate Professors and Clinical Readers (Vet School)",SUMIF(Points_Lookup!$T:$T,$B45,Points_Lookup!$W:$W),IFERROR(INDEX(Points_Lookup!B:B,MATCH($Z45,Points_Lookup!$AE:$AE,0)),""))))))))</f>
        <v>40847</v>
      </c>
      <c r="D45" s="45"/>
      <c r="E45" s="27">
        <f ca="1">IF($B45="","",IF($B$4="Apprenticeship","-",SUM(IF(SUM(C45/12)&lt;Thresholds_Rates!$C$7,(SUM(C45/12)-Thresholds_Rates!$C$5)*Thresholds_Rates!$C$9,(Thresholds_Rates!$C$7-Thresholds_Rates!$C$5)*Thresholds_Rates!$C$9),IF(SUM(C45/12)&gt;Thresholds_Rates!$C$7,((SUM(C45/12)-Thresholds_Rates!$C$7)*Thresholds_Rates!$C$10),0),SUM(Thresholds_Rates!$C$5-Thresholds_Rates!$C$4)*-Thresholds_Rates!$C$8)*12))</f>
        <v>3373.71</v>
      </c>
      <c r="F45" s="27">
        <f ca="1">IF($B45="","",IF(AND($B$4="Salary Points 2 to 57",B45&lt;$AA$2),"-",IF(SUMIF(Grades!$A:$A,$B$4,Grades!BO:BO)=0,"-",IF(AND($B$4="Salary Points 2 to 57",B45&gt;=$AA$2),$C45*$AD$1,IF(AND(OR($B$4="New Consultant Contract"),$B45&lt;&gt;""),$C45*$AD$1,IF(AND(OR($B$4="Clinical Lecturer / Medical Research Fellow",$B$4="Clinical Consultant - Old Contract (GP)"),$B45&lt;&gt;""),$C45*$AD$1,IF(AND(OR($B$4="APM Level 7",$B$4="R&amp;T Level 7"),E45&lt;&gt;""),$C45*$AD$1,IF(SUMIF(Grades!$A:$A,$B$4,Grades!BO:BO)=1,$C45*$AD$1,""))))))))</f>
        <v>6535.52</v>
      </c>
      <c r="G45" s="27" t="str">
        <f ca="1">IF(B45="","",IF($B$4="Salary Points 2 to 57","-",IF(SUMIF(Grades!$A:$A,$B$4,Grades!BP:BP)=0,"-",IF(AND(OR($B$4="New Consultant Contract"),$B45&lt;&gt;""),$C45*$AD$2,IF(AND(OR($B$4="Clinical Lecturer / Medical Research Fellow",$B$4="Clinical Consultant - Old Contract (GP)"),$B45&lt;&gt;""),$C45*$AD$2,IF(AND(OR($B$4="APM Level 7",$B$4="R&amp;T Level 7"),F45&lt;&gt;""),$C45*$AD$2,IF(SUMIF(Grades!$A:$A,$B$4,Grades!BP:BP)=1,$C45*$AD$2,"")))))))</f>
        <v>-</v>
      </c>
      <c r="H45" s="27" t="str">
        <f ca="1">IF($B$4="Apprenticeship","-",IF(B45="","",IF(SUMIF(Grades!$A:$A,$B$4,Grades!BQ:BQ)=0,"-",IF(AND($B$4="Salary Points 2 to 57",B45&gt;$AA$3),"-",IF(AND($B$4="Salary Points 2 to 57",B45&lt;=$AA$3),$C45*$AD$3,IF(AND(OR($B$4="New Consultant Contract"),$B45&lt;&gt;""),$C45*$AD$3,IF(AND(OR($B$4="Clinical Lecturer / Medical Research Fellow",$B$4="Clinical Consultant - Old Contract (GP)"),$B45&lt;&gt;""),$C45*$AD$3,IF(AND(OR($B$4="APM Level 7",$B$4="R&amp;T Level 7"),G45&lt;&gt;""),$C45*$AD$3,IF(SUMIF(Grades!$A:$A,$B$4,Grades!BQ:BQ)=1,$C45*$AD$3,"")))))))))</f>
        <v>-</v>
      </c>
      <c r="I45" s="27">
        <f ca="1">IF($B45="","",ROUND(($C45-(Thresholds_Rates!$C$5*12))*Thresholds_Rates!$C$10,0))</f>
        <v>4539</v>
      </c>
      <c r="J45" s="27" t="str">
        <f ca="1">IF(B45="","",IF(AND($B$4="Salary Points 2 to 57",B45&gt;$AA$3),"-",IF(SUMIF(Grades!$A:$A,$B$4,Grades!BR:BR)=0,"-",IF(AND($B$4="Salary Points 2 to 57",B45&lt;=$AA$3),$C45*$AD$4,IF(AND(OR($B$4="New Consultant Contract"),$B45&lt;&gt;""),$C45*$AD$4,IF(AND(OR($B$4="Clinical Lecturer / Medical Research Fellow",$B$4="Clinical Consultant - Old Contract (GP)"),$B45&lt;&gt;""),$C45*$AD$4,IF(AND(OR($B$4="APM Level 7",$B$4="R&amp;T Level 7"),I45&lt;&gt;""),$C45*$AD$4,IF(SUMIF(Grades!$A:$A,$B$4,Grades!BQ:BQ)=1,$C45*$AD$4,""))))))))</f>
        <v>-</v>
      </c>
      <c r="K45" s="6"/>
      <c r="L45" s="27">
        <f t="shared" ca="1" si="0"/>
        <v>50756.229999999996</v>
      </c>
      <c r="M45" s="27" t="str">
        <f t="shared" ca="1" si="1"/>
        <v>-</v>
      </c>
      <c r="N45" s="27" t="str">
        <f t="shared" ca="1" si="2"/>
        <v>-</v>
      </c>
      <c r="O45" s="27" t="str">
        <f t="shared" ca="1" si="3"/>
        <v>-</v>
      </c>
      <c r="P45" s="27">
        <f t="shared" ca="1" si="4"/>
        <v>45386</v>
      </c>
      <c r="R45" s="31" t="str">
        <f ca="1">IF(B45="","",IF($B$4="R&amp;T Level 5 - Clinical Lecturers (Vet School)",SUMIF(Points_Lookup!$M:$M,$B45,Points_Lookup!N:N),IF($B$4="R&amp;T Level 6 - Clinical Associate Professors and Clinical Readers (Vet School)",SUMIF(Points_Lookup!$T:$T,$B45,Points_Lookup!U:U),"")))</f>
        <v/>
      </c>
      <c r="S45" s="32" t="str">
        <f ca="1">IF(B45="","",IF($B$4="R&amp;T Level 5 - Clinical Lecturers (Vet School)",$C45-SUMIF(Points_Lookup!$M:$M,$B45,Points_Lookup!$O:$O),IF($B$4="R&amp;T Level 6 - Clinical Associate Professors and Clinical Readers (Vet School)",$C45-SUMIF(Points_Lookup!$T:$T,$B45,Points_Lookup!$V:$V),"")))</f>
        <v/>
      </c>
      <c r="T45" s="31" t="str">
        <f ca="1">IF(B45="","",IF($B$4="R&amp;T Level 5 - Clinical Lecturers (Vet School)",SUMIF(Points_Lookup!$M:$M,$B45,Points_Lookup!Q:Q),IF($B$4="R&amp;T Level 6 - Clinical Associate Professors and Clinical Readers (Vet School)",SUMIF(Points_Lookup!$T:$T,$B45,Points_Lookup!X:X),"")))</f>
        <v/>
      </c>
      <c r="U45" s="32" t="str">
        <f t="shared" ca="1" si="5"/>
        <v/>
      </c>
      <c r="Z45" s="28">
        <v>38</v>
      </c>
    </row>
    <row r="46" spans="2:26" x14ac:dyDescent="0.25">
      <c r="B46" s="6">
        <f ca="1">IFERROR(INDEX(Points_Lookup!A:A,MATCH($Z46,Points_Lookup!$AE:$AE,0)),"")</f>
        <v>40</v>
      </c>
      <c r="C46" s="27">
        <f ca="1">IF(B46="","",IF($B$4="Apprenticeship",SUMIF(Points_Lookup!AA:AA,B46,Points_Lookup!AC:AC),IF(AND(OR($B$4="New Consultant Contract"),$B46&lt;&gt;""),INDEX(Points_Lookup!K:K,MATCH($B46,Points_Lookup!$J:$J,0)),IF(AND(OR($B$4="Clinical Lecturer / Medical Research Fellow",$B$4="Clinical Consultant - Old Contract (GP)"),$B46&lt;&gt;""),INDEX(Points_Lookup!H:H,MATCH($B46,Points_Lookup!$G:$G,0)),IF(AND(OR($B$4="APM Level 7",$B$4="R&amp;T Level 7",$B$4="APM Level 8"),B46&lt;&gt;""),INDEX(Points_Lookup!E:E,MATCH($Z46,Points_Lookup!$AE:$AE,0)),IF($B$4="R&amp;T Level 5 - Clinical Lecturers (Vet School)",SUMIF(Points_Lookup!$M:$M,$B46,Points_Lookup!$P:$P),IF($B$4="R&amp;T Level 6 - Clinical Associate Professors and Clinical Readers (Vet School)",SUMIF(Points_Lookup!$T:$T,$B46,Points_Lookup!$W:$W),IFERROR(INDEX(Points_Lookup!B:B,MATCH($Z46,Points_Lookup!$AE:$AE,0)),""))))))))</f>
        <v>42067</v>
      </c>
      <c r="D46" s="45"/>
      <c r="E46" s="27">
        <f ca="1">IF($B46="","",IF($B$4="Apprenticeship","-",SUM(IF(SUM(C46/12)&lt;Thresholds_Rates!$C$7,(SUM(C46/12)-Thresholds_Rates!$C$5)*Thresholds_Rates!$C$9,(Thresholds_Rates!$C$7-Thresholds_Rates!$C$5)*Thresholds_Rates!$C$9),IF(SUM(C46/12)&gt;Thresholds_Rates!$C$7,((SUM(C46/12)-Thresholds_Rates!$C$7)*Thresholds_Rates!$C$10),0),SUM(Thresholds_Rates!$C$5-Thresholds_Rates!$C$4)*-Thresholds_Rates!$C$8)*12))</f>
        <v>3542.07</v>
      </c>
      <c r="F46" s="27">
        <f ca="1">IF($B46="","",IF(AND($B$4="Salary Points 2 to 57",B46&lt;$AA$2),"-",IF(SUMIF(Grades!$A:$A,$B$4,Grades!BO:BO)=0,"-",IF(AND($B$4="Salary Points 2 to 57",B46&gt;=$AA$2),$C46*$AD$1,IF(AND(OR($B$4="New Consultant Contract"),$B46&lt;&gt;""),$C46*$AD$1,IF(AND(OR($B$4="Clinical Lecturer / Medical Research Fellow",$B$4="Clinical Consultant - Old Contract (GP)"),$B46&lt;&gt;""),$C46*$AD$1,IF(AND(OR($B$4="APM Level 7",$B$4="R&amp;T Level 7"),E46&lt;&gt;""),$C46*$AD$1,IF(SUMIF(Grades!$A:$A,$B$4,Grades!BO:BO)=1,$C46*$AD$1,""))))))))</f>
        <v>6730.72</v>
      </c>
      <c r="G46" s="27" t="str">
        <f ca="1">IF(B46="","",IF($B$4="Salary Points 2 to 57","-",IF(SUMIF(Grades!$A:$A,$B$4,Grades!BP:BP)=0,"-",IF(AND(OR($B$4="New Consultant Contract"),$B46&lt;&gt;""),$C46*$AD$2,IF(AND(OR($B$4="Clinical Lecturer / Medical Research Fellow",$B$4="Clinical Consultant - Old Contract (GP)"),$B46&lt;&gt;""),$C46*$AD$2,IF(AND(OR($B$4="APM Level 7",$B$4="R&amp;T Level 7"),F46&lt;&gt;""),$C46*$AD$2,IF(SUMIF(Grades!$A:$A,$B$4,Grades!BP:BP)=1,$C46*$AD$2,"")))))))</f>
        <v>-</v>
      </c>
      <c r="H46" s="27" t="str">
        <f ca="1">IF($B$4="Apprenticeship","-",IF(B46="","",IF(SUMIF(Grades!$A:$A,$B$4,Grades!BQ:BQ)=0,"-",IF(AND($B$4="Salary Points 2 to 57",B46&gt;$AA$3),"-",IF(AND($B$4="Salary Points 2 to 57",B46&lt;=$AA$3),$C46*$AD$3,IF(AND(OR($B$4="New Consultant Contract"),$B46&lt;&gt;""),$C46*$AD$3,IF(AND(OR($B$4="Clinical Lecturer / Medical Research Fellow",$B$4="Clinical Consultant - Old Contract (GP)"),$B46&lt;&gt;""),$C46*$AD$3,IF(AND(OR($B$4="APM Level 7",$B$4="R&amp;T Level 7"),G46&lt;&gt;""),$C46*$AD$3,IF(SUMIF(Grades!$A:$A,$B$4,Grades!BQ:BQ)=1,$C46*$AD$3,"")))))))))</f>
        <v>-</v>
      </c>
      <c r="I46" s="27">
        <f ca="1">IF($B46="","",ROUND(($C46-(Thresholds_Rates!$C$5*12))*Thresholds_Rates!$C$10,0))</f>
        <v>4707</v>
      </c>
      <c r="J46" s="27" t="str">
        <f ca="1">IF(B46="","",IF(AND($B$4="Salary Points 2 to 57",B46&gt;$AA$3),"-",IF(SUMIF(Grades!$A:$A,$B$4,Grades!BR:BR)=0,"-",IF(AND($B$4="Salary Points 2 to 57",B46&lt;=$AA$3),$C46*$AD$4,IF(AND(OR($B$4="New Consultant Contract"),$B46&lt;&gt;""),$C46*$AD$4,IF(AND(OR($B$4="Clinical Lecturer / Medical Research Fellow",$B$4="Clinical Consultant - Old Contract (GP)"),$B46&lt;&gt;""),$C46*$AD$4,IF(AND(OR($B$4="APM Level 7",$B$4="R&amp;T Level 7"),I46&lt;&gt;""),$C46*$AD$4,IF(SUMIF(Grades!$A:$A,$B$4,Grades!BQ:BQ)=1,$C46*$AD$4,""))))))))</f>
        <v>-</v>
      </c>
      <c r="K46" s="6"/>
      <c r="L46" s="27">
        <f t="shared" ca="1" si="0"/>
        <v>52339.79</v>
      </c>
      <c r="M46" s="27" t="str">
        <f t="shared" ca="1" si="1"/>
        <v>-</v>
      </c>
      <c r="N46" s="27" t="str">
        <f t="shared" ca="1" si="2"/>
        <v>-</v>
      </c>
      <c r="O46" s="27" t="str">
        <f t="shared" ca="1" si="3"/>
        <v>-</v>
      </c>
      <c r="P46" s="27">
        <f t="shared" ca="1" si="4"/>
        <v>46774</v>
      </c>
      <c r="R46" s="31" t="str">
        <f ca="1">IF(B46="","",IF($B$4="R&amp;T Level 5 - Clinical Lecturers (Vet School)",SUMIF(Points_Lookup!$M:$M,$B46,Points_Lookup!N:N),IF($B$4="R&amp;T Level 6 - Clinical Associate Professors and Clinical Readers (Vet School)",SUMIF(Points_Lookup!$T:$T,$B46,Points_Lookup!U:U),"")))</f>
        <v/>
      </c>
      <c r="S46" s="32" t="str">
        <f ca="1">IF(B46="","",IF($B$4="R&amp;T Level 5 - Clinical Lecturers (Vet School)",$C46-SUMIF(Points_Lookup!$M:$M,$B46,Points_Lookup!$O:$O),IF($B$4="R&amp;T Level 6 - Clinical Associate Professors and Clinical Readers (Vet School)",$C46-SUMIF(Points_Lookup!$T:$T,$B46,Points_Lookup!$V:$V),"")))</f>
        <v/>
      </c>
      <c r="T46" s="31" t="str">
        <f ca="1">IF(B46="","",IF($B$4="R&amp;T Level 5 - Clinical Lecturers (Vet School)",SUMIF(Points_Lookup!$M:$M,$B46,Points_Lookup!Q:Q),IF($B$4="R&amp;T Level 6 - Clinical Associate Professors and Clinical Readers (Vet School)",SUMIF(Points_Lookup!$T:$T,$B46,Points_Lookup!X:X),"")))</f>
        <v/>
      </c>
      <c r="U46" s="32" t="str">
        <f t="shared" ca="1" si="5"/>
        <v/>
      </c>
      <c r="Z46" s="28">
        <v>39</v>
      </c>
    </row>
    <row r="47" spans="2:26" x14ac:dyDescent="0.25">
      <c r="B47" s="6">
        <f ca="1">IFERROR(INDEX(Points_Lookup!A:A,MATCH($Z47,Points_Lookup!$AE:$AE,0)),"")</f>
        <v>41</v>
      </c>
      <c r="C47" s="27">
        <f ca="1">IF(B47="","",IF($B$4="Apprenticeship",SUMIF(Points_Lookup!AA:AA,B47,Points_Lookup!AC:AC),IF(AND(OR($B$4="New Consultant Contract"),$B47&lt;&gt;""),INDEX(Points_Lookup!K:K,MATCH($B47,Points_Lookup!$J:$J,0)),IF(AND(OR($B$4="Clinical Lecturer / Medical Research Fellow",$B$4="Clinical Consultant - Old Contract (GP)"),$B47&lt;&gt;""),INDEX(Points_Lookup!H:H,MATCH($B47,Points_Lookup!$G:$G,0)),IF(AND(OR($B$4="APM Level 7",$B$4="R&amp;T Level 7",$B$4="APM Level 8"),B47&lt;&gt;""),INDEX(Points_Lookup!E:E,MATCH($Z47,Points_Lookup!$AE:$AE,0)),IF($B$4="R&amp;T Level 5 - Clinical Lecturers (Vet School)",SUMIF(Points_Lookup!$M:$M,$B47,Points_Lookup!$P:$P),IF($B$4="R&amp;T Level 6 - Clinical Associate Professors and Clinical Readers (Vet School)",SUMIF(Points_Lookup!$T:$T,$B47,Points_Lookup!$W:$W),IFERROR(INDEX(Points_Lookup!B:B,MATCH($Z47,Points_Lookup!$AE:$AE,0)),""))))))))</f>
        <v>43325</v>
      </c>
      <c r="D47" s="45"/>
      <c r="E47" s="27">
        <f ca="1">IF($B47="","",IF($B$4="Apprenticeship","-",SUM(IF(SUM(C47/12)&lt;Thresholds_Rates!$C$7,(SUM(C47/12)-Thresholds_Rates!$C$5)*Thresholds_Rates!$C$9,(Thresholds_Rates!$C$7-Thresholds_Rates!$C$5)*Thresholds_Rates!$C$9),IF(SUM(C47/12)&gt;Thresholds_Rates!$C$7,((SUM(C47/12)-Thresholds_Rates!$C$7)*Thresholds_Rates!$C$10),0),SUM(Thresholds_Rates!$C$5-Thresholds_Rates!$C$4)*-Thresholds_Rates!$C$8)*12))</f>
        <v>3715.674</v>
      </c>
      <c r="F47" s="27">
        <f ca="1">IF($B47="","",IF(AND($B$4="Salary Points 2 to 57",B47&lt;$AA$2),"-",IF(SUMIF(Grades!$A:$A,$B$4,Grades!BO:BO)=0,"-",IF(AND($B$4="Salary Points 2 to 57",B47&gt;=$AA$2),$C47*$AD$1,IF(AND(OR($B$4="New Consultant Contract"),$B47&lt;&gt;""),$C47*$AD$1,IF(AND(OR($B$4="Clinical Lecturer / Medical Research Fellow",$B$4="Clinical Consultant - Old Contract (GP)"),$B47&lt;&gt;""),$C47*$AD$1,IF(AND(OR($B$4="APM Level 7",$B$4="R&amp;T Level 7"),E47&lt;&gt;""),$C47*$AD$1,IF(SUMIF(Grades!$A:$A,$B$4,Grades!BO:BO)=1,$C47*$AD$1,""))))))))</f>
        <v>6932</v>
      </c>
      <c r="G47" s="27" t="str">
        <f ca="1">IF(B47="","",IF($B$4="Salary Points 2 to 57","-",IF(SUMIF(Grades!$A:$A,$B$4,Grades!BP:BP)=0,"-",IF(AND(OR($B$4="New Consultant Contract"),$B47&lt;&gt;""),$C47*$AD$2,IF(AND(OR($B$4="Clinical Lecturer / Medical Research Fellow",$B$4="Clinical Consultant - Old Contract (GP)"),$B47&lt;&gt;""),$C47*$AD$2,IF(AND(OR($B$4="APM Level 7",$B$4="R&amp;T Level 7"),F47&lt;&gt;""),$C47*$AD$2,IF(SUMIF(Grades!$A:$A,$B$4,Grades!BP:BP)=1,$C47*$AD$2,"")))))))</f>
        <v>-</v>
      </c>
      <c r="H47" s="27" t="str">
        <f ca="1">IF($B$4="Apprenticeship","-",IF(B47="","",IF(SUMIF(Grades!$A:$A,$B$4,Grades!BQ:BQ)=0,"-",IF(AND($B$4="Salary Points 2 to 57",B47&gt;$AA$3),"-",IF(AND($B$4="Salary Points 2 to 57",B47&lt;=$AA$3),$C47*$AD$3,IF(AND(OR($B$4="New Consultant Contract"),$B47&lt;&gt;""),$C47*$AD$3,IF(AND(OR($B$4="Clinical Lecturer / Medical Research Fellow",$B$4="Clinical Consultant - Old Contract (GP)"),$B47&lt;&gt;""),$C47*$AD$3,IF(AND(OR($B$4="APM Level 7",$B$4="R&amp;T Level 7"),G47&lt;&gt;""),$C47*$AD$3,IF(SUMIF(Grades!$A:$A,$B$4,Grades!BQ:BQ)=1,$C47*$AD$3,"")))))))))</f>
        <v>-</v>
      </c>
      <c r="I47" s="27">
        <f ca="1">IF($B47="","",ROUND(($C47-(Thresholds_Rates!$C$5*12))*Thresholds_Rates!$C$10,0))</f>
        <v>4881</v>
      </c>
      <c r="J47" s="27" t="str">
        <f ca="1">IF(B47="","",IF(AND($B$4="Salary Points 2 to 57",B47&gt;$AA$3),"-",IF(SUMIF(Grades!$A:$A,$B$4,Grades!BR:BR)=0,"-",IF(AND($B$4="Salary Points 2 to 57",B47&lt;=$AA$3),$C47*$AD$4,IF(AND(OR($B$4="New Consultant Contract"),$B47&lt;&gt;""),$C47*$AD$4,IF(AND(OR($B$4="Clinical Lecturer / Medical Research Fellow",$B$4="Clinical Consultant - Old Contract (GP)"),$B47&lt;&gt;""),$C47*$AD$4,IF(AND(OR($B$4="APM Level 7",$B$4="R&amp;T Level 7"),I47&lt;&gt;""),$C47*$AD$4,IF(SUMIF(Grades!$A:$A,$B$4,Grades!BQ:BQ)=1,$C47*$AD$4,""))))))))</f>
        <v>-</v>
      </c>
      <c r="K47" s="6"/>
      <c r="L47" s="27">
        <f t="shared" ca="1" si="0"/>
        <v>53972.673999999999</v>
      </c>
      <c r="M47" s="27" t="str">
        <f t="shared" ca="1" si="1"/>
        <v>-</v>
      </c>
      <c r="N47" s="27" t="str">
        <f t="shared" ca="1" si="2"/>
        <v>-</v>
      </c>
      <c r="O47" s="27" t="str">
        <f t="shared" ca="1" si="3"/>
        <v>-</v>
      </c>
      <c r="P47" s="27">
        <f t="shared" ca="1" si="4"/>
        <v>48206</v>
      </c>
      <c r="R47" s="31" t="str">
        <f ca="1">IF(B47="","",IF($B$4="R&amp;T Level 5 - Clinical Lecturers (Vet School)",SUMIF(Points_Lookup!$M:$M,$B47,Points_Lookup!N:N),IF($B$4="R&amp;T Level 6 - Clinical Associate Professors and Clinical Readers (Vet School)",SUMIF(Points_Lookup!$T:$T,$B47,Points_Lookup!U:U),"")))</f>
        <v/>
      </c>
      <c r="S47" s="32" t="str">
        <f ca="1">IF(B47="","",IF($B$4="R&amp;T Level 5 - Clinical Lecturers (Vet School)",$C47-SUMIF(Points_Lookup!$M:$M,$B47,Points_Lookup!$O:$O),IF($B$4="R&amp;T Level 6 - Clinical Associate Professors and Clinical Readers (Vet School)",$C47-SUMIF(Points_Lookup!$T:$T,$B47,Points_Lookup!$V:$V),"")))</f>
        <v/>
      </c>
      <c r="T47" s="31" t="str">
        <f ca="1">IF(B47="","",IF($B$4="R&amp;T Level 5 - Clinical Lecturers (Vet School)",SUMIF(Points_Lookup!$M:$M,$B47,Points_Lookup!Q:Q),IF($B$4="R&amp;T Level 6 - Clinical Associate Professors and Clinical Readers (Vet School)",SUMIF(Points_Lookup!$T:$T,$B47,Points_Lookup!X:X),"")))</f>
        <v/>
      </c>
      <c r="U47" s="32" t="str">
        <f t="shared" ca="1" si="5"/>
        <v/>
      </c>
      <c r="Z47" s="28">
        <v>40</v>
      </c>
    </row>
    <row r="48" spans="2:26" x14ac:dyDescent="0.25">
      <c r="B48" s="6">
        <f ca="1">IFERROR(INDEX(Points_Lookup!A:A,MATCH($Z48,Points_Lookup!$AE:$AE,0)),"")</f>
        <v>42</v>
      </c>
      <c r="C48" s="27">
        <f ca="1">IF(B48="","",IF($B$4="Apprenticeship",SUMIF(Points_Lookup!AA:AA,B48,Points_Lookup!AC:AC),IF(AND(OR($B$4="New Consultant Contract"),$B48&lt;&gt;""),INDEX(Points_Lookup!K:K,MATCH($B48,Points_Lookup!$J:$J,0)),IF(AND(OR($B$4="Clinical Lecturer / Medical Research Fellow",$B$4="Clinical Consultant - Old Contract (GP)"),$B48&lt;&gt;""),INDEX(Points_Lookup!H:H,MATCH($B48,Points_Lookup!$G:$G,0)),IF(AND(OR($B$4="APM Level 7",$B$4="R&amp;T Level 7",$B$4="APM Level 8"),B48&lt;&gt;""),INDEX(Points_Lookup!E:E,MATCH($Z48,Points_Lookup!$AE:$AE,0)),IF($B$4="R&amp;T Level 5 - Clinical Lecturers (Vet School)",SUMIF(Points_Lookup!$M:$M,$B48,Points_Lookup!$P:$P),IF($B$4="R&amp;T Level 6 - Clinical Associate Professors and Clinical Readers (Vet School)",SUMIF(Points_Lookup!$T:$T,$B48,Points_Lookup!$W:$W),IFERROR(INDEX(Points_Lookup!B:B,MATCH($Z48,Points_Lookup!$AE:$AE,0)),""))))))))</f>
        <v>44620</v>
      </c>
      <c r="D48" s="45"/>
      <c r="E48" s="27">
        <f ca="1">IF($B48="","",IF($B$4="Apprenticeship","-",SUM(IF(SUM(C48/12)&lt;Thresholds_Rates!$C$7,(SUM(C48/12)-Thresholds_Rates!$C$5)*Thresholds_Rates!$C$9,(Thresholds_Rates!$C$7-Thresholds_Rates!$C$5)*Thresholds_Rates!$C$9),IF(SUM(C48/12)&gt;Thresholds_Rates!$C$7,((SUM(C48/12)-Thresholds_Rates!$C$7)*Thresholds_Rates!$C$10),0),SUM(Thresholds_Rates!$C$5-Thresholds_Rates!$C$4)*-Thresholds_Rates!$C$8)*12))</f>
        <v>3894.3840000000005</v>
      </c>
      <c r="F48" s="27">
        <f ca="1">IF($B48="","",IF(AND($B$4="Salary Points 2 to 57",B48&lt;$AA$2),"-",IF(SUMIF(Grades!$A:$A,$B$4,Grades!BO:BO)=0,"-",IF(AND($B$4="Salary Points 2 to 57",B48&gt;=$AA$2),$C48*$AD$1,IF(AND(OR($B$4="New Consultant Contract"),$B48&lt;&gt;""),$C48*$AD$1,IF(AND(OR($B$4="Clinical Lecturer / Medical Research Fellow",$B$4="Clinical Consultant - Old Contract (GP)"),$B48&lt;&gt;""),$C48*$AD$1,IF(AND(OR($B$4="APM Level 7",$B$4="R&amp;T Level 7"),E48&lt;&gt;""),$C48*$AD$1,IF(SUMIF(Grades!$A:$A,$B$4,Grades!BO:BO)=1,$C48*$AD$1,""))))))))</f>
        <v>7139.2</v>
      </c>
      <c r="G48" s="27" t="str">
        <f ca="1">IF(B48="","",IF($B$4="Salary Points 2 to 57","-",IF(SUMIF(Grades!$A:$A,$B$4,Grades!BP:BP)=0,"-",IF(AND(OR($B$4="New Consultant Contract"),$B48&lt;&gt;""),$C48*$AD$2,IF(AND(OR($B$4="Clinical Lecturer / Medical Research Fellow",$B$4="Clinical Consultant - Old Contract (GP)"),$B48&lt;&gt;""),$C48*$AD$2,IF(AND(OR($B$4="APM Level 7",$B$4="R&amp;T Level 7"),F48&lt;&gt;""),$C48*$AD$2,IF(SUMIF(Grades!$A:$A,$B$4,Grades!BP:BP)=1,$C48*$AD$2,"")))))))</f>
        <v>-</v>
      </c>
      <c r="H48" s="27" t="str">
        <f ca="1">IF($B$4="Apprenticeship","-",IF(B48="","",IF(SUMIF(Grades!$A:$A,$B$4,Grades!BQ:BQ)=0,"-",IF(AND($B$4="Salary Points 2 to 57",B48&gt;$AA$3),"-",IF(AND($B$4="Salary Points 2 to 57",B48&lt;=$AA$3),$C48*$AD$3,IF(AND(OR($B$4="New Consultant Contract"),$B48&lt;&gt;""),$C48*$AD$3,IF(AND(OR($B$4="Clinical Lecturer / Medical Research Fellow",$B$4="Clinical Consultant - Old Contract (GP)"),$B48&lt;&gt;""),$C48*$AD$3,IF(AND(OR($B$4="APM Level 7",$B$4="R&amp;T Level 7"),G48&lt;&gt;""),$C48*$AD$3,IF(SUMIF(Grades!$A:$A,$B$4,Grades!BQ:BQ)=1,$C48*$AD$3,"")))))))))</f>
        <v>-</v>
      </c>
      <c r="I48" s="27">
        <f ca="1">IF($B48="","",ROUND(($C48-(Thresholds_Rates!$C$5*12))*Thresholds_Rates!$C$10,0))</f>
        <v>5060</v>
      </c>
      <c r="J48" s="27" t="str">
        <f ca="1">IF(B48="","",IF(AND($B$4="Salary Points 2 to 57",B48&gt;$AA$3),"-",IF(SUMIF(Grades!$A:$A,$B$4,Grades!BR:BR)=0,"-",IF(AND($B$4="Salary Points 2 to 57",B48&lt;=$AA$3),$C48*$AD$4,IF(AND(OR($B$4="New Consultant Contract"),$B48&lt;&gt;""),$C48*$AD$4,IF(AND(OR($B$4="Clinical Lecturer / Medical Research Fellow",$B$4="Clinical Consultant - Old Contract (GP)"),$B48&lt;&gt;""),$C48*$AD$4,IF(AND(OR($B$4="APM Level 7",$B$4="R&amp;T Level 7"),I48&lt;&gt;""),$C48*$AD$4,IF(SUMIF(Grades!$A:$A,$B$4,Grades!BQ:BQ)=1,$C48*$AD$4,""))))))))</f>
        <v>-</v>
      </c>
      <c r="K48" s="6"/>
      <c r="L48" s="27">
        <f t="shared" ca="1" si="0"/>
        <v>55653.583999999995</v>
      </c>
      <c r="M48" s="27" t="str">
        <f t="shared" ca="1" si="1"/>
        <v>-</v>
      </c>
      <c r="N48" s="27" t="str">
        <f t="shared" ca="1" si="2"/>
        <v>-</v>
      </c>
      <c r="O48" s="27" t="str">
        <f t="shared" ca="1" si="3"/>
        <v>-</v>
      </c>
      <c r="P48" s="27">
        <f t="shared" ca="1" si="4"/>
        <v>49680</v>
      </c>
      <c r="R48" s="31" t="str">
        <f ca="1">IF(B48="","",IF($B$4="R&amp;T Level 5 - Clinical Lecturers (Vet School)",SUMIF(Points_Lookup!$M:$M,$B48,Points_Lookup!N:N),IF($B$4="R&amp;T Level 6 - Clinical Associate Professors and Clinical Readers (Vet School)",SUMIF(Points_Lookup!$T:$T,$B48,Points_Lookup!U:U),"")))</f>
        <v/>
      </c>
      <c r="S48" s="32" t="str">
        <f ca="1">IF(B48="","",IF($B$4="R&amp;T Level 5 - Clinical Lecturers (Vet School)",$C48-SUMIF(Points_Lookup!$M:$M,$B48,Points_Lookup!$O:$O),IF($B$4="R&amp;T Level 6 - Clinical Associate Professors and Clinical Readers (Vet School)",$C48-SUMIF(Points_Lookup!$T:$T,$B48,Points_Lookup!$V:$V),"")))</f>
        <v/>
      </c>
      <c r="T48" s="31" t="str">
        <f ca="1">IF(B48="","",IF($B$4="R&amp;T Level 5 - Clinical Lecturers (Vet School)",SUMIF(Points_Lookup!$M:$M,$B48,Points_Lookup!Q:Q),IF($B$4="R&amp;T Level 6 - Clinical Associate Professors and Clinical Readers (Vet School)",SUMIF(Points_Lookup!$T:$T,$B48,Points_Lookup!X:X),"")))</f>
        <v/>
      </c>
      <c r="U48" s="32" t="str">
        <f t="shared" ca="1" si="5"/>
        <v/>
      </c>
      <c r="Z48" s="28">
        <v>41</v>
      </c>
    </row>
    <row r="49" spans="2:26" x14ac:dyDescent="0.25">
      <c r="B49" s="6">
        <f ca="1">IFERROR(INDEX(Points_Lookup!A:A,MATCH($Z49,Points_Lookup!$AE:$AE,0)),"")</f>
        <v>43</v>
      </c>
      <c r="C49" s="27">
        <f ca="1">IF(B49="","",IF($B$4="Apprenticeship",SUMIF(Points_Lookup!AA:AA,B49,Points_Lookup!AC:AC),IF(AND(OR($B$4="New Consultant Contract"),$B49&lt;&gt;""),INDEX(Points_Lookup!K:K,MATCH($B49,Points_Lookup!$J:$J,0)),IF(AND(OR($B$4="Clinical Lecturer / Medical Research Fellow",$B$4="Clinical Consultant - Old Contract (GP)"),$B49&lt;&gt;""),INDEX(Points_Lookup!H:H,MATCH($B49,Points_Lookup!$G:$G,0)),IF(AND(OR($B$4="APM Level 7",$B$4="R&amp;T Level 7",$B$4="APM Level 8"),B49&lt;&gt;""),INDEX(Points_Lookup!E:E,MATCH($Z49,Points_Lookup!$AE:$AE,0)),IF($B$4="R&amp;T Level 5 - Clinical Lecturers (Vet School)",SUMIF(Points_Lookup!$M:$M,$B49,Points_Lookup!$P:$P),IF($B$4="R&amp;T Level 6 - Clinical Associate Professors and Clinical Readers (Vet School)",SUMIF(Points_Lookup!$T:$T,$B49,Points_Lookup!$W:$W),IFERROR(INDEX(Points_Lookup!B:B,MATCH($Z49,Points_Lookup!$AE:$AE,0)),""))))))))</f>
        <v>45954</v>
      </c>
      <c r="D49" s="45"/>
      <c r="E49" s="27">
        <f ca="1">IF($B49="","",IF($B$4="Apprenticeship","-",SUM(IF(SUM(C49/12)&lt;Thresholds_Rates!$C$7,(SUM(C49/12)-Thresholds_Rates!$C$5)*Thresholds_Rates!$C$9,(Thresholds_Rates!$C$7-Thresholds_Rates!$C$5)*Thresholds_Rates!$C$9),IF(SUM(C49/12)&gt;Thresholds_Rates!$C$7,((SUM(C49/12)-Thresholds_Rates!$C$7)*Thresholds_Rates!$C$10),0),SUM(Thresholds_Rates!$C$5-Thresholds_Rates!$C$4)*-Thresholds_Rates!$C$8)*12))</f>
        <v>4078.4760000000006</v>
      </c>
      <c r="F49" s="27">
        <f ca="1">IF($B49="","",IF(AND($B$4="Salary Points 2 to 57",B49&lt;$AA$2),"-",IF(SUMIF(Grades!$A:$A,$B$4,Grades!BO:BO)=0,"-",IF(AND($B$4="Salary Points 2 to 57",B49&gt;=$AA$2),$C49*$AD$1,IF(AND(OR($B$4="New Consultant Contract"),$B49&lt;&gt;""),$C49*$AD$1,IF(AND(OR($B$4="Clinical Lecturer / Medical Research Fellow",$B$4="Clinical Consultant - Old Contract (GP)"),$B49&lt;&gt;""),$C49*$AD$1,IF(AND(OR($B$4="APM Level 7",$B$4="R&amp;T Level 7"),E49&lt;&gt;""),$C49*$AD$1,IF(SUMIF(Grades!$A:$A,$B$4,Grades!BO:BO)=1,$C49*$AD$1,""))))))))</f>
        <v>7352.64</v>
      </c>
      <c r="G49" s="27" t="str">
        <f ca="1">IF(B49="","",IF($B$4="Salary Points 2 to 57","-",IF(SUMIF(Grades!$A:$A,$B$4,Grades!BP:BP)=0,"-",IF(AND(OR($B$4="New Consultant Contract"),$B49&lt;&gt;""),$C49*$AD$2,IF(AND(OR($B$4="Clinical Lecturer / Medical Research Fellow",$B$4="Clinical Consultant - Old Contract (GP)"),$B49&lt;&gt;""),$C49*$AD$2,IF(AND(OR($B$4="APM Level 7",$B$4="R&amp;T Level 7"),F49&lt;&gt;""),$C49*$AD$2,IF(SUMIF(Grades!$A:$A,$B$4,Grades!BP:BP)=1,$C49*$AD$2,"")))))))</f>
        <v>-</v>
      </c>
      <c r="H49" s="27" t="str">
        <f ca="1">IF($B$4="Apprenticeship","-",IF(B49="","",IF(SUMIF(Grades!$A:$A,$B$4,Grades!BQ:BQ)=0,"-",IF(AND($B$4="Salary Points 2 to 57",B49&gt;$AA$3),"-",IF(AND($B$4="Salary Points 2 to 57",B49&lt;=$AA$3),$C49*$AD$3,IF(AND(OR($B$4="New Consultant Contract"),$B49&lt;&gt;""),$C49*$AD$3,IF(AND(OR($B$4="Clinical Lecturer / Medical Research Fellow",$B$4="Clinical Consultant - Old Contract (GP)"),$B49&lt;&gt;""),$C49*$AD$3,IF(AND(OR($B$4="APM Level 7",$B$4="R&amp;T Level 7"),G49&lt;&gt;""),$C49*$AD$3,IF(SUMIF(Grades!$A:$A,$B$4,Grades!BQ:BQ)=1,$C49*$AD$3,"")))))))))</f>
        <v>-</v>
      </c>
      <c r="I49" s="27">
        <f ca="1">IF($B49="","",ROUND(($C49-(Thresholds_Rates!$C$5*12))*Thresholds_Rates!$C$10,0))</f>
        <v>5244</v>
      </c>
      <c r="J49" s="27" t="str">
        <f ca="1">IF(B49="","",IF(AND($B$4="Salary Points 2 to 57",B49&gt;$AA$3),"-",IF(SUMIF(Grades!$A:$A,$B$4,Grades!BR:BR)=0,"-",IF(AND($B$4="Salary Points 2 to 57",B49&lt;=$AA$3),$C49*$AD$4,IF(AND(OR($B$4="New Consultant Contract"),$B49&lt;&gt;""),$C49*$AD$4,IF(AND(OR($B$4="Clinical Lecturer / Medical Research Fellow",$B$4="Clinical Consultant - Old Contract (GP)"),$B49&lt;&gt;""),$C49*$AD$4,IF(AND(OR($B$4="APM Level 7",$B$4="R&amp;T Level 7"),I49&lt;&gt;""),$C49*$AD$4,IF(SUMIF(Grades!$A:$A,$B$4,Grades!BQ:BQ)=1,$C49*$AD$4,""))))))))</f>
        <v>-</v>
      </c>
      <c r="K49" s="6"/>
      <c r="L49" s="27">
        <f t="shared" ca="1" si="0"/>
        <v>57385.116000000002</v>
      </c>
      <c r="M49" s="27" t="str">
        <f t="shared" ca="1" si="1"/>
        <v>-</v>
      </c>
      <c r="N49" s="27" t="str">
        <f t="shared" ca="1" si="2"/>
        <v>-</v>
      </c>
      <c r="O49" s="27" t="str">
        <f t="shared" ca="1" si="3"/>
        <v>-</v>
      </c>
      <c r="P49" s="27">
        <f t="shared" ca="1" si="4"/>
        <v>51198</v>
      </c>
      <c r="R49" s="31" t="str">
        <f ca="1">IF(B49="","",IF($B$4="R&amp;T Level 5 - Clinical Lecturers (Vet School)",SUMIF(Points_Lookup!$M:$M,$B49,Points_Lookup!N:N),IF($B$4="R&amp;T Level 6 - Clinical Associate Professors and Clinical Readers (Vet School)",SUMIF(Points_Lookup!$T:$T,$B49,Points_Lookup!U:U),"")))</f>
        <v/>
      </c>
      <c r="S49" s="32" t="str">
        <f ca="1">IF(B49="","",IF($B$4="R&amp;T Level 5 - Clinical Lecturers (Vet School)",$C49-SUMIF(Points_Lookup!$M:$M,$B49,Points_Lookup!$O:$O),IF($B$4="R&amp;T Level 6 - Clinical Associate Professors and Clinical Readers (Vet School)",$C49-SUMIF(Points_Lookup!$T:$T,$B49,Points_Lookup!$V:$V),"")))</f>
        <v/>
      </c>
      <c r="T49" s="31" t="str">
        <f ca="1">IF(B49="","",IF($B$4="R&amp;T Level 5 - Clinical Lecturers (Vet School)",SUMIF(Points_Lookup!$M:$M,$B49,Points_Lookup!Q:Q),IF($B$4="R&amp;T Level 6 - Clinical Associate Professors and Clinical Readers (Vet School)",SUMIF(Points_Lookup!$T:$T,$B49,Points_Lookup!X:X),"")))</f>
        <v/>
      </c>
      <c r="U49" s="32" t="str">
        <f t="shared" ca="1" si="5"/>
        <v/>
      </c>
      <c r="Z49" s="28">
        <v>42</v>
      </c>
    </row>
    <row r="50" spans="2:26" x14ac:dyDescent="0.25">
      <c r="B50" s="6">
        <f ca="1">IFERROR(INDEX(Points_Lookup!A:A,MATCH($Z50,Points_Lookup!$AE:$AE,0)),"")</f>
        <v>44</v>
      </c>
      <c r="C50" s="27">
        <f ca="1">IF(B50="","",IF($B$4="Apprenticeship",SUMIF(Points_Lookup!AA:AA,B50,Points_Lookup!AC:AC),IF(AND(OR($B$4="New Consultant Contract"),$B50&lt;&gt;""),INDEX(Points_Lookup!K:K,MATCH($B50,Points_Lookup!$J:$J,0)),IF(AND(OR($B$4="Clinical Lecturer / Medical Research Fellow",$B$4="Clinical Consultant - Old Contract (GP)"),$B50&lt;&gt;""),INDEX(Points_Lookup!H:H,MATCH($B50,Points_Lookup!$G:$G,0)),IF(AND(OR($B$4="APM Level 7",$B$4="R&amp;T Level 7",$B$4="APM Level 8"),B50&lt;&gt;""),INDEX(Points_Lookup!E:E,MATCH($Z50,Points_Lookup!$AE:$AE,0)),IF($B$4="R&amp;T Level 5 - Clinical Lecturers (Vet School)",SUMIF(Points_Lookup!$M:$M,$B50,Points_Lookup!$P:$P),IF($B$4="R&amp;T Level 6 - Clinical Associate Professors and Clinical Readers (Vet School)",SUMIF(Points_Lookup!$T:$T,$B50,Points_Lookup!$W:$W),IFERROR(INDEX(Points_Lookup!B:B,MATCH($Z50,Points_Lookup!$AE:$AE,0)),""))))))))</f>
        <v>47328</v>
      </c>
      <c r="D50" s="45"/>
      <c r="E50" s="27">
        <f ca="1">IF($B50="","",IF($B$4="Apprenticeship","-",SUM(IF(SUM(C50/12)&lt;Thresholds_Rates!$C$7,(SUM(C50/12)-Thresholds_Rates!$C$5)*Thresholds_Rates!$C$9,(Thresholds_Rates!$C$7-Thresholds_Rates!$C$5)*Thresholds_Rates!$C$9),IF(SUM(C50/12)&gt;Thresholds_Rates!$C$7,((SUM(C50/12)-Thresholds_Rates!$C$7)*Thresholds_Rates!$C$10),0),SUM(Thresholds_Rates!$C$5-Thresholds_Rates!$C$4)*-Thresholds_Rates!$C$8)*12))</f>
        <v>4268.0880000000006</v>
      </c>
      <c r="F50" s="27">
        <f ca="1">IF($B50="","",IF(AND($B$4="Salary Points 2 to 57",B50&lt;$AA$2),"-",IF(SUMIF(Grades!$A:$A,$B$4,Grades!BO:BO)=0,"-",IF(AND($B$4="Salary Points 2 to 57",B50&gt;=$AA$2),$C50*$AD$1,IF(AND(OR($B$4="New Consultant Contract"),$B50&lt;&gt;""),$C50*$AD$1,IF(AND(OR($B$4="Clinical Lecturer / Medical Research Fellow",$B$4="Clinical Consultant - Old Contract (GP)"),$B50&lt;&gt;""),$C50*$AD$1,IF(AND(OR($B$4="APM Level 7",$B$4="R&amp;T Level 7"),E50&lt;&gt;""),$C50*$AD$1,IF(SUMIF(Grades!$A:$A,$B$4,Grades!BO:BO)=1,$C50*$AD$1,""))))))))</f>
        <v>7572.4800000000005</v>
      </c>
      <c r="G50" s="27" t="str">
        <f ca="1">IF(B50="","",IF($B$4="Salary Points 2 to 57","-",IF(SUMIF(Grades!$A:$A,$B$4,Grades!BP:BP)=0,"-",IF(AND(OR($B$4="New Consultant Contract"),$B50&lt;&gt;""),$C50*$AD$2,IF(AND(OR($B$4="Clinical Lecturer / Medical Research Fellow",$B$4="Clinical Consultant - Old Contract (GP)"),$B50&lt;&gt;""),$C50*$AD$2,IF(AND(OR($B$4="APM Level 7",$B$4="R&amp;T Level 7"),F50&lt;&gt;""),$C50*$AD$2,IF(SUMIF(Grades!$A:$A,$B$4,Grades!BP:BP)=1,$C50*$AD$2,"")))))))</f>
        <v>-</v>
      </c>
      <c r="H50" s="27" t="str">
        <f ca="1">IF($B$4="Apprenticeship","-",IF(B50="","",IF(SUMIF(Grades!$A:$A,$B$4,Grades!BQ:BQ)=0,"-",IF(AND($B$4="Salary Points 2 to 57",B50&gt;$AA$3),"-",IF(AND($B$4="Salary Points 2 to 57",B50&lt;=$AA$3),$C50*$AD$3,IF(AND(OR($B$4="New Consultant Contract"),$B50&lt;&gt;""),$C50*$AD$3,IF(AND(OR($B$4="Clinical Lecturer / Medical Research Fellow",$B$4="Clinical Consultant - Old Contract (GP)"),$B50&lt;&gt;""),$C50*$AD$3,IF(AND(OR($B$4="APM Level 7",$B$4="R&amp;T Level 7"),G50&lt;&gt;""),$C50*$AD$3,IF(SUMIF(Grades!$A:$A,$B$4,Grades!BQ:BQ)=1,$C50*$AD$3,"")))))))))</f>
        <v>-</v>
      </c>
      <c r="I50" s="27">
        <f ca="1">IF($B50="","",ROUND(($C50-(Thresholds_Rates!$C$5*12))*Thresholds_Rates!$C$10,0))</f>
        <v>5433</v>
      </c>
      <c r="J50" s="27" t="str">
        <f ca="1">IF(B50="","",IF(AND($B$4="Salary Points 2 to 57",B50&gt;$AA$3),"-",IF(SUMIF(Grades!$A:$A,$B$4,Grades!BR:BR)=0,"-",IF(AND($B$4="Salary Points 2 to 57",B50&lt;=$AA$3),$C50*$AD$4,IF(AND(OR($B$4="New Consultant Contract"),$B50&lt;&gt;""),$C50*$AD$4,IF(AND(OR($B$4="Clinical Lecturer / Medical Research Fellow",$B$4="Clinical Consultant - Old Contract (GP)"),$B50&lt;&gt;""),$C50*$AD$4,IF(AND(OR($B$4="APM Level 7",$B$4="R&amp;T Level 7"),I50&lt;&gt;""),$C50*$AD$4,IF(SUMIF(Grades!$A:$A,$B$4,Grades!BQ:BQ)=1,$C50*$AD$4,""))))))))</f>
        <v>-</v>
      </c>
      <c r="K50" s="6"/>
      <c r="L50" s="27">
        <f t="shared" ca="1" si="0"/>
        <v>59168.568000000007</v>
      </c>
      <c r="M50" s="27" t="str">
        <f t="shared" ca="1" si="1"/>
        <v>-</v>
      </c>
      <c r="N50" s="27" t="str">
        <f t="shared" ca="1" si="2"/>
        <v>-</v>
      </c>
      <c r="O50" s="27" t="str">
        <f t="shared" ca="1" si="3"/>
        <v>-</v>
      </c>
      <c r="P50" s="27">
        <f t="shared" ca="1" si="4"/>
        <v>52761</v>
      </c>
      <c r="R50" s="31" t="str">
        <f ca="1">IF(B50="","",IF($B$4="R&amp;T Level 5 - Clinical Lecturers (Vet School)",SUMIF(Points_Lookup!$M:$M,$B50,Points_Lookup!N:N),IF($B$4="R&amp;T Level 6 - Clinical Associate Professors and Clinical Readers (Vet School)",SUMIF(Points_Lookup!$T:$T,$B50,Points_Lookup!U:U),"")))</f>
        <v/>
      </c>
      <c r="S50" s="32" t="str">
        <f ca="1">IF(B50="","",IF($B$4="R&amp;T Level 5 - Clinical Lecturers (Vet School)",$C50-SUMIF(Points_Lookup!$M:$M,$B50,Points_Lookup!$O:$O),IF($B$4="R&amp;T Level 6 - Clinical Associate Professors and Clinical Readers (Vet School)",$C50-SUMIF(Points_Lookup!$T:$T,$B50,Points_Lookup!$V:$V),"")))</f>
        <v/>
      </c>
      <c r="T50" s="31" t="str">
        <f ca="1">IF(B50="","",IF($B$4="R&amp;T Level 5 - Clinical Lecturers (Vet School)",SUMIF(Points_Lookup!$M:$M,$B50,Points_Lookup!Q:Q),IF($B$4="R&amp;T Level 6 - Clinical Associate Professors and Clinical Readers (Vet School)",SUMIF(Points_Lookup!$T:$T,$B50,Points_Lookup!X:X),"")))</f>
        <v/>
      </c>
      <c r="U50" s="32" t="str">
        <f t="shared" ca="1" si="5"/>
        <v/>
      </c>
      <c r="Z50" s="28">
        <v>43</v>
      </c>
    </row>
    <row r="51" spans="2:26" x14ac:dyDescent="0.25">
      <c r="B51" s="6">
        <f ca="1">IFERROR(INDEX(Points_Lookup!A:A,MATCH($Z51,Points_Lookup!$AE:$AE,0)),"")</f>
        <v>45</v>
      </c>
      <c r="C51" s="27">
        <f ca="1">IF(B51="","",IF($B$4="Apprenticeship",SUMIF(Points_Lookup!AA:AA,B51,Points_Lookup!AC:AC),IF(AND(OR($B$4="New Consultant Contract"),$B51&lt;&gt;""),INDEX(Points_Lookup!K:K,MATCH($B51,Points_Lookup!$J:$J,0)),IF(AND(OR($B$4="Clinical Lecturer / Medical Research Fellow",$B$4="Clinical Consultant - Old Contract (GP)"),$B51&lt;&gt;""),INDEX(Points_Lookup!H:H,MATCH($B51,Points_Lookup!$G:$G,0)),IF(AND(OR($B$4="APM Level 7",$B$4="R&amp;T Level 7",$B$4="APM Level 8"),B51&lt;&gt;""),INDEX(Points_Lookup!E:E,MATCH($Z51,Points_Lookup!$AE:$AE,0)),IF($B$4="R&amp;T Level 5 - Clinical Lecturers (Vet School)",SUMIF(Points_Lookup!$M:$M,$B51,Points_Lookup!$P:$P),IF($B$4="R&amp;T Level 6 - Clinical Associate Professors and Clinical Readers (Vet School)",SUMIF(Points_Lookup!$T:$T,$B51,Points_Lookup!$W:$W),IFERROR(INDEX(Points_Lookup!B:B,MATCH($Z51,Points_Lookup!$AE:$AE,0)),""))))))))</f>
        <v>48743</v>
      </c>
      <c r="D51" s="45"/>
      <c r="E51" s="27">
        <f ca="1">IF($B51="","",IF($B$4="Apprenticeship","-",SUM(IF(SUM(C51/12)&lt;Thresholds_Rates!$C$7,(SUM(C51/12)-Thresholds_Rates!$C$5)*Thresholds_Rates!$C$9,(Thresholds_Rates!$C$7-Thresholds_Rates!$C$5)*Thresholds_Rates!$C$9),IF(SUM(C51/12)&gt;Thresholds_Rates!$C$7,((SUM(C51/12)-Thresholds_Rates!$C$7)*Thresholds_Rates!$C$10),0),SUM(Thresholds_Rates!$C$5-Thresholds_Rates!$C$4)*-Thresholds_Rates!$C$8)*12))</f>
        <v>4463.3580000000002</v>
      </c>
      <c r="F51" s="27">
        <f ca="1">IF($B51="","",IF(AND($B$4="Salary Points 2 to 57",B51&lt;$AA$2),"-",IF(SUMIF(Grades!$A:$A,$B$4,Grades!BO:BO)=0,"-",IF(AND($B$4="Salary Points 2 to 57",B51&gt;=$AA$2),$C51*$AD$1,IF(AND(OR($B$4="New Consultant Contract"),$B51&lt;&gt;""),$C51*$AD$1,IF(AND(OR($B$4="Clinical Lecturer / Medical Research Fellow",$B$4="Clinical Consultant - Old Contract (GP)"),$B51&lt;&gt;""),$C51*$AD$1,IF(AND(OR($B$4="APM Level 7",$B$4="R&amp;T Level 7"),E51&lt;&gt;""),$C51*$AD$1,IF(SUMIF(Grades!$A:$A,$B$4,Grades!BO:BO)=1,$C51*$AD$1,""))))))))</f>
        <v>7798.88</v>
      </c>
      <c r="G51" s="27" t="str">
        <f ca="1">IF(B51="","",IF($B$4="Salary Points 2 to 57","-",IF(SUMIF(Grades!$A:$A,$B$4,Grades!BP:BP)=0,"-",IF(AND(OR($B$4="New Consultant Contract"),$B51&lt;&gt;""),$C51*$AD$2,IF(AND(OR($B$4="Clinical Lecturer / Medical Research Fellow",$B$4="Clinical Consultant - Old Contract (GP)"),$B51&lt;&gt;""),$C51*$AD$2,IF(AND(OR($B$4="APM Level 7",$B$4="R&amp;T Level 7"),F51&lt;&gt;""),$C51*$AD$2,IF(SUMIF(Grades!$A:$A,$B$4,Grades!BP:BP)=1,$C51*$AD$2,"")))))))</f>
        <v>-</v>
      </c>
      <c r="H51" s="27" t="str">
        <f ca="1">IF($B$4="Apprenticeship","-",IF(B51="","",IF(SUMIF(Grades!$A:$A,$B$4,Grades!BQ:BQ)=0,"-",IF(AND($B$4="Salary Points 2 to 57",B51&gt;$AA$3),"-",IF(AND($B$4="Salary Points 2 to 57",B51&lt;=$AA$3),$C51*$AD$3,IF(AND(OR($B$4="New Consultant Contract"),$B51&lt;&gt;""),$C51*$AD$3,IF(AND(OR($B$4="Clinical Lecturer / Medical Research Fellow",$B$4="Clinical Consultant - Old Contract (GP)"),$B51&lt;&gt;""),$C51*$AD$3,IF(AND(OR($B$4="APM Level 7",$B$4="R&amp;T Level 7"),G51&lt;&gt;""),$C51*$AD$3,IF(SUMIF(Grades!$A:$A,$B$4,Grades!BQ:BQ)=1,$C51*$AD$3,"")))))))))</f>
        <v>-</v>
      </c>
      <c r="I51" s="27">
        <f ca="1">IF($B51="","",ROUND(($C51-(Thresholds_Rates!$C$5*12))*Thresholds_Rates!$C$10,0))</f>
        <v>5629</v>
      </c>
      <c r="J51" s="27" t="str">
        <f ca="1">IF(B51="","",IF(AND($B$4="Salary Points 2 to 57",B51&gt;$AA$3),"-",IF(SUMIF(Grades!$A:$A,$B$4,Grades!BR:BR)=0,"-",IF(AND($B$4="Salary Points 2 to 57",B51&lt;=$AA$3),$C51*$AD$4,IF(AND(OR($B$4="New Consultant Contract"),$B51&lt;&gt;""),$C51*$AD$4,IF(AND(OR($B$4="Clinical Lecturer / Medical Research Fellow",$B$4="Clinical Consultant - Old Contract (GP)"),$B51&lt;&gt;""),$C51*$AD$4,IF(AND(OR($B$4="APM Level 7",$B$4="R&amp;T Level 7"),I51&lt;&gt;""),$C51*$AD$4,IF(SUMIF(Grades!$A:$A,$B$4,Grades!BQ:BQ)=1,$C51*$AD$4,""))))))))</f>
        <v>-</v>
      </c>
      <c r="K51" s="6"/>
      <c r="L51" s="27">
        <f t="shared" ca="1" si="0"/>
        <v>61005.237999999998</v>
      </c>
      <c r="M51" s="27" t="str">
        <f t="shared" ca="1" si="1"/>
        <v>-</v>
      </c>
      <c r="N51" s="27" t="str">
        <f t="shared" ca="1" si="2"/>
        <v>-</v>
      </c>
      <c r="O51" s="27" t="str">
        <f t="shared" ca="1" si="3"/>
        <v>-</v>
      </c>
      <c r="P51" s="27">
        <f t="shared" ca="1" si="4"/>
        <v>54372</v>
      </c>
      <c r="R51" s="31" t="str">
        <f ca="1">IF(B51="","",IF($B$4="R&amp;T Level 5 - Clinical Lecturers (Vet School)",SUMIF(Points_Lookup!$M:$M,$B51,Points_Lookup!N:N),IF($B$4="R&amp;T Level 6 - Clinical Associate Professors and Clinical Readers (Vet School)",SUMIF(Points_Lookup!$T:$T,$B51,Points_Lookup!U:U),"")))</f>
        <v/>
      </c>
      <c r="S51" s="32" t="str">
        <f ca="1">IF(B51="","",IF($B$4="R&amp;T Level 5 - Clinical Lecturers (Vet School)",$C51-SUMIF(Points_Lookup!$M:$M,$B51,Points_Lookup!$O:$O),IF($B$4="R&amp;T Level 6 - Clinical Associate Professors and Clinical Readers (Vet School)",$C51-SUMIF(Points_Lookup!$T:$T,$B51,Points_Lookup!$V:$V),"")))</f>
        <v/>
      </c>
      <c r="T51" s="31" t="str">
        <f ca="1">IF(B51="","",IF($B$4="R&amp;T Level 5 - Clinical Lecturers (Vet School)",SUMIF(Points_Lookup!$M:$M,$B51,Points_Lookup!Q:Q),IF($B$4="R&amp;T Level 6 - Clinical Associate Professors and Clinical Readers (Vet School)",SUMIF(Points_Lookup!$T:$T,$B51,Points_Lookup!X:X),"")))</f>
        <v/>
      </c>
      <c r="U51" s="32" t="str">
        <f t="shared" ca="1" si="5"/>
        <v/>
      </c>
      <c r="Z51" s="28">
        <v>44</v>
      </c>
    </row>
    <row r="52" spans="2:26" x14ac:dyDescent="0.25">
      <c r="B52" s="6">
        <f ca="1">IFERROR(INDEX(Points_Lookup!A:A,MATCH($Z52,Points_Lookup!$AE:$AE,0)),"")</f>
        <v>46</v>
      </c>
      <c r="C52" s="27">
        <f ca="1">IF(B52="","",IF($B$4="Apprenticeship",SUMIF(Points_Lookup!AA:AA,B52,Points_Lookup!AC:AC),IF(AND(OR($B$4="New Consultant Contract"),$B52&lt;&gt;""),INDEX(Points_Lookup!K:K,MATCH($B52,Points_Lookup!$J:$J,0)),IF(AND(OR($B$4="Clinical Lecturer / Medical Research Fellow",$B$4="Clinical Consultant - Old Contract (GP)"),$B52&lt;&gt;""),INDEX(Points_Lookup!H:H,MATCH($B52,Points_Lookup!$G:$G,0)),IF(AND(OR($B$4="APM Level 7",$B$4="R&amp;T Level 7",$B$4="APM Level 8"),B52&lt;&gt;""),INDEX(Points_Lookup!E:E,MATCH($Z52,Points_Lookup!$AE:$AE,0)),IF($B$4="R&amp;T Level 5 - Clinical Lecturers (Vet School)",SUMIF(Points_Lookup!$M:$M,$B52,Points_Lookup!$P:$P),IF($B$4="R&amp;T Level 6 - Clinical Associate Professors and Clinical Readers (Vet School)",SUMIF(Points_Lookup!$T:$T,$B52,Points_Lookup!$W:$W),IFERROR(INDEX(Points_Lookup!B:B,MATCH($Z52,Points_Lookup!$AE:$AE,0)),""))))))))</f>
        <v>50200</v>
      </c>
      <c r="D52" s="45"/>
      <c r="E52" s="27">
        <f ca="1">IF($B52="","",IF($B$4="Apprenticeship","-",SUM(IF(SUM(C52/12)&lt;Thresholds_Rates!$C$7,(SUM(C52/12)-Thresholds_Rates!$C$5)*Thresholds_Rates!$C$9,(Thresholds_Rates!$C$7-Thresholds_Rates!$C$5)*Thresholds_Rates!$C$9),IF(SUM(C52/12)&gt;Thresholds_Rates!$C$7,((SUM(C52/12)-Thresholds_Rates!$C$7)*Thresholds_Rates!$C$10),0),SUM(Thresholds_Rates!$C$5-Thresholds_Rates!$C$4)*-Thresholds_Rates!$C$8)*12))</f>
        <v>4664.424</v>
      </c>
      <c r="F52" s="27">
        <f ca="1">IF($B52="","",IF(AND($B$4="Salary Points 2 to 57",B52&lt;$AA$2),"-",IF(SUMIF(Grades!$A:$A,$B$4,Grades!BO:BO)=0,"-",IF(AND($B$4="Salary Points 2 to 57",B52&gt;=$AA$2),$C52*$AD$1,IF(AND(OR($B$4="New Consultant Contract"),$B52&lt;&gt;""),$C52*$AD$1,IF(AND(OR($B$4="Clinical Lecturer / Medical Research Fellow",$B$4="Clinical Consultant - Old Contract (GP)"),$B52&lt;&gt;""),$C52*$AD$1,IF(AND(OR($B$4="APM Level 7",$B$4="R&amp;T Level 7"),E52&lt;&gt;""),$C52*$AD$1,IF(SUMIF(Grades!$A:$A,$B$4,Grades!BO:BO)=1,$C52*$AD$1,""))))))))</f>
        <v>8032</v>
      </c>
      <c r="G52" s="27" t="str">
        <f ca="1">IF(B52="","",IF($B$4="Salary Points 2 to 57","-",IF(SUMIF(Grades!$A:$A,$B$4,Grades!BP:BP)=0,"-",IF(AND(OR($B$4="New Consultant Contract"),$B52&lt;&gt;""),$C52*$AD$2,IF(AND(OR($B$4="Clinical Lecturer / Medical Research Fellow",$B$4="Clinical Consultant - Old Contract (GP)"),$B52&lt;&gt;""),$C52*$AD$2,IF(AND(OR($B$4="APM Level 7",$B$4="R&amp;T Level 7"),F52&lt;&gt;""),$C52*$AD$2,IF(SUMIF(Grades!$A:$A,$B$4,Grades!BP:BP)=1,$C52*$AD$2,"")))))))</f>
        <v>-</v>
      </c>
      <c r="H52" s="27" t="str">
        <f ca="1">IF($B$4="Apprenticeship","-",IF(B52="","",IF(SUMIF(Grades!$A:$A,$B$4,Grades!BQ:BQ)=0,"-",IF(AND($B$4="Salary Points 2 to 57",B52&gt;$AA$3),"-",IF(AND($B$4="Salary Points 2 to 57",B52&lt;=$AA$3),$C52*$AD$3,IF(AND(OR($B$4="New Consultant Contract"),$B52&lt;&gt;""),$C52*$AD$3,IF(AND(OR($B$4="Clinical Lecturer / Medical Research Fellow",$B$4="Clinical Consultant - Old Contract (GP)"),$B52&lt;&gt;""),$C52*$AD$3,IF(AND(OR($B$4="APM Level 7",$B$4="R&amp;T Level 7"),G52&lt;&gt;""),$C52*$AD$3,IF(SUMIF(Grades!$A:$A,$B$4,Grades!BQ:BQ)=1,$C52*$AD$3,"")))))))))</f>
        <v>-</v>
      </c>
      <c r="I52" s="27">
        <f ca="1">IF($B52="","",ROUND(($C52-(Thresholds_Rates!$C$5*12))*Thresholds_Rates!$C$10,0))</f>
        <v>5830</v>
      </c>
      <c r="J52" s="27" t="str">
        <f ca="1">IF(B52="","",IF(AND($B$4="Salary Points 2 to 57",B52&gt;$AA$3),"-",IF(SUMIF(Grades!$A:$A,$B$4,Grades!BR:BR)=0,"-",IF(AND($B$4="Salary Points 2 to 57",B52&lt;=$AA$3),$C52*$AD$4,IF(AND(OR($B$4="New Consultant Contract"),$B52&lt;&gt;""),$C52*$AD$4,IF(AND(OR($B$4="Clinical Lecturer / Medical Research Fellow",$B$4="Clinical Consultant - Old Contract (GP)"),$B52&lt;&gt;""),$C52*$AD$4,IF(AND(OR($B$4="APM Level 7",$B$4="R&amp;T Level 7"),I52&lt;&gt;""),$C52*$AD$4,IF(SUMIF(Grades!$A:$A,$B$4,Grades!BQ:BQ)=1,$C52*$AD$4,""))))))))</f>
        <v>-</v>
      </c>
      <c r="K52" s="6"/>
      <c r="L52" s="27">
        <f t="shared" ca="1" si="0"/>
        <v>62896.423999999999</v>
      </c>
      <c r="M52" s="27" t="str">
        <f t="shared" ca="1" si="1"/>
        <v>-</v>
      </c>
      <c r="N52" s="27" t="str">
        <f t="shared" ca="1" si="2"/>
        <v>-</v>
      </c>
      <c r="O52" s="27" t="str">
        <f t="shared" ca="1" si="3"/>
        <v>-</v>
      </c>
      <c r="P52" s="27">
        <f t="shared" ca="1" si="4"/>
        <v>56030</v>
      </c>
      <c r="R52" s="31" t="str">
        <f ca="1">IF(B52="","",IF($B$4="R&amp;T Level 5 - Clinical Lecturers (Vet School)",SUMIF(Points_Lookup!$M:$M,$B52,Points_Lookup!N:N),IF($B$4="R&amp;T Level 6 - Clinical Associate Professors and Clinical Readers (Vet School)",SUMIF(Points_Lookup!$T:$T,$B52,Points_Lookup!U:U),"")))</f>
        <v/>
      </c>
      <c r="S52" s="32" t="str">
        <f ca="1">IF(B52="","",IF($B$4="R&amp;T Level 5 - Clinical Lecturers (Vet School)",$C52-SUMIF(Points_Lookup!$M:$M,$B52,Points_Lookup!$O:$O),IF($B$4="R&amp;T Level 6 - Clinical Associate Professors and Clinical Readers (Vet School)",$C52-SUMIF(Points_Lookup!$T:$T,$B52,Points_Lookup!$V:$V),"")))</f>
        <v/>
      </c>
      <c r="T52" s="31" t="str">
        <f ca="1">IF(B52="","",IF($B$4="R&amp;T Level 5 - Clinical Lecturers (Vet School)",SUMIF(Points_Lookup!$M:$M,$B52,Points_Lookup!Q:Q),IF($B$4="R&amp;T Level 6 - Clinical Associate Professors and Clinical Readers (Vet School)",SUMIF(Points_Lookup!$T:$T,$B52,Points_Lookup!X:X),"")))</f>
        <v/>
      </c>
      <c r="U52" s="32" t="str">
        <f t="shared" ca="1" si="5"/>
        <v/>
      </c>
      <c r="Z52" s="28">
        <v>45</v>
      </c>
    </row>
    <row r="53" spans="2:26" x14ac:dyDescent="0.25">
      <c r="B53" s="6">
        <f ca="1">IFERROR(INDEX(Points_Lookup!A:A,MATCH($Z53,Points_Lookup!$AE:$AE,0)),"")</f>
        <v>47</v>
      </c>
      <c r="C53" s="27">
        <f ca="1">IF(B53="","",IF($B$4="Apprenticeship",SUMIF(Points_Lookup!AA:AA,B53,Points_Lookup!AC:AC),IF(AND(OR($B$4="New Consultant Contract"),$B53&lt;&gt;""),INDEX(Points_Lookup!K:K,MATCH($B53,Points_Lookup!$J:$J,0)),IF(AND(OR($B$4="Clinical Lecturer / Medical Research Fellow",$B$4="Clinical Consultant - Old Contract (GP)"),$B53&lt;&gt;""),INDEX(Points_Lookup!H:H,MATCH($B53,Points_Lookup!$G:$G,0)),IF(AND(OR($B$4="APM Level 7",$B$4="R&amp;T Level 7",$B$4="APM Level 8"),B53&lt;&gt;""),INDEX(Points_Lookup!E:E,MATCH($Z53,Points_Lookup!$AE:$AE,0)),IF($B$4="R&amp;T Level 5 - Clinical Lecturers (Vet School)",SUMIF(Points_Lookup!$M:$M,$B53,Points_Lookup!$P:$P),IF($B$4="R&amp;T Level 6 - Clinical Associate Professors and Clinical Readers (Vet School)",SUMIF(Points_Lookup!$T:$T,$B53,Points_Lookup!$W:$W),IFERROR(INDEX(Points_Lookup!B:B,MATCH($Z53,Points_Lookup!$AE:$AE,0)),""))))))))</f>
        <v>51702</v>
      </c>
      <c r="D53" s="45"/>
      <c r="E53" s="27">
        <f ca="1">IF($B53="","",IF($B$4="Apprenticeship","-",SUM(IF(SUM(C53/12)&lt;Thresholds_Rates!$C$7,(SUM(C53/12)-Thresholds_Rates!$C$5)*Thresholds_Rates!$C$9,(Thresholds_Rates!$C$7-Thresholds_Rates!$C$5)*Thresholds_Rates!$C$9),IF(SUM(C53/12)&gt;Thresholds_Rates!$C$7,((SUM(C53/12)-Thresholds_Rates!$C$7)*Thresholds_Rates!$C$10),0),SUM(Thresholds_Rates!$C$5-Thresholds_Rates!$C$4)*-Thresholds_Rates!$C$8)*12))</f>
        <v>4871.7000000000007</v>
      </c>
      <c r="F53" s="27">
        <f ca="1">IF($B53="","",IF(AND($B$4="Salary Points 2 to 57",B53&lt;$AA$2),"-",IF(SUMIF(Grades!$A:$A,$B$4,Grades!BO:BO)=0,"-",IF(AND($B$4="Salary Points 2 to 57",B53&gt;=$AA$2),$C53*$AD$1,IF(AND(OR($B$4="New Consultant Contract"),$B53&lt;&gt;""),$C53*$AD$1,IF(AND(OR($B$4="Clinical Lecturer / Medical Research Fellow",$B$4="Clinical Consultant - Old Contract (GP)"),$B53&lt;&gt;""),$C53*$AD$1,IF(AND(OR($B$4="APM Level 7",$B$4="R&amp;T Level 7"),E53&lt;&gt;""),$C53*$AD$1,IF(SUMIF(Grades!$A:$A,$B$4,Grades!BO:BO)=1,$C53*$AD$1,""))))))))</f>
        <v>8272.32</v>
      </c>
      <c r="G53" s="27" t="str">
        <f ca="1">IF(B53="","",IF($B$4="Salary Points 2 to 57","-",IF(SUMIF(Grades!$A:$A,$B$4,Grades!BP:BP)=0,"-",IF(AND(OR($B$4="New Consultant Contract"),$B53&lt;&gt;""),$C53*$AD$2,IF(AND(OR($B$4="Clinical Lecturer / Medical Research Fellow",$B$4="Clinical Consultant - Old Contract (GP)"),$B53&lt;&gt;""),$C53*$AD$2,IF(AND(OR($B$4="APM Level 7",$B$4="R&amp;T Level 7"),F53&lt;&gt;""),$C53*$AD$2,IF(SUMIF(Grades!$A:$A,$B$4,Grades!BP:BP)=1,$C53*$AD$2,"")))))))</f>
        <v>-</v>
      </c>
      <c r="H53" s="27" t="str">
        <f ca="1">IF($B$4="Apprenticeship","-",IF(B53="","",IF(SUMIF(Grades!$A:$A,$B$4,Grades!BQ:BQ)=0,"-",IF(AND($B$4="Salary Points 2 to 57",B53&gt;$AA$3),"-",IF(AND($B$4="Salary Points 2 to 57",B53&lt;=$AA$3),$C53*$AD$3,IF(AND(OR($B$4="New Consultant Contract"),$B53&lt;&gt;""),$C53*$AD$3,IF(AND(OR($B$4="Clinical Lecturer / Medical Research Fellow",$B$4="Clinical Consultant - Old Contract (GP)"),$B53&lt;&gt;""),$C53*$AD$3,IF(AND(OR($B$4="APM Level 7",$B$4="R&amp;T Level 7"),G53&lt;&gt;""),$C53*$AD$3,IF(SUMIF(Grades!$A:$A,$B$4,Grades!BQ:BQ)=1,$C53*$AD$3,"")))))))))</f>
        <v>-</v>
      </c>
      <c r="I53" s="27">
        <f ca="1">IF($B53="","",ROUND(($C53-(Thresholds_Rates!$C$5*12))*Thresholds_Rates!$C$10,0))</f>
        <v>6037</v>
      </c>
      <c r="J53" s="27" t="str">
        <f ca="1">IF(B53="","",IF(AND($B$4="Salary Points 2 to 57",B53&gt;$AA$3),"-",IF(SUMIF(Grades!$A:$A,$B$4,Grades!BR:BR)=0,"-",IF(AND($B$4="Salary Points 2 to 57",B53&lt;=$AA$3),$C53*$AD$4,IF(AND(OR($B$4="New Consultant Contract"),$B53&lt;&gt;""),$C53*$AD$4,IF(AND(OR($B$4="Clinical Lecturer / Medical Research Fellow",$B$4="Clinical Consultant - Old Contract (GP)"),$B53&lt;&gt;""),$C53*$AD$4,IF(AND(OR($B$4="APM Level 7",$B$4="R&amp;T Level 7"),I53&lt;&gt;""),$C53*$AD$4,IF(SUMIF(Grades!$A:$A,$B$4,Grades!BQ:BQ)=1,$C53*$AD$4,""))))))))</f>
        <v>-</v>
      </c>
      <c r="K53" s="6"/>
      <c r="L53" s="27">
        <f t="shared" ca="1" si="0"/>
        <v>64846.02</v>
      </c>
      <c r="M53" s="27" t="str">
        <f t="shared" ca="1" si="1"/>
        <v>-</v>
      </c>
      <c r="N53" s="27" t="str">
        <f t="shared" ca="1" si="2"/>
        <v>-</v>
      </c>
      <c r="O53" s="27" t="str">
        <f t="shared" ca="1" si="3"/>
        <v>-</v>
      </c>
      <c r="P53" s="27">
        <f t="shared" ca="1" si="4"/>
        <v>57739</v>
      </c>
      <c r="R53" s="31" t="str">
        <f ca="1">IF(B53="","",IF($B$4="R&amp;T Level 5 - Clinical Lecturers (Vet School)",SUMIF(Points_Lookup!$M:$M,$B53,Points_Lookup!N:N),IF($B$4="R&amp;T Level 6 - Clinical Associate Professors and Clinical Readers (Vet School)",SUMIF(Points_Lookup!$T:$T,$B53,Points_Lookup!U:U),"")))</f>
        <v/>
      </c>
      <c r="S53" s="32" t="str">
        <f ca="1">IF(B53="","",IF($B$4="R&amp;T Level 5 - Clinical Lecturers (Vet School)",$C53-SUMIF(Points_Lookup!$M:$M,$B53,Points_Lookup!$O:$O),IF($B$4="R&amp;T Level 6 - Clinical Associate Professors and Clinical Readers (Vet School)",$C53-SUMIF(Points_Lookup!$T:$T,$B53,Points_Lookup!$V:$V),"")))</f>
        <v/>
      </c>
      <c r="T53" s="31" t="str">
        <f ca="1">IF(B53="","",IF($B$4="R&amp;T Level 5 - Clinical Lecturers (Vet School)",SUMIF(Points_Lookup!$M:$M,$B53,Points_Lookup!Q:Q),IF($B$4="R&amp;T Level 6 - Clinical Associate Professors and Clinical Readers (Vet School)",SUMIF(Points_Lookup!$T:$T,$B53,Points_Lookup!X:X),"")))</f>
        <v/>
      </c>
      <c r="U53" s="32" t="str">
        <f t="shared" ca="1" si="5"/>
        <v/>
      </c>
      <c r="Z53" s="28">
        <v>46</v>
      </c>
    </row>
    <row r="54" spans="2:26" x14ac:dyDescent="0.25">
      <c r="B54" s="6">
        <f ca="1">IFERROR(INDEX(Points_Lookup!A:A,MATCH($Z54,Points_Lookup!$AE:$AE,0)),"")</f>
        <v>48</v>
      </c>
      <c r="C54" s="27">
        <f ca="1">IF(B54="","",IF($B$4="Apprenticeship",SUMIF(Points_Lookup!AA:AA,B54,Points_Lookup!AC:AC),IF(AND(OR($B$4="New Consultant Contract"),$B54&lt;&gt;""),INDEX(Points_Lookup!K:K,MATCH($B54,Points_Lookup!$J:$J,0)),IF(AND(OR($B$4="Clinical Lecturer / Medical Research Fellow",$B$4="Clinical Consultant - Old Contract (GP)"),$B54&lt;&gt;""),INDEX(Points_Lookup!H:H,MATCH($B54,Points_Lookup!$G:$G,0)),IF(AND(OR($B$4="APM Level 7",$B$4="R&amp;T Level 7",$B$4="APM Level 8"),B54&lt;&gt;""),INDEX(Points_Lookup!E:E,MATCH($Z54,Points_Lookup!$AE:$AE,0)),IF($B$4="R&amp;T Level 5 - Clinical Lecturers (Vet School)",SUMIF(Points_Lookup!$M:$M,$B54,Points_Lookup!$P:$P),IF($B$4="R&amp;T Level 6 - Clinical Associate Professors and Clinical Readers (Vet School)",SUMIF(Points_Lookup!$T:$T,$B54,Points_Lookup!$W:$W),IFERROR(INDEX(Points_Lookup!B:B,MATCH($Z54,Points_Lookup!$AE:$AE,0)),""))))))))</f>
        <v>53248</v>
      </c>
      <c r="D54" s="45"/>
      <c r="E54" s="27">
        <f ca="1">IF($B54="","",IF($B$4="Apprenticeship","-",SUM(IF(SUM(C54/12)&lt;Thresholds_Rates!$C$7,(SUM(C54/12)-Thresholds_Rates!$C$5)*Thresholds_Rates!$C$9,(Thresholds_Rates!$C$7-Thresholds_Rates!$C$5)*Thresholds_Rates!$C$9),IF(SUM(C54/12)&gt;Thresholds_Rates!$C$7,((SUM(C54/12)-Thresholds_Rates!$C$7)*Thresholds_Rates!$C$10),0),SUM(Thresholds_Rates!$C$5-Thresholds_Rates!$C$4)*-Thresholds_Rates!$C$8)*12))</f>
        <v>5085.0480000000007</v>
      </c>
      <c r="F54" s="27">
        <f ca="1">IF($B54="","",IF(AND($B$4="Salary Points 2 to 57",B54&lt;$AA$2),"-",IF(SUMIF(Grades!$A:$A,$B$4,Grades!BO:BO)=0,"-",IF(AND($B$4="Salary Points 2 to 57",B54&gt;=$AA$2),$C54*$AD$1,IF(AND(OR($B$4="New Consultant Contract"),$B54&lt;&gt;""),$C54*$AD$1,IF(AND(OR($B$4="Clinical Lecturer / Medical Research Fellow",$B$4="Clinical Consultant - Old Contract (GP)"),$B54&lt;&gt;""),$C54*$AD$1,IF(AND(OR($B$4="APM Level 7",$B$4="R&amp;T Level 7"),E54&lt;&gt;""),$C54*$AD$1,IF(SUMIF(Grades!$A:$A,$B$4,Grades!BO:BO)=1,$C54*$AD$1,""))))))))</f>
        <v>8519.68</v>
      </c>
      <c r="G54" s="27" t="str">
        <f ca="1">IF(B54="","",IF($B$4="Salary Points 2 to 57","-",IF(SUMIF(Grades!$A:$A,$B$4,Grades!BP:BP)=0,"-",IF(AND(OR($B$4="New Consultant Contract"),$B54&lt;&gt;""),$C54*$AD$2,IF(AND(OR($B$4="Clinical Lecturer / Medical Research Fellow",$B$4="Clinical Consultant - Old Contract (GP)"),$B54&lt;&gt;""),$C54*$AD$2,IF(AND(OR($B$4="APM Level 7",$B$4="R&amp;T Level 7"),F54&lt;&gt;""),$C54*$AD$2,IF(SUMIF(Grades!$A:$A,$B$4,Grades!BP:BP)=1,$C54*$AD$2,"")))))))</f>
        <v>-</v>
      </c>
      <c r="H54" s="27" t="str">
        <f ca="1">IF($B$4="Apprenticeship","-",IF(B54="","",IF(SUMIF(Grades!$A:$A,$B$4,Grades!BQ:BQ)=0,"-",IF(AND($B$4="Salary Points 2 to 57",B54&gt;$AA$3),"-",IF(AND($B$4="Salary Points 2 to 57",B54&lt;=$AA$3),$C54*$AD$3,IF(AND(OR($B$4="New Consultant Contract"),$B54&lt;&gt;""),$C54*$AD$3,IF(AND(OR($B$4="Clinical Lecturer / Medical Research Fellow",$B$4="Clinical Consultant - Old Contract (GP)"),$B54&lt;&gt;""),$C54*$AD$3,IF(AND(OR($B$4="APM Level 7",$B$4="R&amp;T Level 7"),G54&lt;&gt;""),$C54*$AD$3,IF(SUMIF(Grades!$A:$A,$B$4,Grades!BQ:BQ)=1,$C54*$AD$3,"")))))))))</f>
        <v>-</v>
      </c>
      <c r="I54" s="27">
        <f ca="1">IF($B54="","",ROUND(($C54-(Thresholds_Rates!$C$5*12))*Thresholds_Rates!$C$10,0))</f>
        <v>6250</v>
      </c>
      <c r="J54" s="27" t="str">
        <f ca="1">IF(B54="","",IF(AND($B$4="Salary Points 2 to 57",B54&gt;$AA$3),"-",IF(SUMIF(Grades!$A:$A,$B$4,Grades!BR:BR)=0,"-",IF(AND($B$4="Salary Points 2 to 57",B54&lt;=$AA$3),$C54*$AD$4,IF(AND(OR($B$4="New Consultant Contract"),$B54&lt;&gt;""),$C54*$AD$4,IF(AND(OR($B$4="Clinical Lecturer / Medical Research Fellow",$B$4="Clinical Consultant - Old Contract (GP)"),$B54&lt;&gt;""),$C54*$AD$4,IF(AND(OR($B$4="APM Level 7",$B$4="R&amp;T Level 7"),I54&lt;&gt;""),$C54*$AD$4,IF(SUMIF(Grades!$A:$A,$B$4,Grades!BQ:BQ)=1,$C54*$AD$4,""))))))))</f>
        <v>-</v>
      </c>
      <c r="K54" s="6"/>
      <c r="L54" s="27">
        <f t="shared" ca="1" si="0"/>
        <v>66852.728000000003</v>
      </c>
      <c r="M54" s="27" t="str">
        <f t="shared" ca="1" si="1"/>
        <v>-</v>
      </c>
      <c r="N54" s="27" t="str">
        <f t="shared" ca="1" si="2"/>
        <v>-</v>
      </c>
      <c r="O54" s="27" t="str">
        <f t="shared" ca="1" si="3"/>
        <v>-</v>
      </c>
      <c r="P54" s="27">
        <f t="shared" ca="1" si="4"/>
        <v>59498</v>
      </c>
      <c r="R54" s="31" t="str">
        <f ca="1">IF(B54="","",IF($B$4="R&amp;T Level 5 - Clinical Lecturers (Vet School)",SUMIF(Points_Lookup!$M:$M,$B54,Points_Lookup!N:N),IF($B$4="R&amp;T Level 6 - Clinical Associate Professors and Clinical Readers (Vet School)",SUMIF(Points_Lookup!$T:$T,$B54,Points_Lookup!U:U),"")))</f>
        <v/>
      </c>
      <c r="S54" s="32" t="str">
        <f ca="1">IF(B54="","",IF($B$4="R&amp;T Level 5 - Clinical Lecturers (Vet School)",$C54-SUMIF(Points_Lookup!$M:$M,$B54,Points_Lookup!$O:$O),IF($B$4="R&amp;T Level 6 - Clinical Associate Professors and Clinical Readers (Vet School)",$C54-SUMIF(Points_Lookup!$T:$T,$B54,Points_Lookup!$V:$V),"")))</f>
        <v/>
      </c>
      <c r="T54" s="31" t="str">
        <f ca="1">IF(B54="","",IF($B$4="R&amp;T Level 5 - Clinical Lecturers (Vet School)",SUMIF(Points_Lookup!$M:$M,$B54,Points_Lookup!Q:Q),IF($B$4="R&amp;T Level 6 - Clinical Associate Professors and Clinical Readers (Vet School)",SUMIF(Points_Lookup!$T:$T,$B54,Points_Lookup!X:X),"")))</f>
        <v/>
      </c>
      <c r="U54" s="32" t="str">
        <f t="shared" ca="1" si="5"/>
        <v/>
      </c>
      <c r="Z54" s="28">
        <v>47</v>
      </c>
    </row>
    <row r="55" spans="2:26" x14ac:dyDescent="0.25">
      <c r="B55" s="6">
        <f ca="1">IFERROR(INDEX(Points_Lookup!A:A,MATCH($Z55,Points_Lookup!$AE:$AE,0)),"")</f>
        <v>49</v>
      </c>
      <c r="C55" s="27">
        <f ca="1">IF(B55="","",IF($B$4="Apprenticeship",SUMIF(Points_Lookup!AA:AA,B55,Points_Lookup!AC:AC),IF(AND(OR($B$4="New Consultant Contract"),$B55&lt;&gt;""),INDEX(Points_Lookup!K:K,MATCH($B55,Points_Lookup!$J:$J,0)),IF(AND(OR($B$4="Clinical Lecturer / Medical Research Fellow",$B$4="Clinical Consultant - Old Contract (GP)"),$B55&lt;&gt;""),INDEX(Points_Lookup!H:H,MATCH($B55,Points_Lookup!$G:$G,0)),IF(AND(OR($B$4="APM Level 7",$B$4="R&amp;T Level 7",$B$4="APM Level 8"),B55&lt;&gt;""),INDEX(Points_Lookup!E:E,MATCH($Z55,Points_Lookup!$AE:$AE,0)),IF($B$4="R&amp;T Level 5 - Clinical Lecturers (Vet School)",SUMIF(Points_Lookup!$M:$M,$B55,Points_Lookup!$P:$P),IF($B$4="R&amp;T Level 6 - Clinical Associate Professors and Clinical Readers (Vet School)",SUMIF(Points_Lookup!$T:$T,$B55,Points_Lookup!$W:$W),IFERROR(INDEX(Points_Lookup!B:B,MATCH($Z55,Points_Lookup!$AE:$AE,0)),""))))))))</f>
        <v>54841</v>
      </c>
      <c r="D55" s="45"/>
      <c r="E55" s="27">
        <f ca="1">IF($B55="","",IF($B$4="Apprenticeship","-",SUM(IF(SUM(C55/12)&lt;Thresholds_Rates!$C$7,(SUM(C55/12)-Thresholds_Rates!$C$5)*Thresholds_Rates!$C$9,(Thresholds_Rates!$C$7-Thresholds_Rates!$C$5)*Thresholds_Rates!$C$9),IF(SUM(C55/12)&gt;Thresholds_Rates!$C$7,((SUM(C55/12)-Thresholds_Rates!$C$7)*Thresholds_Rates!$C$10),0),SUM(Thresholds_Rates!$C$5-Thresholds_Rates!$C$4)*-Thresholds_Rates!$C$8)*12))</f>
        <v>5304.8819999999996</v>
      </c>
      <c r="F55" s="27">
        <f ca="1">IF($B55="","",IF(AND($B$4="Salary Points 2 to 57",B55&lt;$AA$2),"-",IF(SUMIF(Grades!$A:$A,$B$4,Grades!BO:BO)=0,"-",IF(AND($B$4="Salary Points 2 to 57",B55&gt;=$AA$2),$C55*$AD$1,IF(AND(OR($B$4="New Consultant Contract"),$B55&lt;&gt;""),$C55*$AD$1,IF(AND(OR($B$4="Clinical Lecturer / Medical Research Fellow",$B$4="Clinical Consultant - Old Contract (GP)"),$B55&lt;&gt;""),$C55*$AD$1,IF(AND(OR($B$4="APM Level 7",$B$4="R&amp;T Level 7"),E55&lt;&gt;""),$C55*$AD$1,IF(SUMIF(Grades!$A:$A,$B$4,Grades!BO:BO)=1,$C55*$AD$1,""))))))))</f>
        <v>8774.56</v>
      </c>
      <c r="G55" s="27" t="str">
        <f ca="1">IF(B55="","",IF($B$4="Salary Points 2 to 57","-",IF(SUMIF(Grades!$A:$A,$B$4,Grades!BP:BP)=0,"-",IF(AND(OR($B$4="New Consultant Contract"),$B55&lt;&gt;""),$C55*$AD$2,IF(AND(OR($B$4="Clinical Lecturer / Medical Research Fellow",$B$4="Clinical Consultant - Old Contract (GP)"),$B55&lt;&gt;""),$C55*$AD$2,IF(AND(OR($B$4="APM Level 7",$B$4="R&amp;T Level 7"),F55&lt;&gt;""),$C55*$AD$2,IF(SUMIF(Grades!$A:$A,$B$4,Grades!BP:BP)=1,$C55*$AD$2,"")))))))</f>
        <v>-</v>
      </c>
      <c r="H55" s="27" t="str">
        <f ca="1">IF($B$4="Apprenticeship","-",IF(B55="","",IF(SUMIF(Grades!$A:$A,$B$4,Grades!BQ:BQ)=0,"-",IF(AND($B$4="Salary Points 2 to 57",B55&gt;$AA$3),"-",IF(AND($B$4="Salary Points 2 to 57",B55&lt;=$AA$3),$C55*$AD$3,IF(AND(OR($B$4="New Consultant Contract"),$B55&lt;&gt;""),$C55*$AD$3,IF(AND(OR($B$4="Clinical Lecturer / Medical Research Fellow",$B$4="Clinical Consultant - Old Contract (GP)"),$B55&lt;&gt;""),$C55*$AD$3,IF(AND(OR($B$4="APM Level 7",$B$4="R&amp;T Level 7"),G55&lt;&gt;""),$C55*$AD$3,IF(SUMIF(Grades!$A:$A,$B$4,Grades!BQ:BQ)=1,$C55*$AD$3,"")))))))))</f>
        <v>-</v>
      </c>
      <c r="I55" s="27">
        <f ca="1">IF($B55="","",ROUND(($C55-(Thresholds_Rates!$C$5*12))*Thresholds_Rates!$C$10,0))</f>
        <v>6470</v>
      </c>
      <c r="J55" s="27" t="str">
        <f ca="1">IF(B55="","",IF(AND($B$4="Salary Points 2 to 57",B55&gt;$AA$3),"-",IF(SUMIF(Grades!$A:$A,$B$4,Grades!BR:BR)=0,"-",IF(AND($B$4="Salary Points 2 to 57",B55&lt;=$AA$3),$C55*$AD$4,IF(AND(OR($B$4="New Consultant Contract"),$B55&lt;&gt;""),$C55*$AD$4,IF(AND(OR($B$4="Clinical Lecturer / Medical Research Fellow",$B$4="Clinical Consultant - Old Contract (GP)"),$B55&lt;&gt;""),$C55*$AD$4,IF(AND(OR($B$4="APM Level 7",$B$4="R&amp;T Level 7"),I55&lt;&gt;""),$C55*$AD$4,IF(SUMIF(Grades!$A:$A,$B$4,Grades!BQ:BQ)=1,$C55*$AD$4,""))))))))</f>
        <v>-</v>
      </c>
      <c r="K55" s="6"/>
      <c r="L55" s="27">
        <f t="shared" ca="1" si="0"/>
        <v>68920.441999999995</v>
      </c>
      <c r="M55" s="27" t="str">
        <f t="shared" ca="1" si="1"/>
        <v>-</v>
      </c>
      <c r="N55" s="27" t="str">
        <f t="shared" ca="1" si="2"/>
        <v>-</v>
      </c>
      <c r="O55" s="27" t="str">
        <f t="shared" ca="1" si="3"/>
        <v>-</v>
      </c>
      <c r="P55" s="27">
        <f t="shared" ca="1" si="4"/>
        <v>61311</v>
      </c>
      <c r="R55" s="31" t="str">
        <f ca="1">IF(B55="","",IF($B$4="R&amp;T Level 5 - Clinical Lecturers (Vet School)",SUMIF(Points_Lookup!$M:$M,$B55,Points_Lookup!N:N),IF($B$4="R&amp;T Level 6 - Clinical Associate Professors and Clinical Readers (Vet School)",SUMIF(Points_Lookup!$T:$T,$B55,Points_Lookup!U:U),"")))</f>
        <v/>
      </c>
      <c r="S55" s="32" t="str">
        <f ca="1">IF(B55="","",IF($B$4="R&amp;T Level 5 - Clinical Lecturers (Vet School)",$C55-SUMIF(Points_Lookup!$M:$M,$B55,Points_Lookup!$O:$O),IF($B$4="R&amp;T Level 6 - Clinical Associate Professors and Clinical Readers (Vet School)",$C55-SUMIF(Points_Lookup!$T:$T,$B55,Points_Lookup!$V:$V),"")))</f>
        <v/>
      </c>
      <c r="T55" s="31" t="str">
        <f ca="1">IF(B55="","",IF($B$4="R&amp;T Level 5 - Clinical Lecturers (Vet School)",SUMIF(Points_Lookup!$M:$M,$B55,Points_Lookup!Q:Q),IF($B$4="R&amp;T Level 6 - Clinical Associate Professors and Clinical Readers (Vet School)",SUMIF(Points_Lookup!$T:$T,$B55,Points_Lookup!X:X),"")))</f>
        <v/>
      </c>
      <c r="U55" s="32" t="str">
        <f t="shared" ca="1" si="5"/>
        <v/>
      </c>
      <c r="Z55" s="28">
        <v>48</v>
      </c>
    </row>
    <row r="56" spans="2:26" x14ac:dyDescent="0.25">
      <c r="B56" s="6">
        <f ca="1">IFERROR(INDEX(Points_Lookup!A:A,MATCH($Z56,Points_Lookup!$AE:$AE,0)),"")</f>
        <v>50</v>
      </c>
      <c r="C56" s="27">
        <f ca="1">IF(B56="","",IF($B$4="Apprenticeship",SUMIF(Points_Lookup!AA:AA,B56,Points_Lookup!AC:AC),IF(AND(OR($B$4="New Consultant Contract"),$B56&lt;&gt;""),INDEX(Points_Lookup!K:K,MATCH($B56,Points_Lookup!$J:$J,0)),IF(AND(OR($B$4="Clinical Lecturer / Medical Research Fellow",$B$4="Clinical Consultant - Old Contract (GP)"),$B56&lt;&gt;""),INDEX(Points_Lookup!H:H,MATCH($B56,Points_Lookup!$G:$G,0)),IF(AND(OR($B$4="APM Level 7",$B$4="R&amp;T Level 7",$B$4="APM Level 8"),B56&lt;&gt;""),INDEX(Points_Lookup!E:E,MATCH($Z56,Points_Lookup!$AE:$AE,0)),IF($B$4="R&amp;T Level 5 - Clinical Lecturers (Vet School)",SUMIF(Points_Lookup!$M:$M,$B56,Points_Lookup!$P:$P),IF($B$4="R&amp;T Level 6 - Clinical Associate Professors and Clinical Readers (Vet School)",SUMIF(Points_Lookup!$T:$T,$B56,Points_Lookup!$W:$W),IFERROR(INDEX(Points_Lookup!B:B,MATCH($Z56,Points_Lookup!$AE:$AE,0)),""))))))))</f>
        <v>56482</v>
      </c>
      <c r="D56" s="45"/>
      <c r="E56" s="27">
        <f ca="1">IF($B56="","",IF($B$4="Apprenticeship","-",SUM(IF(SUM(C56/12)&lt;Thresholds_Rates!$C$7,(SUM(C56/12)-Thresholds_Rates!$C$5)*Thresholds_Rates!$C$9,(Thresholds_Rates!$C$7-Thresholds_Rates!$C$5)*Thresholds_Rates!$C$9),IF(SUM(C56/12)&gt;Thresholds_Rates!$C$7,((SUM(C56/12)-Thresholds_Rates!$C$7)*Thresholds_Rates!$C$10),0),SUM(Thresholds_Rates!$C$5-Thresholds_Rates!$C$4)*-Thresholds_Rates!$C$8)*12))</f>
        <v>5531.34</v>
      </c>
      <c r="F56" s="27">
        <f ca="1">IF($B56="","",IF(AND($B$4="Salary Points 2 to 57",B56&lt;$AA$2),"-",IF(SUMIF(Grades!$A:$A,$B$4,Grades!BO:BO)=0,"-",IF(AND($B$4="Salary Points 2 to 57",B56&gt;=$AA$2),$C56*$AD$1,IF(AND(OR($B$4="New Consultant Contract"),$B56&lt;&gt;""),$C56*$AD$1,IF(AND(OR($B$4="Clinical Lecturer / Medical Research Fellow",$B$4="Clinical Consultant - Old Contract (GP)"),$B56&lt;&gt;""),$C56*$AD$1,IF(AND(OR($B$4="APM Level 7",$B$4="R&amp;T Level 7"),E56&lt;&gt;""),$C56*$AD$1,IF(SUMIF(Grades!$A:$A,$B$4,Grades!BO:BO)=1,$C56*$AD$1,""))))))))</f>
        <v>9037.1200000000008</v>
      </c>
      <c r="G56" s="27" t="str">
        <f ca="1">IF(B56="","",IF($B$4="Salary Points 2 to 57","-",IF(SUMIF(Grades!$A:$A,$B$4,Grades!BP:BP)=0,"-",IF(AND(OR($B$4="New Consultant Contract"),$B56&lt;&gt;""),$C56*$AD$2,IF(AND(OR($B$4="Clinical Lecturer / Medical Research Fellow",$B$4="Clinical Consultant - Old Contract (GP)"),$B56&lt;&gt;""),$C56*$AD$2,IF(AND(OR($B$4="APM Level 7",$B$4="R&amp;T Level 7"),F56&lt;&gt;""),$C56*$AD$2,IF(SUMIF(Grades!$A:$A,$B$4,Grades!BP:BP)=1,$C56*$AD$2,"")))))))</f>
        <v>-</v>
      </c>
      <c r="H56" s="27" t="str">
        <f ca="1">IF($B$4="Apprenticeship","-",IF(B56="","",IF(SUMIF(Grades!$A:$A,$B$4,Grades!BQ:BQ)=0,"-",IF(AND($B$4="Salary Points 2 to 57",B56&gt;$AA$3),"-",IF(AND($B$4="Salary Points 2 to 57",B56&lt;=$AA$3),$C56*$AD$3,IF(AND(OR($B$4="New Consultant Contract"),$B56&lt;&gt;""),$C56*$AD$3,IF(AND(OR($B$4="Clinical Lecturer / Medical Research Fellow",$B$4="Clinical Consultant - Old Contract (GP)"),$B56&lt;&gt;""),$C56*$AD$3,IF(AND(OR($B$4="APM Level 7",$B$4="R&amp;T Level 7"),G56&lt;&gt;""),$C56*$AD$3,IF(SUMIF(Grades!$A:$A,$B$4,Grades!BQ:BQ)=1,$C56*$AD$3,"")))))))))</f>
        <v>-</v>
      </c>
      <c r="I56" s="27">
        <f ca="1">IF($B56="","",ROUND(($C56-(Thresholds_Rates!$C$5*12))*Thresholds_Rates!$C$10,0))</f>
        <v>6697</v>
      </c>
      <c r="J56" s="27" t="str">
        <f ca="1">IF(B56="","",IF(AND($B$4="Salary Points 2 to 57",B56&gt;$AA$3),"-",IF(SUMIF(Grades!$A:$A,$B$4,Grades!BR:BR)=0,"-",IF(AND($B$4="Salary Points 2 to 57",B56&lt;=$AA$3),$C56*$AD$4,IF(AND(OR($B$4="New Consultant Contract"),$B56&lt;&gt;""),$C56*$AD$4,IF(AND(OR($B$4="Clinical Lecturer / Medical Research Fellow",$B$4="Clinical Consultant - Old Contract (GP)"),$B56&lt;&gt;""),$C56*$AD$4,IF(AND(OR($B$4="APM Level 7",$B$4="R&amp;T Level 7"),I56&lt;&gt;""),$C56*$AD$4,IF(SUMIF(Grades!$A:$A,$B$4,Grades!BQ:BQ)=1,$C56*$AD$4,""))))))))</f>
        <v>-</v>
      </c>
      <c r="K56" s="6"/>
      <c r="L56" s="27">
        <f t="shared" ca="1" si="0"/>
        <v>71050.459999999992</v>
      </c>
      <c r="M56" s="27" t="str">
        <f t="shared" ca="1" si="1"/>
        <v>-</v>
      </c>
      <c r="N56" s="27" t="str">
        <f t="shared" ca="1" si="2"/>
        <v>-</v>
      </c>
      <c r="O56" s="27" t="str">
        <f t="shared" ca="1" si="3"/>
        <v>-</v>
      </c>
      <c r="P56" s="27">
        <f t="shared" ca="1" si="4"/>
        <v>63179</v>
      </c>
      <c r="R56" s="31" t="str">
        <f ca="1">IF(B56="","",IF($B$4="R&amp;T Level 5 - Clinical Lecturers (Vet School)",SUMIF(Points_Lookup!$M:$M,$B56,Points_Lookup!N:N),IF($B$4="R&amp;T Level 6 - Clinical Associate Professors and Clinical Readers (Vet School)",SUMIF(Points_Lookup!$T:$T,$B56,Points_Lookup!U:U),"")))</f>
        <v/>
      </c>
      <c r="S56" s="32" t="str">
        <f ca="1">IF(B56="","",IF($B$4="R&amp;T Level 5 - Clinical Lecturers (Vet School)",$C56-SUMIF(Points_Lookup!$M:$M,$B56,Points_Lookup!$O:$O),IF($B$4="R&amp;T Level 6 - Clinical Associate Professors and Clinical Readers (Vet School)",$C56-SUMIF(Points_Lookup!$T:$T,$B56,Points_Lookup!$V:$V),"")))</f>
        <v/>
      </c>
      <c r="T56" s="31" t="str">
        <f ca="1">IF(B56="","",IF($B$4="R&amp;T Level 5 - Clinical Lecturers (Vet School)",SUMIF(Points_Lookup!$M:$M,$B56,Points_Lookup!Q:Q),IF($B$4="R&amp;T Level 6 - Clinical Associate Professors and Clinical Readers (Vet School)",SUMIF(Points_Lookup!$T:$T,$B56,Points_Lookup!X:X),"")))</f>
        <v/>
      </c>
      <c r="U56" s="32" t="str">
        <f t="shared" ca="1" si="5"/>
        <v/>
      </c>
      <c r="Z56" s="28">
        <v>49</v>
      </c>
    </row>
    <row r="57" spans="2:26" x14ac:dyDescent="0.25">
      <c r="B57" s="6">
        <f ca="1">IFERROR(INDEX(Points_Lookup!A:A,MATCH($Z57,Points_Lookup!$AE:$AE,0)),"")</f>
        <v>51</v>
      </c>
      <c r="C57" s="27">
        <f ca="1">IF(B57="","",IF($B$4="Apprenticeship",SUMIF(Points_Lookup!AA:AA,B57,Points_Lookup!AC:AC),IF(AND(OR($B$4="New Consultant Contract"),$B57&lt;&gt;""),INDEX(Points_Lookup!K:K,MATCH($B57,Points_Lookup!$J:$J,0)),IF(AND(OR($B$4="Clinical Lecturer / Medical Research Fellow",$B$4="Clinical Consultant - Old Contract (GP)"),$B57&lt;&gt;""),INDEX(Points_Lookup!H:H,MATCH($B57,Points_Lookup!$G:$G,0)),IF(AND(OR($B$4="APM Level 7",$B$4="R&amp;T Level 7",$B$4="APM Level 8"),B57&lt;&gt;""),INDEX(Points_Lookup!E:E,MATCH($Z57,Points_Lookup!$AE:$AE,0)),IF($B$4="R&amp;T Level 5 - Clinical Lecturers (Vet School)",SUMIF(Points_Lookup!$M:$M,$B57,Points_Lookup!$P:$P),IF($B$4="R&amp;T Level 6 - Clinical Associate Professors and Clinical Readers (Vet School)",SUMIF(Points_Lookup!$T:$T,$B57,Points_Lookup!$W:$W),IFERROR(INDEX(Points_Lookup!B:B,MATCH($Z57,Points_Lookup!$AE:$AE,0)),""))))))))</f>
        <v>58172</v>
      </c>
      <c r="D57" s="45"/>
      <c r="E57" s="27">
        <f ca="1">IF($B57="","",IF($B$4="Apprenticeship","-",SUM(IF(SUM(C57/12)&lt;Thresholds_Rates!$C$7,(SUM(C57/12)-Thresholds_Rates!$C$5)*Thresholds_Rates!$C$9,(Thresholds_Rates!$C$7-Thresholds_Rates!$C$5)*Thresholds_Rates!$C$9),IF(SUM(C57/12)&gt;Thresholds_Rates!$C$7,((SUM(C57/12)-Thresholds_Rates!$C$7)*Thresholds_Rates!$C$10),0),SUM(Thresholds_Rates!$C$5-Thresholds_Rates!$C$4)*-Thresholds_Rates!$C$8)*12))</f>
        <v>5764.5600000000013</v>
      </c>
      <c r="F57" s="27">
        <f ca="1">IF($B57="","",IF(AND($B$4="Salary Points 2 to 57",B57&lt;$AA$2),"-",IF(SUMIF(Grades!$A:$A,$B$4,Grades!BO:BO)=0,"-",IF(AND($B$4="Salary Points 2 to 57",B57&gt;=$AA$2),$C57*$AD$1,IF(AND(OR($B$4="New Consultant Contract"),$B57&lt;&gt;""),$C57*$AD$1,IF(AND(OR($B$4="Clinical Lecturer / Medical Research Fellow",$B$4="Clinical Consultant - Old Contract (GP)"),$B57&lt;&gt;""),$C57*$AD$1,IF(AND(OR($B$4="APM Level 7",$B$4="R&amp;T Level 7"),E57&lt;&gt;""),$C57*$AD$1,IF(SUMIF(Grades!$A:$A,$B$4,Grades!BO:BO)=1,$C57*$AD$1,""))))))))</f>
        <v>9307.52</v>
      </c>
      <c r="G57" s="27" t="str">
        <f ca="1">IF(B57="","",IF($B$4="Salary Points 2 to 57","-",IF(SUMIF(Grades!$A:$A,$B$4,Grades!BP:BP)=0,"-",IF(AND(OR($B$4="New Consultant Contract"),$B57&lt;&gt;""),$C57*$AD$2,IF(AND(OR($B$4="Clinical Lecturer / Medical Research Fellow",$B$4="Clinical Consultant - Old Contract (GP)"),$B57&lt;&gt;""),$C57*$AD$2,IF(AND(OR($B$4="APM Level 7",$B$4="R&amp;T Level 7"),F57&lt;&gt;""),$C57*$AD$2,IF(SUMIF(Grades!$A:$A,$B$4,Grades!BP:BP)=1,$C57*$AD$2,"")))))))</f>
        <v>-</v>
      </c>
      <c r="H57" s="27" t="str">
        <f ca="1">IF($B$4="Apprenticeship","-",IF(B57="","",IF(SUMIF(Grades!$A:$A,$B$4,Grades!BQ:BQ)=0,"-",IF(AND($B$4="Salary Points 2 to 57",B57&gt;$AA$3),"-",IF(AND($B$4="Salary Points 2 to 57",B57&lt;=$AA$3),$C57*$AD$3,IF(AND(OR($B$4="New Consultant Contract"),$B57&lt;&gt;""),$C57*$AD$3,IF(AND(OR($B$4="Clinical Lecturer / Medical Research Fellow",$B$4="Clinical Consultant - Old Contract (GP)"),$B57&lt;&gt;""),$C57*$AD$3,IF(AND(OR($B$4="APM Level 7",$B$4="R&amp;T Level 7"),G57&lt;&gt;""),$C57*$AD$3,IF(SUMIF(Grades!$A:$A,$B$4,Grades!BQ:BQ)=1,$C57*$AD$3,"")))))))))</f>
        <v>-</v>
      </c>
      <c r="I57" s="27">
        <f ca="1">IF($B57="","",ROUND(($C57-(Thresholds_Rates!$C$5*12))*Thresholds_Rates!$C$10,0))</f>
        <v>6930</v>
      </c>
      <c r="J57" s="27" t="str">
        <f ca="1">IF(B57="","",IF(AND($B$4="Salary Points 2 to 57",B57&gt;$AA$3),"-",IF(SUMIF(Grades!$A:$A,$B$4,Grades!BR:BR)=0,"-",IF(AND($B$4="Salary Points 2 to 57",B57&lt;=$AA$3),$C57*$AD$4,IF(AND(OR($B$4="New Consultant Contract"),$B57&lt;&gt;""),$C57*$AD$4,IF(AND(OR($B$4="Clinical Lecturer / Medical Research Fellow",$B$4="Clinical Consultant - Old Contract (GP)"),$B57&lt;&gt;""),$C57*$AD$4,IF(AND(OR($B$4="APM Level 7",$B$4="R&amp;T Level 7"),I57&lt;&gt;""),$C57*$AD$4,IF(SUMIF(Grades!$A:$A,$B$4,Grades!BQ:BQ)=1,$C57*$AD$4,""))))))))</f>
        <v>-</v>
      </c>
      <c r="K57" s="6"/>
      <c r="L57" s="27">
        <f t="shared" ca="1" si="0"/>
        <v>73244.08</v>
      </c>
      <c r="M57" s="27" t="str">
        <f t="shared" ca="1" si="1"/>
        <v>-</v>
      </c>
      <c r="N57" s="27" t="str">
        <f t="shared" ca="1" si="2"/>
        <v>-</v>
      </c>
      <c r="O57" s="27" t="str">
        <f t="shared" ca="1" si="3"/>
        <v>-</v>
      </c>
      <c r="P57" s="27">
        <f t="shared" ca="1" si="4"/>
        <v>65102</v>
      </c>
      <c r="R57" s="31" t="str">
        <f ca="1">IF(B57="","",IF($B$4="R&amp;T Level 5 - Clinical Lecturers (Vet School)",SUMIF(Points_Lookup!$M:$M,$B57,Points_Lookup!N:N),IF($B$4="R&amp;T Level 6 - Clinical Associate Professors and Clinical Readers (Vet School)",SUMIF(Points_Lookup!$T:$T,$B57,Points_Lookup!U:U),"")))</f>
        <v/>
      </c>
      <c r="S57" s="32" t="str">
        <f ca="1">IF(B57="","",IF($B$4="R&amp;T Level 5 - Clinical Lecturers (Vet School)",$C57-SUMIF(Points_Lookup!$M:$M,$B57,Points_Lookup!$O:$O),IF($B$4="R&amp;T Level 6 - Clinical Associate Professors and Clinical Readers (Vet School)",$C57-SUMIF(Points_Lookup!$T:$T,$B57,Points_Lookup!$V:$V),"")))</f>
        <v/>
      </c>
      <c r="T57" s="31" t="str">
        <f ca="1">IF(B57="","",IF($B$4="R&amp;T Level 5 - Clinical Lecturers (Vet School)",SUMIF(Points_Lookup!$M:$M,$B57,Points_Lookup!Q:Q),IF($B$4="R&amp;T Level 6 - Clinical Associate Professors and Clinical Readers (Vet School)",SUMIF(Points_Lookup!$T:$T,$B57,Points_Lookup!X:X),"")))</f>
        <v/>
      </c>
      <c r="U57" s="32" t="str">
        <f t="shared" ca="1" si="5"/>
        <v/>
      </c>
      <c r="Z57" s="28">
        <v>50</v>
      </c>
    </row>
    <row r="58" spans="2:26" x14ac:dyDescent="0.25">
      <c r="B58" s="6">
        <f ca="1">IFERROR(INDEX(Points_Lookup!A:A,MATCH($Z58,Points_Lookup!$AE:$AE,0)),"")</f>
        <v>52</v>
      </c>
      <c r="C58" s="27">
        <f ca="1">IF(B58="","",IF($B$4="Apprenticeship",SUMIF(Points_Lookup!AA:AA,B58,Points_Lookup!AC:AC),IF(AND(OR($B$4="New Consultant Contract"),$B58&lt;&gt;""),INDEX(Points_Lookup!K:K,MATCH($B58,Points_Lookup!$J:$J,0)),IF(AND(OR($B$4="Clinical Lecturer / Medical Research Fellow",$B$4="Clinical Consultant - Old Contract (GP)"),$B58&lt;&gt;""),INDEX(Points_Lookup!H:H,MATCH($B58,Points_Lookup!$G:$G,0)),IF(AND(OR($B$4="APM Level 7",$B$4="R&amp;T Level 7",$B$4="APM Level 8"),B58&lt;&gt;""),INDEX(Points_Lookup!E:E,MATCH($Z58,Points_Lookup!$AE:$AE,0)),IF($B$4="R&amp;T Level 5 - Clinical Lecturers (Vet School)",SUMIF(Points_Lookup!$M:$M,$B58,Points_Lookup!$P:$P),IF($B$4="R&amp;T Level 6 - Clinical Associate Professors and Clinical Readers (Vet School)",SUMIF(Points_Lookup!$T:$T,$B58,Points_Lookup!$W:$W),IFERROR(INDEX(Points_Lookup!B:B,MATCH($Z58,Points_Lookup!$AE:$AE,0)),""))))))))</f>
        <v>59895</v>
      </c>
      <c r="D58" s="45"/>
      <c r="E58" s="27">
        <f ca="1">IF($B58="","",IF($B$4="Apprenticeship","-",SUM(IF(SUM(C58/12)&lt;Thresholds_Rates!$C$7,(SUM(C58/12)-Thresholds_Rates!$C$5)*Thresholds_Rates!$C$9,(Thresholds_Rates!$C$7-Thresholds_Rates!$C$5)*Thresholds_Rates!$C$9),IF(SUM(C58/12)&gt;Thresholds_Rates!$C$7,((SUM(C58/12)-Thresholds_Rates!$C$7)*Thresholds_Rates!$C$10),0),SUM(Thresholds_Rates!$C$5-Thresholds_Rates!$C$4)*-Thresholds_Rates!$C$8)*12))</f>
        <v>6002.3340000000007</v>
      </c>
      <c r="F58" s="27">
        <f ca="1">IF($B58="","",IF(AND($B$4="Salary Points 2 to 57",B58&lt;$AA$2),"-",IF(SUMIF(Grades!$A:$A,$B$4,Grades!BO:BO)=0,"-",IF(AND($B$4="Salary Points 2 to 57",B58&gt;=$AA$2),$C58*$AD$1,IF(AND(OR($B$4="New Consultant Contract"),$B58&lt;&gt;""),$C58*$AD$1,IF(AND(OR($B$4="Clinical Lecturer / Medical Research Fellow",$B$4="Clinical Consultant - Old Contract (GP)"),$B58&lt;&gt;""),$C58*$AD$1,IF(AND(OR($B$4="APM Level 7",$B$4="R&amp;T Level 7"),E58&lt;&gt;""),$C58*$AD$1,IF(SUMIF(Grades!$A:$A,$B$4,Grades!BO:BO)=1,$C58*$AD$1,""))))))))</f>
        <v>9583.2000000000007</v>
      </c>
      <c r="G58" s="27" t="str">
        <f ca="1">IF(B58="","",IF($B$4="Salary Points 2 to 57","-",IF(SUMIF(Grades!$A:$A,$B$4,Grades!BP:BP)=0,"-",IF(AND(OR($B$4="New Consultant Contract"),$B58&lt;&gt;""),$C58*$AD$2,IF(AND(OR($B$4="Clinical Lecturer / Medical Research Fellow",$B$4="Clinical Consultant - Old Contract (GP)"),$B58&lt;&gt;""),$C58*$AD$2,IF(AND(OR($B$4="APM Level 7",$B$4="R&amp;T Level 7"),F58&lt;&gt;""),$C58*$AD$2,IF(SUMIF(Grades!$A:$A,$B$4,Grades!BP:BP)=1,$C58*$AD$2,"")))))))</f>
        <v>-</v>
      </c>
      <c r="H58" s="27" t="str">
        <f ca="1">IF($B$4="Apprenticeship","-",IF(B58="","",IF(SUMIF(Grades!$A:$A,$B$4,Grades!BQ:BQ)=0,"-",IF(AND($B$4="Salary Points 2 to 57",B58&gt;$AA$3),"-",IF(AND($B$4="Salary Points 2 to 57",B58&lt;=$AA$3),$C58*$AD$3,IF(AND(OR($B$4="New Consultant Contract"),$B58&lt;&gt;""),$C58*$AD$3,IF(AND(OR($B$4="Clinical Lecturer / Medical Research Fellow",$B$4="Clinical Consultant - Old Contract (GP)"),$B58&lt;&gt;""),$C58*$AD$3,IF(AND(OR($B$4="APM Level 7",$B$4="R&amp;T Level 7"),G58&lt;&gt;""),$C58*$AD$3,IF(SUMIF(Grades!$A:$A,$B$4,Grades!BQ:BQ)=1,$C58*$AD$3,"")))))))))</f>
        <v>-</v>
      </c>
      <c r="I58" s="27">
        <f ca="1">IF($B58="","",ROUND(($C58-(Thresholds_Rates!$C$5*12))*Thresholds_Rates!$C$10,0))</f>
        <v>7168</v>
      </c>
      <c r="J58" s="27" t="str">
        <f ca="1">IF(B58="","",IF(AND($B$4="Salary Points 2 to 57",B58&gt;$AA$3),"-",IF(SUMIF(Grades!$A:$A,$B$4,Grades!BR:BR)=0,"-",IF(AND($B$4="Salary Points 2 to 57",B58&lt;=$AA$3),$C58*$AD$4,IF(AND(OR($B$4="New Consultant Contract"),$B58&lt;&gt;""),$C58*$AD$4,IF(AND(OR($B$4="Clinical Lecturer / Medical Research Fellow",$B$4="Clinical Consultant - Old Contract (GP)"),$B58&lt;&gt;""),$C58*$AD$4,IF(AND(OR($B$4="APM Level 7",$B$4="R&amp;T Level 7"),I58&lt;&gt;""),$C58*$AD$4,IF(SUMIF(Grades!$A:$A,$B$4,Grades!BQ:BQ)=1,$C58*$AD$4,""))))))))</f>
        <v>-</v>
      </c>
      <c r="K58" s="6"/>
      <c r="L58" s="27">
        <f t="shared" ca="1" si="0"/>
        <v>75480.534</v>
      </c>
      <c r="M58" s="27" t="str">
        <f t="shared" ca="1" si="1"/>
        <v>-</v>
      </c>
      <c r="N58" s="27" t="str">
        <f t="shared" ca="1" si="2"/>
        <v>-</v>
      </c>
      <c r="O58" s="27" t="str">
        <f t="shared" ca="1" si="3"/>
        <v>-</v>
      </c>
      <c r="P58" s="27">
        <f t="shared" ca="1" si="4"/>
        <v>67063</v>
      </c>
      <c r="R58" s="31" t="str">
        <f ca="1">IF(B58="","",IF($B$4="R&amp;T Level 5 - Clinical Lecturers (Vet School)",SUMIF(Points_Lookup!$M:$M,$B58,Points_Lookup!N:N),IF($B$4="R&amp;T Level 6 - Clinical Associate Professors and Clinical Readers (Vet School)",SUMIF(Points_Lookup!$T:$T,$B58,Points_Lookup!U:U),"")))</f>
        <v/>
      </c>
      <c r="S58" s="32" t="str">
        <f ca="1">IF(B58="","",IF($B$4="R&amp;T Level 5 - Clinical Lecturers (Vet School)",$C58-SUMIF(Points_Lookup!$M:$M,$B58,Points_Lookup!$O:$O),IF($B$4="R&amp;T Level 6 - Clinical Associate Professors and Clinical Readers (Vet School)",$C58-SUMIF(Points_Lookup!$T:$T,$B58,Points_Lookup!$V:$V),"")))</f>
        <v/>
      </c>
      <c r="T58" s="31" t="str">
        <f ca="1">IF(B58="","",IF($B$4="R&amp;T Level 5 - Clinical Lecturers (Vet School)",SUMIF(Points_Lookup!$M:$M,$B58,Points_Lookup!Q:Q),IF($B$4="R&amp;T Level 6 - Clinical Associate Professors and Clinical Readers (Vet School)",SUMIF(Points_Lookup!$T:$T,$B58,Points_Lookup!X:X),"")))</f>
        <v/>
      </c>
      <c r="U58" s="32" t="str">
        <f t="shared" ca="1" si="5"/>
        <v/>
      </c>
      <c r="Z58" s="28">
        <v>51</v>
      </c>
    </row>
    <row r="59" spans="2:26" x14ac:dyDescent="0.25">
      <c r="B59" s="6">
        <f ca="1">IFERROR(INDEX(Points_Lookup!A:A,MATCH($Z59,Points_Lookup!$AE:$AE,0)),"")</f>
        <v>53</v>
      </c>
      <c r="C59" s="27">
        <f ca="1">IF(B59="","",IF($B$4="Apprenticeship",SUMIF(Points_Lookup!AA:AA,B59,Points_Lookup!AC:AC),IF(AND(OR($B$4="New Consultant Contract"),$B59&lt;&gt;""),INDEX(Points_Lookup!K:K,MATCH($B59,Points_Lookup!$J:$J,0)),IF(AND(OR($B$4="Clinical Lecturer / Medical Research Fellow",$B$4="Clinical Consultant - Old Contract (GP)"),$B59&lt;&gt;""),INDEX(Points_Lookup!H:H,MATCH($B59,Points_Lookup!$G:$G,0)),IF(AND(OR($B$4="APM Level 7",$B$4="R&amp;T Level 7",$B$4="APM Level 8"),B59&lt;&gt;""),INDEX(Points_Lookup!E:E,MATCH($Z59,Points_Lookup!$AE:$AE,0)),IF($B$4="R&amp;T Level 5 - Clinical Lecturers (Vet School)",SUMIF(Points_Lookup!$M:$M,$B59,Points_Lookup!$P:$P),IF($B$4="R&amp;T Level 6 - Clinical Associate Professors and Clinical Readers (Vet School)",SUMIF(Points_Lookup!$T:$T,$B59,Points_Lookup!$W:$W),IFERROR(INDEX(Points_Lookup!B:B,MATCH($Z59,Points_Lookup!$AE:$AE,0)),""))))))))</f>
        <v>61688</v>
      </c>
      <c r="D59" s="45"/>
      <c r="E59" s="27">
        <f ca="1">IF($B59="","",IF($B$4="Apprenticeship","-",SUM(IF(SUM(C59/12)&lt;Thresholds_Rates!$C$7,(SUM(C59/12)-Thresholds_Rates!$C$5)*Thresholds_Rates!$C$9,(Thresholds_Rates!$C$7-Thresholds_Rates!$C$5)*Thresholds_Rates!$C$9),IF(SUM(C59/12)&gt;Thresholds_Rates!$C$7,((SUM(C59/12)-Thresholds_Rates!$C$7)*Thresholds_Rates!$C$10),0),SUM(Thresholds_Rates!$C$5-Thresholds_Rates!$C$4)*-Thresholds_Rates!$C$8)*12))</f>
        <v>6249.7680000000009</v>
      </c>
      <c r="F59" s="27">
        <f ca="1">IF($B59="","",IF(AND($B$4="Salary Points 2 to 57",B59&lt;$AA$2),"-",IF(SUMIF(Grades!$A:$A,$B$4,Grades!BO:BO)=0,"-",IF(AND($B$4="Salary Points 2 to 57",B59&gt;=$AA$2),$C59*$AD$1,IF(AND(OR($B$4="New Consultant Contract"),$B59&lt;&gt;""),$C59*$AD$1,IF(AND(OR($B$4="Clinical Lecturer / Medical Research Fellow",$B$4="Clinical Consultant - Old Contract (GP)"),$B59&lt;&gt;""),$C59*$AD$1,IF(AND(OR($B$4="APM Level 7",$B$4="R&amp;T Level 7"),E59&lt;&gt;""),$C59*$AD$1,IF(SUMIF(Grades!$A:$A,$B$4,Grades!BO:BO)=1,$C59*$AD$1,""))))))))</f>
        <v>9870.08</v>
      </c>
      <c r="G59" s="27" t="str">
        <f ca="1">IF(B59="","",IF($B$4="Salary Points 2 to 57","-",IF(SUMIF(Grades!$A:$A,$B$4,Grades!BP:BP)=0,"-",IF(AND(OR($B$4="New Consultant Contract"),$B59&lt;&gt;""),$C59*$AD$2,IF(AND(OR($B$4="Clinical Lecturer / Medical Research Fellow",$B$4="Clinical Consultant - Old Contract (GP)"),$B59&lt;&gt;""),$C59*$AD$2,IF(AND(OR($B$4="APM Level 7",$B$4="R&amp;T Level 7"),F59&lt;&gt;""),$C59*$AD$2,IF(SUMIF(Grades!$A:$A,$B$4,Grades!BP:BP)=1,$C59*$AD$2,"")))))))</f>
        <v>-</v>
      </c>
      <c r="H59" s="27" t="str">
        <f ca="1">IF($B$4="Apprenticeship","-",IF(B59="","",IF(SUMIF(Grades!$A:$A,$B$4,Grades!BQ:BQ)=0,"-",IF(AND($B$4="Salary Points 2 to 57",B59&gt;$AA$3),"-",IF(AND($B$4="Salary Points 2 to 57",B59&lt;=$AA$3),$C59*$AD$3,IF(AND(OR($B$4="New Consultant Contract"),$B59&lt;&gt;""),$C59*$AD$3,IF(AND(OR($B$4="Clinical Lecturer / Medical Research Fellow",$B$4="Clinical Consultant - Old Contract (GP)"),$B59&lt;&gt;""),$C59*$AD$3,IF(AND(OR($B$4="APM Level 7",$B$4="R&amp;T Level 7"),G59&lt;&gt;""),$C59*$AD$3,IF(SUMIF(Grades!$A:$A,$B$4,Grades!BQ:BQ)=1,$C59*$AD$3,"")))))))))</f>
        <v>-</v>
      </c>
      <c r="I59" s="27">
        <f ca="1">IF($B59="","",ROUND(($C59-(Thresholds_Rates!$C$5*12))*Thresholds_Rates!$C$10,0))</f>
        <v>7415</v>
      </c>
      <c r="J59" s="27" t="str">
        <f ca="1">IF(B59="","",IF(AND($B$4="Salary Points 2 to 57",B59&gt;$AA$3),"-",IF(SUMIF(Grades!$A:$A,$B$4,Grades!BR:BR)=0,"-",IF(AND($B$4="Salary Points 2 to 57",B59&lt;=$AA$3),$C59*$AD$4,IF(AND(OR($B$4="New Consultant Contract"),$B59&lt;&gt;""),$C59*$AD$4,IF(AND(OR($B$4="Clinical Lecturer / Medical Research Fellow",$B$4="Clinical Consultant - Old Contract (GP)"),$B59&lt;&gt;""),$C59*$AD$4,IF(AND(OR($B$4="APM Level 7",$B$4="R&amp;T Level 7"),I59&lt;&gt;""),$C59*$AD$4,IF(SUMIF(Grades!$A:$A,$B$4,Grades!BQ:BQ)=1,$C59*$AD$4,""))))))))</f>
        <v>-</v>
      </c>
      <c r="K59" s="6"/>
      <c r="L59" s="27">
        <f t="shared" ca="1" si="0"/>
        <v>77807.847999999998</v>
      </c>
      <c r="M59" s="27" t="str">
        <f t="shared" ca="1" si="1"/>
        <v>-</v>
      </c>
      <c r="N59" s="27" t="str">
        <f t="shared" ca="1" si="2"/>
        <v>-</v>
      </c>
      <c r="O59" s="27" t="str">
        <f t="shared" ca="1" si="3"/>
        <v>-</v>
      </c>
      <c r="P59" s="27">
        <f t="shared" ca="1" si="4"/>
        <v>69103</v>
      </c>
      <c r="R59" s="31" t="str">
        <f ca="1">IF(B59="","",IF($B$4="R&amp;T Level 5 - Clinical Lecturers (Vet School)",SUMIF(Points_Lookup!$M:$M,$B59,Points_Lookup!N:N),IF($B$4="R&amp;T Level 6 - Clinical Associate Professors and Clinical Readers (Vet School)",SUMIF(Points_Lookup!$T:$T,$B59,Points_Lookup!U:U),"")))</f>
        <v/>
      </c>
      <c r="S59" s="32" t="str">
        <f ca="1">IF(B59="","",IF($B$4="R&amp;T Level 5 - Clinical Lecturers (Vet School)",$C59-SUMIF(Points_Lookup!$M:$M,$B59,Points_Lookup!$O:$O),IF($B$4="R&amp;T Level 6 - Clinical Associate Professors and Clinical Readers (Vet School)",$C59-SUMIF(Points_Lookup!$T:$T,$B59,Points_Lookup!$V:$V),"")))</f>
        <v/>
      </c>
      <c r="T59" s="31" t="str">
        <f ca="1">IF(B59="","",IF($B$4="R&amp;T Level 5 - Clinical Lecturers (Vet School)",SUMIF(Points_Lookup!$M:$M,$B59,Points_Lookup!Q:Q),IF($B$4="R&amp;T Level 6 - Clinical Associate Professors and Clinical Readers (Vet School)",SUMIF(Points_Lookup!$T:$T,$B59,Points_Lookup!X:X),"")))</f>
        <v/>
      </c>
      <c r="U59" s="32" t="str">
        <f t="shared" ca="1" si="5"/>
        <v/>
      </c>
      <c r="Z59" s="28">
        <v>52</v>
      </c>
    </row>
    <row r="60" spans="2:26" x14ac:dyDescent="0.25">
      <c r="B60" s="6">
        <f ca="1">IFERROR(INDEX(Points_Lookup!A:A,MATCH($Z60,Points_Lookup!$AE:$AE,0)),"")</f>
        <v>54</v>
      </c>
      <c r="C60" s="27">
        <f ca="1">IF(B60="","",IF($B$4="Apprenticeship",SUMIF(Points_Lookup!AA:AA,B60,Points_Lookup!AC:AC),IF(AND(OR($B$4="New Consultant Contract"),$B60&lt;&gt;""),INDEX(Points_Lookup!K:K,MATCH($B60,Points_Lookup!$J:$J,0)),IF(AND(OR($B$4="Clinical Lecturer / Medical Research Fellow",$B$4="Clinical Consultant - Old Contract (GP)"),$B60&lt;&gt;""),INDEX(Points_Lookup!H:H,MATCH($B60,Points_Lookup!$G:$G,0)),IF(AND(OR($B$4="APM Level 7",$B$4="R&amp;T Level 7",$B$4="APM Level 8"),B60&lt;&gt;""),INDEX(Points_Lookup!E:E,MATCH($Z60,Points_Lookup!$AE:$AE,0)),IF($B$4="R&amp;T Level 5 - Clinical Lecturers (Vet School)",SUMIF(Points_Lookup!$M:$M,$B60,Points_Lookup!$P:$P),IF($B$4="R&amp;T Level 6 - Clinical Associate Professors and Clinical Readers (Vet School)",SUMIF(Points_Lookup!$T:$T,$B60,Points_Lookup!$W:$W),IFERROR(INDEX(Points_Lookup!B:B,MATCH($Z60,Points_Lookup!$AE:$AE,0)),""))))))))</f>
        <v>63536</v>
      </c>
      <c r="D60" s="45"/>
      <c r="E60" s="27">
        <f ca="1">IF($B60="","",IF($B$4="Apprenticeship","-",SUM(IF(SUM(C60/12)&lt;Thresholds_Rates!$C$7,(SUM(C60/12)-Thresholds_Rates!$C$5)*Thresholds_Rates!$C$9,(Thresholds_Rates!$C$7-Thresholds_Rates!$C$5)*Thresholds_Rates!$C$9),IF(SUM(C60/12)&gt;Thresholds_Rates!$C$7,((SUM(C60/12)-Thresholds_Rates!$C$7)*Thresholds_Rates!$C$10),0),SUM(Thresholds_Rates!$C$5-Thresholds_Rates!$C$4)*-Thresholds_Rates!$C$8)*12))</f>
        <v>6504.7920000000013</v>
      </c>
      <c r="F60" s="27">
        <f ca="1">IF($B60="","",IF(AND($B$4="Salary Points 2 to 57",B60&lt;$AA$2),"-",IF(SUMIF(Grades!$A:$A,$B$4,Grades!BO:BO)=0,"-",IF(AND($B$4="Salary Points 2 to 57",B60&gt;=$AA$2),$C60*$AD$1,IF(AND(OR($B$4="New Consultant Contract"),$B60&lt;&gt;""),$C60*$AD$1,IF(AND(OR($B$4="Clinical Lecturer / Medical Research Fellow",$B$4="Clinical Consultant - Old Contract (GP)"),$B60&lt;&gt;""),$C60*$AD$1,IF(AND(OR($B$4="APM Level 7",$B$4="R&amp;T Level 7"),E60&lt;&gt;""),$C60*$AD$1,IF(SUMIF(Grades!$A:$A,$B$4,Grades!BO:BO)=1,$C60*$AD$1,""))))))))</f>
        <v>10165.76</v>
      </c>
      <c r="G60" s="27" t="str">
        <f ca="1">IF(B60="","",IF($B$4="Salary Points 2 to 57","-",IF(SUMIF(Grades!$A:$A,$B$4,Grades!BP:BP)=0,"-",IF(AND(OR($B$4="New Consultant Contract"),$B60&lt;&gt;""),$C60*$AD$2,IF(AND(OR($B$4="Clinical Lecturer / Medical Research Fellow",$B$4="Clinical Consultant - Old Contract (GP)"),$B60&lt;&gt;""),$C60*$AD$2,IF(AND(OR($B$4="APM Level 7",$B$4="R&amp;T Level 7"),F60&lt;&gt;""),$C60*$AD$2,IF(SUMIF(Grades!$A:$A,$B$4,Grades!BP:BP)=1,$C60*$AD$2,"")))))))</f>
        <v>-</v>
      </c>
      <c r="H60" s="27" t="str">
        <f ca="1">IF($B$4="Apprenticeship","-",IF(B60="","",IF(SUMIF(Grades!$A:$A,$B$4,Grades!BQ:BQ)=0,"-",IF(AND($B$4="Salary Points 2 to 57",B60&gt;$AA$3),"-",IF(AND($B$4="Salary Points 2 to 57",B60&lt;=$AA$3),$C60*$AD$3,IF(AND(OR($B$4="New Consultant Contract"),$B60&lt;&gt;""),$C60*$AD$3,IF(AND(OR($B$4="Clinical Lecturer / Medical Research Fellow",$B$4="Clinical Consultant - Old Contract (GP)"),$B60&lt;&gt;""),$C60*$AD$3,IF(AND(OR($B$4="APM Level 7",$B$4="R&amp;T Level 7"),G60&lt;&gt;""),$C60*$AD$3,IF(SUMIF(Grades!$A:$A,$B$4,Grades!BQ:BQ)=1,$C60*$AD$3,"")))))))))</f>
        <v>-</v>
      </c>
      <c r="I60" s="27">
        <f ca="1">IF($B60="","",ROUND(($C60-(Thresholds_Rates!$C$5*12))*Thresholds_Rates!$C$10,0))</f>
        <v>7670</v>
      </c>
      <c r="J60" s="27" t="str">
        <f ca="1">IF(B60="","",IF(AND($B$4="Salary Points 2 to 57",B60&gt;$AA$3),"-",IF(SUMIF(Grades!$A:$A,$B$4,Grades!BR:BR)=0,"-",IF(AND($B$4="Salary Points 2 to 57",B60&lt;=$AA$3),$C60*$AD$4,IF(AND(OR($B$4="New Consultant Contract"),$B60&lt;&gt;""),$C60*$AD$4,IF(AND(OR($B$4="Clinical Lecturer / Medical Research Fellow",$B$4="Clinical Consultant - Old Contract (GP)"),$B60&lt;&gt;""),$C60*$AD$4,IF(AND(OR($B$4="APM Level 7",$B$4="R&amp;T Level 7"),I60&lt;&gt;""),$C60*$AD$4,IF(SUMIF(Grades!$A:$A,$B$4,Grades!BQ:BQ)=1,$C60*$AD$4,""))))))))</f>
        <v>-</v>
      </c>
      <c r="K60" s="6"/>
      <c r="L60" s="27">
        <f t="shared" ca="1" si="0"/>
        <v>80206.551999999996</v>
      </c>
      <c r="M60" s="27" t="str">
        <f t="shared" ca="1" si="1"/>
        <v>-</v>
      </c>
      <c r="N60" s="27" t="str">
        <f t="shared" ca="1" si="2"/>
        <v>-</v>
      </c>
      <c r="O60" s="27" t="str">
        <f t="shared" ca="1" si="3"/>
        <v>-</v>
      </c>
      <c r="P60" s="27">
        <f t="shared" ca="1" si="4"/>
        <v>71206</v>
      </c>
      <c r="R60" s="31" t="str">
        <f ca="1">IF(B60="","",IF($B$4="R&amp;T Level 5 - Clinical Lecturers (Vet School)",SUMIF(Points_Lookup!$M:$M,$B60,Points_Lookup!N:N),IF($B$4="R&amp;T Level 6 - Clinical Associate Professors and Clinical Readers (Vet School)",SUMIF(Points_Lookup!$T:$T,$B60,Points_Lookup!U:U),"")))</f>
        <v/>
      </c>
      <c r="S60" s="32" t="str">
        <f ca="1">IF(B60="","",IF($B$4="R&amp;T Level 5 - Clinical Lecturers (Vet School)",$C60-SUMIF(Points_Lookup!$M:$M,$B60,Points_Lookup!$O:$O),IF($B$4="R&amp;T Level 6 - Clinical Associate Professors and Clinical Readers (Vet School)",$C60-SUMIF(Points_Lookup!$T:$T,$B60,Points_Lookup!$V:$V),"")))</f>
        <v/>
      </c>
      <c r="T60" s="31" t="str">
        <f ca="1">IF(B60="","",IF($B$4="R&amp;T Level 5 - Clinical Lecturers (Vet School)",SUMIF(Points_Lookup!$M:$M,$B60,Points_Lookup!Q:Q),IF($B$4="R&amp;T Level 6 - Clinical Associate Professors and Clinical Readers (Vet School)",SUMIF(Points_Lookup!$T:$T,$B60,Points_Lookup!X:X),"")))</f>
        <v/>
      </c>
      <c r="U60" s="32" t="str">
        <f t="shared" ca="1" si="5"/>
        <v/>
      </c>
      <c r="Z60" s="28">
        <v>53</v>
      </c>
    </row>
    <row r="61" spans="2:26" x14ac:dyDescent="0.25">
      <c r="B61" s="6">
        <f ca="1">IFERROR(INDEX(Points_Lookup!A:A,MATCH($Z61,Points_Lookup!$AE:$AE,0)),"")</f>
        <v>55</v>
      </c>
      <c r="C61" s="27">
        <f ca="1">IF(B61="","",IF($B$4="Apprenticeship",SUMIF(Points_Lookup!AA:AA,B61,Points_Lookup!AC:AC),IF(AND(OR($B$4="New Consultant Contract"),$B61&lt;&gt;""),INDEX(Points_Lookup!K:K,MATCH($B61,Points_Lookup!$J:$J,0)),IF(AND(OR($B$4="Clinical Lecturer / Medical Research Fellow",$B$4="Clinical Consultant - Old Contract (GP)"),$B61&lt;&gt;""),INDEX(Points_Lookup!H:H,MATCH($B61,Points_Lookup!$G:$G,0)),IF(AND(OR($B$4="APM Level 7",$B$4="R&amp;T Level 7",$B$4="APM Level 8"),B61&lt;&gt;""),INDEX(Points_Lookup!E:E,MATCH($Z61,Points_Lookup!$AE:$AE,0)),IF($B$4="R&amp;T Level 5 - Clinical Lecturers (Vet School)",SUMIF(Points_Lookup!$M:$M,$B61,Points_Lookup!$P:$P),IF($B$4="R&amp;T Level 6 - Clinical Associate Professors and Clinical Readers (Vet School)",SUMIF(Points_Lookup!$T:$T,$B61,Points_Lookup!$W:$W),IFERROR(INDEX(Points_Lookup!B:B,MATCH($Z61,Points_Lookup!$AE:$AE,0)),""))))))))</f>
        <v>65437</v>
      </c>
      <c r="D61" s="45"/>
      <c r="E61" s="27">
        <f ca="1">IF($B61="","",IF($B$4="Apprenticeship","-",SUM(IF(SUM(C61/12)&lt;Thresholds_Rates!$C$7,(SUM(C61/12)-Thresholds_Rates!$C$5)*Thresholds_Rates!$C$9,(Thresholds_Rates!$C$7-Thresholds_Rates!$C$5)*Thresholds_Rates!$C$9),IF(SUM(C61/12)&gt;Thresholds_Rates!$C$7,((SUM(C61/12)-Thresholds_Rates!$C$7)*Thresholds_Rates!$C$10),0),SUM(Thresholds_Rates!$C$5-Thresholds_Rates!$C$4)*-Thresholds_Rates!$C$8)*12))</f>
        <v>6767.13</v>
      </c>
      <c r="F61" s="27">
        <f ca="1">IF($B61="","",IF(AND($B$4="Salary Points 2 to 57",B61&lt;$AA$2),"-",IF(SUMIF(Grades!$A:$A,$B$4,Grades!BO:BO)=0,"-",IF(AND($B$4="Salary Points 2 to 57",B61&gt;=$AA$2),$C61*$AD$1,IF(AND(OR($B$4="New Consultant Contract"),$B61&lt;&gt;""),$C61*$AD$1,IF(AND(OR($B$4="Clinical Lecturer / Medical Research Fellow",$B$4="Clinical Consultant - Old Contract (GP)"),$B61&lt;&gt;""),$C61*$AD$1,IF(AND(OR($B$4="APM Level 7",$B$4="R&amp;T Level 7"),E61&lt;&gt;""),$C61*$AD$1,IF(SUMIF(Grades!$A:$A,$B$4,Grades!BO:BO)=1,$C61*$AD$1,""))))))))</f>
        <v>10469.92</v>
      </c>
      <c r="G61" s="27" t="str">
        <f ca="1">IF(B61="","",IF($B$4="Salary Points 2 to 57","-",IF(SUMIF(Grades!$A:$A,$B$4,Grades!BP:BP)=0,"-",IF(AND(OR($B$4="New Consultant Contract"),$B61&lt;&gt;""),$C61*$AD$2,IF(AND(OR($B$4="Clinical Lecturer / Medical Research Fellow",$B$4="Clinical Consultant - Old Contract (GP)"),$B61&lt;&gt;""),$C61*$AD$2,IF(AND(OR($B$4="APM Level 7",$B$4="R&amp;T Level 7"),F61&lt;&gt;""),$C61*$AD$2,IF(SUMIF(Grades!$A:$A,$B$4,Grades!BP:BP)=1,$C61*$AD$2,"")))))))</f>
        <v>-</v>
      </c>
      <c r="H61" s="27" t="str">
        <f ca="1">IF($B$4="Apprenticeship","-",IF(B61="","",IF(SUMIF(Grades!$A:$A,$B$4,Grades!BQ:BQ)=0,"-",IF(AND($B$4="Salary Points 2 to 57",B61&gt;$AA$3),"-",IF(AND($B$4="Salary Points 2 to 57",B61&lt;=$AA$3),$C61*$AD$3,IF(AND(OR($B$4="New Consultant Contract"),$B61&lt;&gt;""),$C61*$AD$3,IF(AND(OR($B$4="Clinical Lecturer / Medical Research Fellow",$B$4="Clinical Consultant - Old Contract (GP)"),$B61&lt;&gt;""),$C61*$AD$3,IF(AND(OR($B$4="APM Level 7",$B$4="R&amp;T Level 7"),G61&lt;&gt;""),$C61*$AD$3,IF(SUMIF(Grades!$A:$A,$B$4,Grades!BQ:BQ)=1,$C61*$AD$3,"")))))))))</f>
        <v>-</v>
      </c>
      <c r="I61" s="27">
        <f ca="1">IF($B61="","",ROUND(($C61-(Thresholds_Rates!$C$5*12))*Thresholds_Rates!$C$10,0))</f>
        <v>7932</v>
      </c>
      <c r="J61" s="27" t="str">
        <f ca="1">IF(B61="","",IF(AND($B$4="Salary Points 2 to 57",B61&gt;$AA$3),"-",IF(SUMIF(Grades!$A:$A,$B$4,Grades!BR:BR)=0,"-",IF(AND($B$4="Salary Points 2 to 57",B61&lt;=$AA$3),$C61*$AD$4,IF(AND(OR($B$4="New Consultant Contract"),$B61&lt;&gt;""),$C61*$AD$4,IF(AND(OR($B$4="Clinical Lecturer / Medical Research Fellow",$B$4="Clinical Consultant - Old Contract (GP)"),$B61&lt;&gt;""),$C61*$AD$4,IF(AND(OR($B$4="APM Level 7",$B$4="R&amp;T Level 7"),I61&lt;&gt;""),$C61*$AD$4,IF(SUMIF(Grades!$A:$A,$B$4,Grades!BQ:BQ)=1,$C61*$AD$4,""))))))))</f>
        <v>-</v>
      </c>
      <c r="K61" s="6"/>
      <c r="L61" s="27">
        <f t="shared" ca="1" si="0"/>
        <v>82674.05</v>
      </c>
      <c r="M61" s="27" t="str">
        <f t="shared" ca="1" si="1"/>
        <v>-</v>
      </c>
      <c r="N61" s="27" t="str">
        <f t="shared" ca="1" si="2"/>
        <v>-</v>
      </c>
      <c r="O61" s="27" t="str">
        <f t="shared" ca="1" si="3"/>
        <v>-</v>
      </c>
      <c r="P61" s="27">
        <f t="shared" ca="1" si="4"/>
        <v>73369</v>
      </c>
      <c r="R61" s="31" t="str">
        <f ca="1">IF(B61="","",IF($B$4="R&amp;T Level 5 - Clinical Lecturers (Vet School)",SUMIF(Points_Lookup!$M:$M,$B61,Points_Lookup!N:N),IF($B$4="R&amp;T Level 6 - Clinical Associate Professors and Clinical Readers (Vet School)",SUMIF(Points_Lookup!$T:$T,$B61,Points_Lookup!U:U),"")))</f>
        <v/>
      </c>
      <c r="S61" s="32" t="str">
        <f ca="1">IF(B61="","",IF($B$4="R&amp;T Level 5 - Clinical Lecturers (Vet School)",$C61-SUMIF(Points_Lookup!$M:$M,$B61,Points_Lookup!$O:$O),IF($B$4="R&amp;T Level 6 - Clinical Associate Professors and Clinical Readers (Vet School)",$C61-SUMIF(Points_Lookup!$T:$T,$B61,Points_Lookup!$V:$V),"")))</f>
        <v/>
      </c>
      <c r="T61" s="31" t="str">
        <f ca="1">IF(B61="","",IF($B$4="R&amp;T Level 5 - Clinical Lecturers (Vet School)",SUMIF(Points_Lookup!$M:$M,$B61,Points_Lookup!Q:Q),IF($B$4="R&amp;T Level 6 - Clinical Associate Professors and Clinical Readers (Vet School)",SUMIF(Points_Lookup!$T:$T,$B61,Points_Lookup!X:X),"")))</f>
        <v/>
      </c>
      <c r="U61" s="32" t="str">
        <f t="shared" ca="1" si="5"/>
        <v/>
      </c>
      <c r="Z61" s="28">
        <v>54</v>
      </c>
    </row>
    <row r="62" spans="2:26" x14ac:dyDescent="0.25">
      <c r="B62" s="6">
        <f ca="1">IFERROR(INDEX(Points_Lookup!A:A,MATCH($Z62,Points_Lookup!$AE:$AE,0)),"")</f>
        <v>56</v>
      </c>
      <c r="C62" s="27">
        <f ca="1">IF(B62="","",IF($B$4="Apprenticeship",SUMIF(Points_Lookup!AA:AA,B62,Points_Lookup!AC:AC),IF(AND(OR($B$4="New Consultant Contract"),$B62&lt;&gt;""),INDEX(Points_Lookup!K:K,MATCH($B62,Points_Lookup!$J:$J,0)),IF(AND(OR($B$4="Clinical Lecturer / Medical Research Fellow",$B$4="Clinical Consultant - Old Contract (GP)"),$B62&lt;&gt;""),INDEX(Points_Lookup!H:H,MATCH($B62,Points_Lookup!$G:$G,0)),IF(AND(OR($B$4="APM Level 7",$B$4="R&amp;T Level 7",$B$4="APM Level 8"),B62&lt;&gt;""),INDEX(Points_Lookup!E:E,MATCH($Z62,Points_Lookup!$AE:$AE,0)),IF($B$4="R&amp;T Level 5 - Clinical Lecturers (Vet School)",SUMIF(Points_Lookup!$M:$M,$B62,Points_Lookup!$P:$P),IF($B$4="R&amp;T Level 6 - Clinical Associate Professors and Clinical Readers (Vet School)",SUMIF(Points_Lookup!$T:$T,$B62,Points_Lookup!$W:$W),IFERROR(INDEX(Points_Lookup!B:B,MATCH($Z62,Points_Lookup!$AE:$AE,0)),""))))))))</f>
        <v>67394</v>
      </c>
      <c r="D62" s="45"/>
      <c r="E62" s="27">
        <f ca="1">IF($B62="","",IF($B$4="Apprenticeship","-",SUM(IF(SUM(C62/12)&lt;Thresholds_Rates!$C$7,(SUM(C62/12)-Thresholds_Rates!$C$5)*Thresholds_Rates!$C$9,(Thresholds_Rates!$C$7-Thresholds_Rates!$C$5)*Thresholds_Rates!$C$9),IF(SUM(C62/12)&gt;Thresholds_Rates!$C$7,((SUM(C62/12)-Thresholds_Rates!$C$7)*Thresholds_Rates!$C$10),0),SUM(Thresholds_Rates!$C$5-Thresholds_Rates!$C$4)*-Thresholds_Rates!$C$8)*12))</f>
        <v>7037.1960000000017</v>
      </c>
      <c r="F62" s="27">
        <f ca="1">IF($B62="","",IF(AND($B$4="Salary Points 2 to 57",B62&lt;$AA$2),"-",IF(SUMIF(Grades!$A:$A,$B$4,Grades!BO:BO)=0,"-",IF(AND($B$4="Salary Points 2 to 57",B62&gt;=$AA$2),$C62*$AD$1,IF(AND(OR($B$4="New Consultant Contract"),$B62&lt;&gt;""),$C62*$AD$1,IF(AND(OR($B$4="Clinical Lecturer / Medical Research Fellow",$B$4="Clinical Consultant - Old Contract (GP)"),$B62&lt;&gt;""),$C62*$AD$1,IF(AND(OR($B$4="APM Level 7",$B$4="R&amp;T Level 7"),E62&lt;&gt;""),$C62*$AD$1,IF(SUMIF(Grades!$A:$A,$B$4,Grades!BO:BO)=1,$C62*$AD$1,""))))))))</f>
        <v>10783.04</v>
      </c>
      <c r="G62" s="27" t="str">
        <f ca="1">IF(B62="","",IF($B$4="Salary Points 2 to 57","-",IF(SUMIF(Grades!$A:$A,$B$4,Grades!BP:BP)=0,"-",IF(AND(OR($B$4="New Consultant Contract"),$B62&lt;&gt;""),$C62*$AD$2,IF(AND(OR($B$4="Clinical Lecturer / Medical Research Fellow",$B$4="Clinical Consultant - Old Contract (GP)"),$B62&lt;&gt;""),$C62*$AD$2,IF(AND(OR($B$4="APM Level 7",$B$4="R&amp;T Level 7"),F62&lt;&gt;""),$C62*$AD$2,IF(SUMIF(Grades!$A:$A,$B$4,Grades!BP:BP)=1,$C62*$AD$2,"")))))))</f>
        <v>-</v>
      </c>
      <c r="H62" s="27" t="str">
        <f ca="1">IF($B$4="Apprenticeship","-",IF(B62="","",IF(SUMIF(Grades!$A:$A,$B$4,Grades!BQ:BQ)=0,"-",IF(AND($B$4="Salary Points 2 to 57",B62&gt;$AA$3),"-",IF(AND($B$4="Salary Points 2 to 57",B62&lt;=$AA$3),$C62*$AD$3,IF(AND(OR($B$4="New Consultant Contract"),$B62&lt;&gt;""),$C62*$AD$3,IF(AND(OR($B$4="Clinical Lecturer / Medical Research Fellow",$B$4="Clinical Consultant - Old Contract (GP)"),$B62&lt;&gt;""),$C62*$AD$3,IF(AND(OR($B$4="APM Level 7",$B$4="R&amp;T Level 7"),G62&lt;&gt;""),$C62*$AD$3,IF(SUMIF(Grades!$A:$A,$B$4,Grades!BQ:BQ)=1,$C62*$AD$3,"")))))))))</f>
        <v>-</v>
      </c>
      <c r="I62" s="27">
        <f ca="1">IF($B62="","",ROUND(($C62-(Thresholds_Rates!$C$5*12))*Thresholds_Rates!$C$10,0))</f>
        <v>8202</v>
      </c>
      <c r="J62" s="27" t="str">
        <f ca="1">IF(B62="","",IF(AND($B$4="Salary Points 2 to 57",B62&gt;$AA$3),"-",IF(SUMIF(Grades!$A:$A,$B$4,Grades!BR:BR)=0,"-",IF(AND($B$4="Salary Points 2 to 57",B62&lt;=$AA$3),$C62*$AD$4,IF(AND(OR($B$4="New Consultant Contract"),$B62&lt;&gt;""),$C62*$AD$4,IF(AND(OR($B$4="Clinical Lecturer / Medical Research Fellow",$B$4="Clinical Consultant - Old Contract (GP)"),$B62&lt;&gt;""),$C62*$AD$4,IF(AND(OR($B$4="APM Level 7",$B$4="R&amp;T Level 7"),I62&lt;&gt;""),$C62*$AD$4,IF(SUMIF(Grades!$A:$A,$B$4,Grades!BQ:BQ)=1,$C62*$AD$4,""))))))))</f>
        <v>-</v>
      </c>
      <c r="K62" s="6"/>
      <c r="L62" s="27">
        <f t="shared" ca="1" si="0"/>
        <v>85214.236000000004</v>
      </c>
      <c r="M62" s="27" t="str">
        <f t="shared" ca="1" si="1"/>
        <v>-</v>
      </c>
      <c r="N62" s="27" t="str">
        <f t="shared" ca="1" si="2"/>
        <v>-</v>
      </c>
      <c r="O62" s="27" t="str">
        <f t="shared" ca="1" si="3"/>
        <v>-</v>
      </c>
      <c r="P62" s="27">
        <f t="shared" ca="1" si="4"/>
        <v>75596</v>
      </c>
      <c r="R62" s="31" t="str">
        <f ca="1">IF(B62="","",IF($B$4="R&amp;T Level 5 - Clinical Lecturers (Vet School)",SUMIF(Points_Lookup!$M:$M,$B62,Points_Lookup!N:N),IF($B$4="R&amp;T Level 6 - Clinical Associate Professors and Clinical Readers (Vet School)",SUMIF(Points_Lookup!$T:$T,$B62,Points_Lookup!U:U),"")))</f>
        <v/>
      </c>
      <c r="S62" s="32" t="str">
        <f ca="1">IF(B62="","",IF($B$4="R&amp;T Level 5 - Clinical Lecturers (Vet School)",$C62-SUMIF(Points_Lookup!$M:$M,$B62,Points_Lookup!$O:$O),IF($B$4="R&amp;T Level 6 - Clinical Associate Professors and Clinical Readers (Vet School)",$C62-SUMIF(Points_Lookup!$T:$T,$B62,Points_Lookup!$V:$V),"")))</f>
        <v/>
      </c>
      <c r="T62" s="31" t="str">
        <f ca="1">IF(B62="","",IF($B$4="R&amp;T Level 5 - Clinical Lecturers (Vet School)",SUMIF(Points_Lookup!$M:$M,$B62,Points_Lookup!Q:Q),IF($B$4="R&amp;T Level 6 - Clinical Associate Professors and Clinical Readers (Vet School)",SUMIF(Points_Lookup!$T:$T,$B62,Points_Lookup!X:X),"")))</f>
        <v/>
      </c>
      <c r="U62" s="32" t="str">
        <f t="shared" ca="1" si="5"/>
        <v/>
      </c>
      <c r="Z62" s="28">
        <v>55</v>
      </c>
    </row>
    <row r="63" spans="2:26" x14ac:dyDescent="0.25">
      <c r="B63" s="6">
        <f ca="1">IFERROR(INDEX(Points_Lookup!A:A,MATCH($Z63,Points_Lookup!$AE:$AE,0)),"")</f>
        <v>57</v>
      </c>
      <c r="C63" s="27">
        <f ca="1">IF(B63="","",IF($B$4="Apprenticeship",SUMIF(Points_Lookup!AA:AA,B63,Points_Lookup!AC:AC),IF(AND(OR($B$4="New Consultant Contract"),$B63&lt;&gt;""),INDEX(Points_Lookup!K:K,MATCH($B63,Points_Lookup!$J:$J,0)),IF(AND(OR($B$4="Clinical Lecturer / Medical Research Fellow",$B$4="Clinical Consultant - Old Contract (GP)"),$B63&lt;&gt;""),INDEX(Points_Lookup!H:H,MATCH($B63,Points_Lookup!$G:$G,0)),IF(AND(OR($B$4="APM Level 7",$B$4="R&amp;T Level 7",$B$4="APM Level 8"),B63&lt;&gt;""),INDEX(Points_Lookup!E:E,MATCH($Z63,Points_Lookup!$AE:$AE,0)),IF($B$4="R&amp;T Level 5 - Clinical Lecturers (Vet School)",SUMIF(Points_Lookup!$M:$M,$B63,Points_Lookup!$P:$P),IF($B$4="R&amp;T Level 6 - Clinical Associate Professors and Clinical Readers (Vet School)",SUMIF(Points_Lookup!$T:$T,$B63,Points_Lookup!$W:$W),IFERROR(INDEX(Points_Lookup!B:B,MATCH($Z63,Points_Lookup!$AE:$AE,0)),""))))))))</f>
        <v>69412</v>
      </c>
      <c r="D63" s="45"/>
      <c r="E63" s="27">
        <f ca="1">IF($B63="","",IF($B$4="Apprenticeship","-",SUM(IF(SUM(C63/12)&lt;Thresholds_Rates!$C$7,(SUM(C63/12)-Thresholds_Rates!$C$5)*Thresholds_Rates!$C$9,(Thresholds_Rates!$C$7-Thresholds_Rates!$C$5)*Thresholds_Rates!$C$9),IF(SUM(C63/12)&gt;Thresholds_Rates!$C$7,((SUM(C63/12)-Thresholds_Rates!$C$7)*Thresholds_Rates!$C$10),0),SUM(Thresholds_Rates!$C$5-Thresholds_Rates!$C$4)*-Thresholds_Rates!$C$8)*12))</f>
        <v>7315.68</v>
      </c>
      <c r="F63" s="27">
        <f ca="1">IF($B63="","",IF(AND($B$4="Salary Points 2 to 57",B63&lt;$AA$2),"-",IF(SUMIF(Grades!$A:$A,$B$4,Grades!BO:BO)=0,"-",IF(AND($B$4="Salary Points 2 to 57",B63&gt;=$AA$2),$C63*$AD$1,IF(AND(OR($B$4="New Consultant Contract"),$B63&lt;&gt;""),$C63*$AD$1,IF(AND(OR($B$4="Clinical Lecturer / Medical Research Fellow",$B$4="Clinical Consultant - Old Contract (GP)"),$B63&lt;&gt;""),$C63*$AD$1,IF(AND(OR($B$4="APM Level 7",$B$4="R&amp;T Level 7"),E63&lt;&gt;""),$C63*$AD$1,IF(SUMIF(Grades!$A:$A,$B$4,Grades!BO:BO)=1,$C63*$AD$1,""))))))))</f>
        <v>11105.92</v>
      </c>
      <c r="G63" s="27" t="str">
        <f ca="1">IF(B63="","",IF($B$4="Salary Points 2 to 57","-",IF(SUMIF(Grades!$A:$A,$B$4,Grades!BP:BP)=0,"-",IF(AND(OR($B$4="New Consultant Contract"),$B63&lt;&gt;""),$C63*$AD$2,IF(AND(OR($B$4="Clinical Lecturer / Medical Research Fellow",$B$4="Clinical Consultant - Old Contract (GP)"),$B63&lt;&gt;""),$C63*$AD$2,IF(AND(OR($B$4="APM Level 7",$B$4="R&amp;T Level 7"),F63&lt;&gt;""),$C63*$AD$2,IF(SUMIF(Grades!$A:$A,$B$4,Grades!BP:BP)=1,$C63*$AD$2,"")))))))</f>
        <v>-</v>
      </c>
      <c r="H63" s="27" t="str">
        <f ca="1">IF($B$4="Apprenticeship","-",IF(B63="","",IF(SUMIF(Grades!$A:$A,$B$4,Grades!BQ:BQ)=0,"-",IF(AND($B$4="Salary Points 2 to 57",B63&gt;$AA$3),"-",IF(AND($B$4="Salary Points 2 to 57",B63&lt;=$AA$3),$C63*$AD$3,IF(AND(OR($B$4="New Consultant Contract"),$B63&lt;&gt;""),$C63*$AD$3,IF(AND(OR($B$4="Clinical Lecturer / Medical Research Fellow",$B$4="Clinical Consultant - Old Contract (GP)"),$B63&lt;&gt;""),$C63*$AD$3,IF(AND(OR($B$4="APM Level 7",$B$4="R&amp;T Level 7"),G63&lt;&gt;""),$C63*$AD$3,IF(SUMIF(Grades!$A:$A,$B$4,Grades!BQ:BQ)=1,$C63*$AD$3,"")))))))))</f>
        <v>-</v>
      </c>
      <c r="I63" s="27">
        <f ca="1">IF($B63="","",ROUND(($C63-(Thresholds_Rates!$C$5*12))*Thresholds_Rates!$C$10,0))</f>
        <v>8481</v>
      </c>
      <c r="J63" s="27" t="str">
        <f ca="1">IF(B63="","",IF(AND($B$4="Salary Points 2 to 57",B63&gt;$AA$3),"-",IF(SUMIF(Grades!$A:$A,$B$4,Grades!BR:BR)=0,"-",IF(AND($B$4="Salary Points 2 to 57",B63&lt;=$AA$3),$C63*$AD$4,IF(AND(OR($B$4="New Consultant Contract"),$B63&lt;&gt;""),$C63*$AD$4,IF(AND(OR($B$4="Clinical Lecturer / Medical Research Fellow",$B$4="Clinical Consultant - Old Contract (GP)"),$B63&lt;&gt;""),$C63*$AD$4,IF(AND(OR($B$4="APM Level 7",$B$4="R&amp;T Level 7"),I63&lt;&gt;""),$C63*$AD$4,IF(SUMIF(Grades!$A:$A,$B$4,Grades!BQ:BQ)=1,$C63*$AD$4,""))))))))</f>
        <v>-</v>
      </c>
      <c r="K63" s="6"/>
      <c r="L63" s="27">
        <f t="shared" ca="1" si="0"/>
        <v>87833.599999999991</v>
      </c>
      <c r="M63" s="27" t="str">
        <f t="shared" ca="1" si="1"/>
        <v>-</v>
      </c>
      <c r="N63" s="27" t="str">
        <f t="shared" ca="1" si="2"/>
        <v>-</v>
      </c>
      <c r="O63" s="27" t="str">
        <f t="shared" ca="1" si="3"/>
        <v>-</v>
      </c>
      <c r="P63" s="27">
        <f t="shared" ca="1" si="4"/>
        <v>77893</v>
      </c>
      <c r="R63" s="31" t="str">
        <f ca="1">IF(B63="","",IF($B$4="R&amp;T Level 5 - Clinical Lecturers (Vet School)",SUMIF(Points_Lookup!$M:$M,$B63,Points_Lookup!N:N),IF($B$4="R&amp;T Level 6 - Clinical Associate Professors and Clinical Readers (Vet School)",SUMIF(Points_Lookup!$T:$T,$B63,Points_Lookup!U:U),"")))</f>
        <v/>
      </c>
      <c r="S63" s="32" t="str">
        <f ca="1">IF(B63="","",IF($B$4="R&amp;T Level 5 - Clinical Lecturers (Vet School)",$C63-SUMIF(Points_Lookup!$M:$M,$B63,Points_Lookup!$O:$O),IF($B$4="R&amp;T Level 6 - Clinical Associate Professors and Clinical Readers (Vet School)",$C63-SUMIF(Points_Lookup!$T:$T,$B63,Points_Lookup!$V:$V),"")))</f>
        <v/>
      </c>
      <c r="T63" s="31" t="str">
        <f ca="1">IF(B63="","",IF($B$4="R&amp;T Level 5 - Clinical Lecturers (Vet School)",SUMIF(Points_Lookup!$M:$M,$B63,Points_Lookup!Q:Q),IF($B$4="R&amp;T Level 6 - Clinical Associate Professors and Clinical Readers (Vet School)",SUMIF(Points_Lookup!$T:$T,$B63,Points_Lookup!X:X),"")))</f>
        <v/>
      </c>
      <c r="U63" s="32" t="str">
        <f t="shared" ca="1" si="5"/>
        <v/>
      </c>
      <c r="Z63" s="28">
        <v>56</v>
      </c>
    </row>
    <row r="64" spans="2:26" x14ac:dyDescent="0.25">
      <c r="B64" s="6" t="str">
        <f ca="1">IFERROR(INDEX(Points_Lookup!A:A,MATCH($Z64,Points_Lookup!$AE:$AE,0)),"")</f>
        <v/>
      </c>
      <c r="C64" s="27" t="str">
        <f ca="1">IF(B64="","",IF($B$4="Apprenticeship",SUMIF(Points_Lookup!AA:AA,B64,Points_Lookup!AC:AC),IF(AND(OR($B$4="New Consultant Contract"),$B64&lt;&gt;""),INDEX(Points_Lookup!K:K,MATCH($B64,Points_Lookup!$J:$J,0)),IF(AND(OR($B$4="Clinical Lecturer / Medical Research Fellow",$B$4="Clinical Consultant - Old Contract (GP)"),$B64&lt;&gt;""),INDEX(Points_Lookup!H:H,MATCH($B64,Points_Lookup!$G:$G,0)),IF(AND(OR($B$4="APM Level 7",$B$4="R&amp;T Level 7",$B$4="APM Level 8"),B64&lt;&gt;""),INDEX(Points_Lookup!E:E,MATCH($Z64,Points_Lookup!$AE:$AE,0)),IF($B$4="R&amp;T Level 5 - Clinical Lecturers (Vet School)",SUMIF(Points_Lookup!$M:$M,$B64,Points_Lookup!$P:$P),IF($B$4="R&amp;T Level 6 - Clinical Associate Professors and Clinical Readers (Vet School)",SUMIF(Points_Lookup!$T:$T,$B64,Points_Lookup!$W:$W),IFERROR(INDEX(Points_Lookup!B:B,MATCH($Z64,Points_Lookup!$AE:$AE,0)),""))))))))</f>
        <v/>
      </c>
      <c r="D64" s="45"/>
      <c r="E64" s="27" t="str">
        <f ca="1">IF($B64="","",IF($B$4="Apprenticeship","-",SUM(IF(SUM(C64/12)&lt;Thresholds_Rates!$C$7,(SUM(C64/12)-Thresholds_Rates!$C$5)*Thresholds_Rates!$C$9,(Thresholds_Rates!$C$7-Thresholds_Rates!$C$5)*Thresholds_Rates!$C$9),IF(SUM(C64/12)&gt;Thresholds_Rates!$C$7,((SUM(C64/12)-Thresholds_Rates!$C$7)*Thresholds_Rates!$C$10),0),SUM(Thresholds_Rates!$C$5-Thresholds_Rates!$C$4)*-Thresholds_Rates!$C$8)*12))</f>
        <v/>
      </c>
      <c r="F64" s="27" t="str">
        <f ca="1">IF($B64="","",IF(AND($B$4="Salary Points 1 to 57",B64&lt;$AA$2),"-",IF(SUMIF(Grades!$A:$A,$B$4,Grades!BO:BO)=0,"-",IF(AND($B$4="Salary Points 1 to 57",B64&gt;=$AA$2),$C64*$AD$1,IF(AND(OR($B$4="New Consultant Contract"),$B64&lt;&gt;""),$C64*$AD$1,IF(AND(OR($B$4="Clinical Lecturer / Medical Research Fellow",$B$4="Clinical Consultant - Old Contract (GP)"),$B64&lt;&gt;""),$C64*$AD$1,IF(AND(OR($B$4="APM Level 7",$B$4="R&amp;T Level 7"),E64&lt;&gt;""),$C64*$AD$1,IF(SUMIF(Grades!$A:$A,$B$4,Grades!BO:BO)=1,$C64*$AD$1,""))))))))</f>
        <v/>
      </c>
      <c r="G64" s="27" t="str">
        <f ca="1">IF(B64="","",IF($B$4="Salary Points 1 to 57","-",IF(SUMIF(Grades!$A:$A,$B$4,Grades!BP:BP)=0,"-",IF(AND(OR($B$4="New Consultant Contract"),$B64&lt;&gt;""),$C64*$AD$2,IF(AND(OR($B$4="Clinical Lecturer / Medical Research Fellow",$B$4="Clinical Consultant - Old Contract (GP)"),$B64&lt;&gt;""),$C64*$AD$2,IF(AND(OR($B$4="APM Level 7",$B$4="R&amp;T Level 7"),F64&lt;&gt;""),$C64*$AD$2,IF(SUMIF(Grades!$A:$A,$B$4,Grades!BP:BP)=1,$C64*$AD$2,"")))))))</f>
        <v/>
      </c>
      <c r="H64" s="27" t="str">
        <f ca="1">IF(B64="","",IF(SUMIF(Grades!$A:$A,$B$4,Grades!BQ:BQ)=0,"-",IF(AND($B$4="Salary Points 1 to 57",B64&gt;$AA$3),"-",IF(AND($B$4="Salary Points 1 to 57",B64&lt;=$AA$3),$C64*$AD$3,IF(AND(OR($B$4="New Consultant Contract"),$B64&lt;&gt;""),$C64*$AD$3,IF(AND(OR($B$4="Clinical Lecturer / Medical Research Fellow",$B$4="Clinical Consultant - Old Contract (GP)"),$B64&lt;&gt;""),$C64*$AD$3,IF(AND(OR($B$4="APM Level 7",$B$4="R&amp;T Level 7"),G64&lt;&gt;""),$C64*$AD$3,IF(SUMIF(Grades!$A:$A,$B$4,Grades!BQ:BQ)=1,$C64*$AD$3,""))))))))</f>
        <v/>
      </c>
      <c r="I64" s="27" t="str">
        <f ca="1">IF($B64="","",ROUND(($C64-(Thresholds_Rates!$C$5*12))*Thresholds_Rates!$C$10,0))</f>
        <v/>
      </c>
      <c r="J64" s="27" t="str">
        <f ca="1">IF(B64="","",IF(AND($B$4="Salary Points 1 to 57",B64&gt;$AA$3),"-",IF(SUMIF(Grades!$A:$A,$B$4,Grades!BR:BR)=0,"-",IF(AND($B$4="Salary Points 1 to 57",B64&lt;=$AA$3),$C64*$AD$4,IF(AND(OR($B$4="New Consultant Contract"),$B64&lt;&gt;""),$C64*$AD$4,IF(AND(OR($B$4="Clinical Lecturer / Medical Research Fellow",$B$4="Clinical Consultant - Old Contract (GP)"),$B64&lt;&gt;""),$C64*$AD$4,IF(AND(OR($B$4="APM Level 7",$B$4="R&amp;T Level 7"),I64&lt;&gt;""),$C64*$AD$4,IF(SUMIF(Grades!$A:$A,$B$4,Grades!BQ:BQ)=1,$C64*$AD$4,""))))))))</f>
        <v/>
      </c>
      <c r="K64" s="6"/>
      <c r="L64" s="27" t="str">
        <f t="shared" ca="1" si="0"/>
        <v/>
      </c>
      <c r="M64" s="27" t="str">
        <f t="shared" ca="1" si="1"/>
        <v/>
      </c>
      <c r="N64" s="27" t="str">
        <f t="shared" ca="1" si="2"/>
        <v/>
      </c>
      <c r="O64" s="27" t="str">
        <f t="shared" ca="1" si="3"/>
        <v/>
      </c>
      <c r="P64" s="27" t="str">
        <f t="shared" ca="1" si="4"/>
        <v/>
      </c>
      <c r="R64" s="31" t="str">
        <f ca="1">IF(B64="","",IF($B$4="R&amp;T Level 5 - Clinical Lecturers (Vet School)",SUMIF(Points_Lookup!$M:$M,$B64,Points_Lookup!N:N),IF($B$4="R&amp;T Level 6 - Clinical Associate Professors and Clinical Readers (Vet School)",SUMIF(Points_Lookup!$T:$T,$B64,Points_Lookup!U:U),"")))</f>
        <v/>
      </c>
      <c r="S64" s="32" t="str">
        <f ca="1">IF(B64="","",IF($B$4="R&amp;T Level 5 - Clinical Lecturers (Vet School)",$C64-SUMIF(Points_Lookup!$M:$M,$B64,Points_Lookup!$O:$O),IF($B$4="R&amp;T Level 6 - Clinical Associate Professors and Clinical Readers (Vet School)",$C64-SUMIF(Points_Lookup!$T:$T,$B64,Points_Lookup!$V:$V),"")))</f>
        <v/>
      </c>
      <c r="T64" s="31" t="str">
        <f ca="1">IF(B64="","",IF($B$4="R&amp;T Level 5 - Clinical Lecturers (Vet School)",SUMIF(Points_Lookup!$M:$M,$B64,Points_Lookup!Q:Q),IF($B$4="R&amp;T Level 6 - Clinical Associate Professors and Clinical Readers (Vet School)",SUMIF(Points_Lookup!$T:$T,$B64,Points_Lookup!X:X),"")))</f>
        <v/>
      </c>
      <c r="U64" s="32" t="str">
        <f t="shared" ca="1" si="5"/>
        <v/>
      </c>
      <c r="Z64" s="28">
        <v>57</v>
      </c>
    </row>
    <row r="65" spans="2:21" x14ac:dyDescent="0.25">
      <c r="B65" s="6" t="str">
        <f ca="1">IFERROR(INDEX(Points_Lookup!A:A,MATCH($Z67,Points_Lookup!$AE:$AE,0)),"")</f>
        <v/>
      </c>
      <c r="C65" s="27" t="str">
        <f ca="1">IF(B65="","",IF($B$4="Apprenticeship",SUMIF(Points_Lookup!AA:AA,B65,Points_Lookup!AC:AC),IF(AND(OR($B$4="New Consultant Contract"),$B65&lt;&gt;""),INDEX(Points_Lookup!K:K,MATCH($B65,Points_Lookup!$J:$J,0)),IF(AND(OR($B$4="Clinical Lecturer / Medical Research Fellow",$B$4="Clinical Consultant - Old Contract (GP)"),$B65&lt;&gt;""),INDEX(Points_Lookup!H:H,MATCH($B65,Points_Lookup!$G:$G,0)),IF(AND(OR($B$4="APM Level 7",$B$4="R&amp;T Level 7",$B$4="APM Level 8"),B65&lt;&gt;""),INDEX(Points_Lookup!E:E,MATCH($Z65,Points_Lookup!$AE:$AE,0)),IF($B$4="R&amp;T Level 5 - Clinical Lecturers (Vet School)",SUMIF(Points_Lookup!$M:$M,$B65,Points_Lookup!$P:$P),IF($B$4="R&amp;T Level 6 - Clinical Associate Professors and Clinical Readers (Vet School)",SUMIF(Points_Lookup!$T:$T,$B65,Points_Lookup!$W:$W),IFERROR(INDEX(Points_Lookup!B:B,MATCH($Z65,Points_Lookup!$AE:$AE,0)),""))))))))</f>
        <v/>
      </c>
      <c r="D65" s="45"/>
      <c r="E65" s="27" t="str">
        <f ca="1">IF($B65="","",IF($B$4="Apprenticeship","-",SUM(IF(SUM(C65/12)&lt;Thresholds_Rates!$C$7,(SUM(C65/12)-Thresholds_Rates!$C$5)*Thresholds_Rates!$C$9,(Thresholds_Rates!$C$7-Thresholds_Rates!$C$5)*Thresholds_Rates!$C$9),IF(SUM(C65/12)&gt;Thresholds_Rates!$C$7,((SUM(C65/12)-Thresholds_Rates!$C$7)*Thresholds_Rates!$C$10),0),SUM(Thresholds_Rates!$C$5-Thresholds_Rates!$C$4)*-Thresholds_Rates!$C$8)*12))</f>
        <v/>
      </c>
      <c r="F65" s="27" t="str">
        <f ca="1">IF($B65="","",IF(AND($B$4="Salary Points 1 to 57",B65&lt;$AA$2),"-",IF(SUMIF(Grades!$A:$A,$B$4,Grades!BO:BO)=0,"-",IF(AND($B$4="Salary Points 1 to 57",B65&gt;=$AA$2),$C65*$AD$1,IF(AND(OR($B$4="New Consultant Contract"),$B65&lt;&gt;""),$C65*$AD$1,IF(AND(OR($B$4="Clinical Lecturer / Medical Research Fellow",$B$4="Clinical Consultant - Old Contract (GP)"),$B65&lt;&gt;""),$C65*$AD$1,IF(AND(OR($B$4="APM Level 7",$B$4="R&amp;T Level 7"),E65&lt;&gt;""),$C65*$AD$1,IF(SUMIF(Grades!$A:$A,$B$4,Grades!BO:BO)=1,$C65*$AD$1,""))))))))</f>
        <v/>
      </c>
      <c r="G65" s="27" t="str">
        <f ca="1">IF(B65="","",IF($B$4="Salary Points 1 to 57","-",IF(SUMIF(Grades!$A:$A,$B$4,Grades!BP:BP)=0,"-",IF(AND(OR($B$4="New Consultant Contract"),$B65&lt;&gt;""),$C65*$AD$2,IF(AND(OR($B$4="Clinical Lecturer / Medical Research Fellow",$B$4="Clinical Consultant - Old Contract (GP)"),$B65&lt;&gt;""),$C65*$AD$2,IF(AND(OR($B$4="APM Level 7",$B$4="R&amp;T Level 7"),F65&lt;&gt;""),$C65*$AD$2,IF(SUMIF(Grades!$A:$A,$B$4,Grades!BP:BP)=1,$C65*$AD$2,"")))))))</f>
        <v/>
      </c>
      <c r="H65" s="27" t="str">
        <f ca="1">IF(B65="","",IF(SUMIF(Grades!$A:$A,$B$4,Grades!BQ:BQ)=0,"-",IF(AND($B$4="Salary Points 1 to 57",B65&gt;$AA$3),"-",IF(AND($B$4="Salary Points 1 to 57",B65&lt;=$AA$3),$C65*$AD$3,IF(AND(OR($B$4="New Consultant Contract"),$B65&lt;&gt;""),$C65*$AD$3,IF(AND(OR($B$4="Clinical Lecturer / Medical Research Fellow",$B$4="Clinical Consultant - Old Contract (GP)"),$B65&lt;&gt;""),$C65*$AD$3,IF(AND(OR($B$4="APM Level 7",$B$4="R&amp;T Level 7"),G65&lt;&gt;""),$C65*$AD$3,IF(SUMIF(Grades!$A:$A,$B$4,Grades!BQ:BQ)=1,$C65*$AD$3,""))))))))</f>
        <v/>
      </c>
      <c r="I65" s="27" t="str">
        <f ca="1">IF($B65="","",ROUND(($C65-(Thresholds_Rates!$C$5*12))*Thresholds_Rates!$C$10,0))</f>
        <v/>
      </c>
      <c r="J65" s="27" t="str">
        <f ca="1">IF(B65="","",IF(AND($B$4="Salary Points 1 to 57",B65&gt;$AA$3),"-",IF(SUMIF(Grades!$A:$A,$B$4,Grades!BR:BR)=0,"-",IF(AND($B$4="Salary Points 1 to 57",B65&lt;=$AA$3),$C65*$AD$4,IF(AND(OR($B$4="New Consultant Contract"),$B65&lt;&gt;""),$C65*$AD$4,IF(AND(OR($B$4="Clinical Lecturer / Medical Research Fellow",$B$4="Clinical Consultant - Old Contract (GP)"),$B65&lt;&gt;""),$C65*$AD$4,IF(AND(OR($B$4="APM Level 7",$B$4="R&amp;T Level 7"),I65&lt;&gt;""),$C65*$AD$4,IF(SUMIF(Grades!$A:$A,$B$4,Grades!BQ:BQ)=1,$C65*$AD$4,""))))))))</f>
        <v/>
      </c>
      <c r="K65" s="6"/>
      <c r="L65" s="27" t="str">
        <f t="shared" ca="1" si="0"/>
        <v/>
      </c>
      <c r="M65" s="27" t="str">
        <f t="shared" ca="1" si="1"/>
        <v/>
      </c>
      <c r="N65" s="27" t="str">
        <f t="shared" ca="1" si="2"/>
        <v/>
      </c>
      <c r="O65" s="27" t="str">
        <f t="shared" ca="1" si="3"/>
        <v/>
      </c>
      <c r="P65" s="27" t="str">
        <f t="shared" ca="1" si="4"/>
        <v/>
      </c>
      <c r="R65" s="31" t="str">
        <f ca="1">IF(B65="","",IF($B$4="R&amp;T Level 5 - Clinical Lecturers (Vet School)",SUMIF(Points_Lookup!$M:$M,$B65,Points_Lookup!N:N),IF($B$4="R&amp;T Level 6 - Clinical Associate Professors and Clinical Readers (Vet School)",SUMIF(Points_Lookup!$T:$T,$B65,Points_Lookup!U:U),"")))</f>
        <v/>
      </c>
      <c r="S65" s="32" t="str">
        <f ca="1">IF(B65="","",IF($B$4="R&amp;T Level 5 - Clinical Lecturers (Vet School)",$C65-SUMIF(Points_Lookup!$M:$M,$B65,Points_Lookup!$O:$O),IF($B$4="R&amp;T Level 6 - Clinical Associate Professors and Clinical Readers (Vet School)",$C65-SUMIF(Points_Lookup!$T:$T,$B65,Points_Lookup!$V:$V),"")))</f>
        <v/>
      </c>
      <c r="T65" s="31" t="str">
        <f ca="1">IF(B65="","",IF($B$4="R&amp;T Level 5 - Clinical Lecturers (Vet School)",SUMIF(Points_Lookup!$M:$M,$B65,Points_Lookup!Q:Q),IF($B$4="R&amp;T Level 6 - Clinical Associate Professors and Clinical Readers (Vet School)",SUMIF(Points_Lookup!$T:$T,$B65,Points_Lookup!X:X),"")))</f>
        <v/>
      </c>
      <c r="U65" s="32" t="str">
        <f t="shared" ca="1" si="5"/>
        <v/>
      </c>
    </row>
    <row r="66" spans="2:21" x14ac:dyDescent="0.25">
      <c r="B66" s="6" t="str">
        <f ca="1">IFERROR(INDEX(Points_Lookup!A:A,MATCH($Z68,Points_Lookup!$AE:$AE,0)),"")</f>
        <v/>
      </c>
      <c r="C66" s="27" t="str">
        <f ca="1">IF(B66="","",IF($B$4="Apprenticeship",SUMIF(Points_Lookup!AA:AA,B66,Points_Lookup!AC:AC),IF(AND(OR($B$4="New Consultant Contract"),$B66&lt;&gt;""),INDEX(Points_Lookup!K:K,MATCH($B66,Points_Lookup!$J:$J,0)),IF(AND(OR($B$4="Clinical Lecturer / Medical Research Fellow",$B$4="Clinical Consultant - Old Contract (GP)"),$B66&lt;&gt;""),INDEX(Points_Lookup!H:H,MATCH($B66,Points_Lookup!$G:$G,0)),IF(AND(OR($B$4="APM Level 7",$B$4="R&amp;T Level 7",$B$4="APM Level 8"),B66&lt;&gt;""),INDEX(Points_Lookup!E:E,MATCH($Z66,Points_Lookup!$AE:$AE,0)),IF($B$4="R&amp;T Level 5 - Clinical Lecturers (Vet School)",SUMIF(Points_Lookup!$M:$M,$B66,Points_Lookup!$P:$P),IF($B$4="R&amp;T Level 6 - Clinical Associate Professors and Clinical Readers (Vet School)",SUMIF(Points_Lookup!$T:$T,$B66,Points_Lookup!$W:$W),IFERROR(INDEX(Points_Lookup!B:B,MATCH($Z66,Points_Lookup!$AE:$AE,0)),""))))))))</f>
        <v/>
      </c>
      <c r="D66" s="45"/>
      <c r="E66" s="27" t="str">
        <f ca="1">IF($B66="","",IF($B$4="Apprenticeship","-",SUM(IF(SUM(C66/12)&lt;Thresholds_Rates!$C$7,(SUM(C66/12)-Thresholds_Rates!$C$5)*Thresholds_Rates!$C$9,(Thresholds_Rates!$C$7-Thresholds_Rates!$C$5)*Thresholds_Rates!$C$9),IF(SUM(C66/12)&gt;Thresholds_Rates!$C$7,((SUM(C66/12)-Thresholds_Rates!$C$7)*Thresholds_Rates!$C$10),0),SUM(Thresholds_Rates!$C$5-Thresholds_Rates!$C$4)*-Thresholds_Rates!$C$8)*12))</f>
        <v/>
      </c>
      <c r="F66" s="27" t="str">
        <f ca="1">IF($B66="","",IF(AND($B$4="Salary Points 1 to 57",B66&lt;$AA$2),"-",IF(SUMIF(Grades!$A:$A,$B$4,Grades!BO:BO)=0,"-",IF(AND($B$4="Salary Points 1 to 57",B66&gt;=$AA$2),$C66*$AD$1,IF(AND(OR($B$4="New Consultant Contract"),$B66&lt;&gt;""),$C66*$AD$1,IF(AND(OR($B$4="Clinical Lecturer / Medical Research Fellow",$B$4="Clinical Consultant - Old Contract (GP)"),$B66&lt;&gt;""),$C66*$AD$1,IF(AND(OR($B$4="APM Level 7",$B$4="R&amp;T Level 7"),E66&lt;&gt;""),$C66*$AD$1,IF(SUMIF(Grades!$A:$A,$B$4,Grades!BO:BO)=1,$C66*$AD$1,""))))))))</f>
        <v/>
      </c>
      <c r="G66" s="27" t="str">
        <f ca="1">IF(B66="","",IF($B$4="Salary Points 1 to 57","-",IF(SUMIF(Grades!$A:$A,$B$4,Grades!BP:BP)=0,"-",IF(AND(OR($B$4="New Consultant Contract"),$B66&lt;&gt;""),$C66*$AD$2,IF(AND(OR($B$4="Clinical Lecturer / Medical Research Fellow",$B$4="Clinical Consultant - Old Contract (GP)"),$B66&lt;&gt;""),$C66*$AD$2,IF(AND(OR($B$4="APM Level 7",$B$4="R&amp;T Level 7"),F66&lt;&gt;""),$C66*$AD$2,IF(SUMIF(Grades!$A:$A,$B$4,Grades!BP:BP)=1,$C66*$AD$2,"")))))))</f>
        <v/>
      </c>
      <c r="H66" s="27" t="str">
        <f ca="1">IF(B66="","",IF(SUMIF(Grades!$A:$A,$B$4,Grades!BQ:BQ)=0,"-",IF(AND($B$4="Salary Points 1 to 57",B66&gt;$AA$3),"-",IF(AND($B$4="Salary Points 1 to 57",B66&lt;=$AA$3),$C66*$AD$3,IF(AND(OR($B$4="New Consultant Contract"),$B66&lt;&gt;""),$C66*$AD$3,IF(AND(OR($B$4="Clinical Lecturer / Medical Research Fellow",$B$4="Clinical Consultant - Old Contract (GP)"),$B66&lt;&gt;""),$C66*$AD$3,IF(AND(OR($B$4="APM Level 7",$B$4="R&amp;T Level 7"),G66&lt;&gt;""),$C66*$AD$3,IF(SUMIF(Grades!$A:$A,$B$4,Grades!BQ:BQ)=1,$C66*$AD$3,""))))))))</f>
        <v/>
      </c>
      <c r="I66" s="27" t="str">
        <f ca="1">IF($B66="","",ROUND(($C66-(Thresholds_Rates!$C$5*12))*Thresholds_Rates!$C$10,0))</f>
        <v/>
      </c>
      <c r="J66" s="27" t="str">
        <f ca="1">IF(B66="","",IF(AND($B$4="Salary Points 1 to 57",B66&gt;$AA$3),"-",IF(SUMIF(Grades!$A:$A,$B$4,Grades!BR:BR)=0,"-",IF(AND($B$4="Salary Points 1 to 57",B66&lt;=$AA$3),$C66*$AD$4,IF(AND(OR($B$4="New Consultant Contract"),$B66&lt;&gt;""),$C66*$AD$4,IF(AND(OR($B$4="Clinical Lecturer / Medical Research Fellow",$B$4="Clinical Consultant - Old Contract (GP)"),$B66&lt;&gt;""),$C66*$AD$4,IF(AND(OR($B$4="APM Level 7",$B$4="R&amp;T Level 7"),I66&lt;&gt;""),$C66*$AD$4,IF(SUMIF(Grades!$A:$A,$B$4,Grades!BQ:BQ)=1,$C66*$AD$4,""))))))))</f>
        <v/>
      </c>
      <c r="K66" s="6"/>
      <c r="L66" s="27" t="str">
        <f t="shared" ca="1" si="0"/>
        <v/>
      </c>
      <c r="M66" s="27" t="str">
        <f t="shared" ca="1" si="1"/>
        <v/>
      </c>
      <c r="N66" s="27" t="str">
        <f t="shared" ca="1" si="2"/>
        <v/>
      </c>
      <c r="O66" s="27" t="str">
        <f t="shared" ca="1" si="3"/>
        <v/>
      </c>
      <c r="P66" s="27" t="str">
        <f t="shared" ca="1" si="4"/>
        <v/>
      </c>
      <c r="R66" s="31" t="str">
        <f ca="1">IF(B66="","",IF($B$4="R&amp;T Level 5 - Clinical Lecturers (Vet School)",SUMIF(Points_Lookup!$M:$M,$B66,Points_Lookup!N:N),IF($B$4="R&amp;T Level 6 - Clinical Associate Professors and Clinical Readers (Vet School)",SUMIF(Points_Lookup!$T:$T,$B66,Points_Lookup!U:U),"")))</f>
        <v/>
      </c>
      <c r="S66" s="32" t="str">
        <f ca="1">IF(B66="","",IF($B$4="R&amp;T Level 5 - Clinical Lecturers (Vet School)",$C66-SUMIF(Points_Lookup!$M:$M,$B66,Points_Lookup!$O:$O),IF($B$4="R&amp;T Level 6 - Clinical Associate Professors and Clinical Readers (Vet School)",$C66-SUMIF(Points_Lookup!$T:$T,$B66,Points_Lookup!$V:$V),"")))</f>
        <v/>
      </c>
      <c r="T66" s="31" t="str">
        <f ca="1">IF(B66="","",IF($B$4="R&amp;T Level 5 - Clinical Lecturers (Vet School)",SUMIF(Points_Lookup!$M:$M,$B66,Points_Lookup!Q:Q),IF($B$4="R&amp;T Level 6 - Clinical Associate Professors and Clinical Readers (Vet School)",SUMIF(Points_Lookup!$T:$T,$B66,Points_Lookup!X:X),"")))</f>
        <v/>
      </c>
      <c r="U66" s="32" t="str">
        <f t="shared" ca="1" si="5"/>
        <v/>
      </c>
    </row>
    <row r="67" spans="2:21" x14ac:dyDescent="0.25">
      <c r="B67" s="6" t="str">
        <f ca="1">IFERROR(INDEX(Points_Lookup!A:A,MATCH($Z69,Points_Lookup!$AE:$AE,0)),"")</f>
        <v/>
      </c>
      <c r="C67" s="27" t="str">
        <f ca="1">IF(B67="","",IF($B$4="Apprenticeship",SUMIF(Points_Lookup!AA:AA,B67,Points_Lookup!AC:AC),IF(AND(OR($B$4="New Consultant Contract"),$B67&lt;&gt;""),INDEX(Points_Lookup!K:K,MATCH($B67,Points_Lookup!$J:$J,0)),IF(AND(OR($B$4="Clinical Lecturer / Medical Research Fellow",$B$4="Clinical Consultant - Old Contract (GP)"),$B67&lt;&gt;""),INDEX(Points_Lookup!H:H,MATCH($B67,Points_Lookup!$G:$G,0)),IF(AND(OR($B$4="APM Level 7",$B$4="R&amp;T Level 7",$B$4="APM Level 8"),B67&lt;&gt;""),INDEX(Points_Lookup!E:E,MATCH($Z67,Points_Lookup!$AE:$AE,0)),IF($B$4="R&amp;T Level 5 - Clinical Lecturers (Vet School)",SUMIF(Points_Lookup!$M:$M,$B67,Points_Lookup!$P:$P),IF($B$4="R&amp;T Level 6 - Clinical Associate Professors and Clinical Readers (Vet School)",SUMIF(Points_Lookup!$T:$T,$B67,Points_Lookup!$W:$W),IFERROR(INDEX(Points_Lookup!B:B,MATCH($Z67,Points_Lookup!$AE:$AE,0)),""))))))))</f>
        <v/>
      </c>
      <c r="D67" s="45"/>
      <c r="E67" s="27" t="str">
        <f ca="1">IF($B67="","",IF($B$4="Apprenticeship","-",SUM(IF(SUM(C67/12)&lt;Thresholds_Rates!$C$7,(SUM(C67/12)-Thresholds_Rates!$C$5)*Thresholds_Rates!$C$9,(Thresholds_Rates!$C$7-Thresholds_Rates!$C$5)*Thresholds_Rates!$C$9),IF(SUM(C67/12)&gt;Thresholds_Rates!$C$7,((SUM(C67/12)-Thresholds_Rates!$C$7)*Thresholds_Rates!$C$10),0),SUM(Thresholds_Rates!$C$5-Thresholds_Rates!$C$4)*-Thresholds_Rates!$C$8)*12))</f>
        <v/>
      </c>
      <c r="F67" s="27" t="str">
        <f ca="1">IF($B67="","",IF(AND($B$4="Salary Points 1 to 57",B67&lt;$AA$2),"-",IF(SUMIF(Grades!$A:$A,$B$4,Grades!BO:BO)=0,"-",IF(AND($B$4="Salary Points 1 to 57",B67&gt;=$AA$2),$C67*$AD$1,IF(AND(OR($B$4="New Consultant Contract"),$B67&lt;&gt;""),$C67*$AD$1,IF(AND(OR($B$4="Clinical Lecturer / Medical Research Fellow",$B$4="Clinical Consultant - Old Contract (GP)"),$B67&lt;&gt;""),$C67*$AD$1,IF(AND(OR($B$4="APM Level 7",$B$4="R&amp;T Level 7"),E67&lt;&gt;""),$C67*$AD$1,IF(SUMIF(Grades!$A:$A,$B$4,Grades!BO:BO)=1,$C67*$AD$1,""))))))))</f>
        <v/>
      </c>
      <c r="G67" s="27" t="str">
        <f ca="1">IF(B67="","",IF($B$4="Salary Points 1 to 57","-",IF(SUMIF(Grades!$A:$A,$B$4,Grades!BP:BP)=0,"-",IF(AND(OR($B$4="New Consultant Contract"),$B67&lt;&gt;""),$C67*$AD$2,IF(AND(OR($B$4="Clinical Lecturer / Medical Research Fellow",$B$4="Clinical Consultant - Old Contract (GP)"),$B67&lt;&gt;""),$C67*$AD$2,IF(AND(OR($B$4="APM Level 7",$B$4="R&amp;T Level 7"),F67&lt;&gt;""),$C67*$AD$2,IF(SUMIF(Grades!$A:$A,$B$4,Grades!BP:BP)=1,$C67*$AD$2,"")))))))</f>
        <v/>
      </c>
      <c r="H67" s="27" t="str">
        <f ca="1">IF(B67="","",IF(SUMIF(Grades!$A:$A,$B$4,Grades!BQ:BQ)=0,"-",IF(AND($B$4="Salary Points 1 to 57",B67&gt;$AA$3),"-",IF(AND($B$4="Salary Points 1 to 57",B67&lt;=$AA$3),$C67*$AD$3,IF(AND(OR($B$4="New Consultant Contract"),$B67&lt;&gt;""),$C67*$AD$3,IF(AND(OR($B$4="Clinical Lecturer / Medical Research Fellow",$B$4="Clinical Consultant - Old Contract (GP)"),$B67&lt;&gt;""),$C67*$AD$3,IF(AND(OR($B$4="APM Level 7",$B$4="R&amp;T Level 7"),G67&lt;&gt;""),$C67*$AD$3,IF(SUMIF(Grades!$A:$A,$B$4,Grades!BQ:BQ)=1,$C67*$AD$3,""))))))))</f>
        <v/>
      </c>
      <c r="I67" s="27" t="str">
        <f ca="1">IF($B67="","",ROUND(($C67-(Thresholds_Rates!$C$5*12))*Thresholds_Rates!$C$10,0))</f>
        <v/>
      </c>
      <c r="J67" s="27" t="str">
        <f ca="1">IF(B67="","",IF(AND($B$4="Salary Points 1 to 57",B67&gt;$AA$3),"-",IF(SUMIF(Grades!$A:$A,$B$4,Grades!BR:BR)=0,"-",IF(AND($B$4="Salary Points 1 to 57",B67&lt;=$AA$3),$C67*$AD$4,IF(AND(OR($B$4="New Consultant Contract"),$B67&lt;&gt;""),$C67*$AD$4,IF(AND(OR($B$4="Clinical Lecturer / Medical Research Fellow",$B$4="Clinical Consultant - Old Contract (GP)"),$B67&lt;&gt;""),$C67*$AD$4,IF(AND(OR($B$4="APM Level 7",$B$4="R&amp;T Level 7"),I67&lt;&gt;""),$C67*$AD$4,IF(SUMIF(Grades!$A:$A,$B$4,Grades!BQ:BQ)=1,$C67*$AD$4,""))))))))</f>
        <v/>
      </c>
      <c r="K67" s="6"/>
      <c r="L67" s="27" t="str">
        <f t="shared" ca="1" si="0"/>
        <v/>
      </c>
      <c r="M67" s="27" t="str">
        <f t="shared" ca="1" si="1"/>
        <v/>
      </c>
      <c r="N67" s="27" t="str">
        <f t="shared" ca="1" si="2"/>
        <v/>
      </c>
      <c r="O67" s="27" t="str">
        <f t="shared" ca="1" si="3"/>
        <v/>
      </c>
      <c r="P67" s="27" t="str">
        <f t="shared" ca="1" si="4"/>
        <v/>
      </c>
      <c r="R67" s="31" t="str">
        <f ca="1">IF(B67="","",IF($B$4="R&amp;T Level 5 - Clinical Lecturers (Vet School)",SUMIF(Points_Lookup!$M:$M,$B67,Points_Lookup!N:N),IF($B$4="R&amp;T Level 6 - Clinical Associate Professors and Clinical Readers (Vet School)",SUMIF(Points_Lookup!$T:$T,$B67,Points_Lookup!U:U),"")))</f>
        <v/>
      </c>
      <c r="S67" s="32" t="str">
        <f ca="1">IF(B67="","",IF($B$4="R&amp;T Level 5 - Clinical Lecturers (Vet School)",$C67-SUMIF(Points_Lookup!$M:$M,$B67,Points_Lookup!$O:$O),IF($B$4="R&amp;T Level 6 - Clinical Associate Professors and Clinical Readers (Vet School)",$C67-SUMIF(Points_Lookup!$T:$T,$B67,Points_Lookup!$V:$V),"")))</f>
        <v/>
      </c>
      <c r="T67" s="31" t="str">
        <f ca="1">IF(B67="","",IF($B$4="R&amp;T Level 5 - Clinical Lecturers (Vet School)",SUMIF(Points_Lookup!$M:$M,$B67,Points_Lookup!Q:Q),IF($B$4="R&amp;T Level 6 - Clinical Associate Professors and Clinical Readers (Vet School)",SUMIF(Points_Lookup!$T:$T,$B67,Points_Lookup!X:X),"")))</f>
        <v/>
      </c>
      <c r="U67" s="32" t="str">
        <f t="shared" ca="1" si="5"/>
        <v/>
      </c>
    </row>
    <row r="68" spans="2:21" x14ac:dyDescent="0.25">
      <c r="B68" s="6" t="str">
        <f ca="1">IFERROR(INDEX(Points_Lookup!A:A,MATCH($Z70,Points_Lookup!$AE:$AE,0)),"")</f>
        <v/>
      </c>
      <c r="C68" s="27" t="str">
        <f ca="1">IF(B68="","",IF($B$4="Apprenticeship",SUMIF(Points_Lookup!AA:AA,B68,Points_Lookup!AC:AC),IF(AND(OR($B$4="New Consultant Contract"),$B68&lt;&gt;""),INDEX(Points_Lookup!K:K,MATCH($B68,Points_Lookup!$J:$J,0)),IF(AND(OR($B$4="Clinical Lecturer / Medical Research Fellow",$B$4="Clinical Consultant - Old Contract (GP)"),$B68&lt;&gt;""),INDEX(Points_Lookup!H:H,MATCH($B68,Points_Lookup!$G:$G,0)),IF(AND(OR($B$4="APM Level 7",$B$4="R&amp;T Level 7",$B$4="APM Level 8"),B68&lt;&gt;""),INDEX(Points_Lookup!E:E,MATCH($Z68,Points_Lookup!$AE:$AE,0)),IF($B$4="R&amp;T Level 5 - Clinical Lecturers (Vet School)",SUMIF(Points_Lookup!$M:$M,$B68,Points_Lookup!$P:$P),IF($B$4="R&amp;T Level 6 - Clinical Associate Professors and Clinical Readers (Vet School)",SUMIF(Points_Lookup!$T:$T,$B68,Points_Lookup!$W:$W),IFERROR(INDEX(Points_Lookup!B:B,MATCH($Z68,Points_Lookup!$AE:$AE,0)),""))))))))</f>
        <v/>
      </c>
      <c r="D68" s="45"/>
      <c r="E68" s="27" t="str">
        <f ca="1">IF($B68="","",IF($B$4="Apprenticeship","-",SUM(IF(SUM(C68/12)&lt;Thresholds_Rates!$C$7,(SUM(C68/12)-Thresholds_Rates!$C$5)*Thresholds_Rates!$C$9,(Thresholds_Rates!$C$7-Thresholds_Rates!$C$5)*Thresholds_Rates!$C$9),IF(SUM(C68/12)&gt;Thresholds_Rates!$C$7,((SUM(C68/12)-Thresholds_Rates!$C$7)*Thresholds_Rates!$C$10),0),SUM(Thresholds_Rates!$C$5-Thresholds_Rates!$C$4)*-Thresholds_Rates!$C$8)*12))</f>
        <v/>
      </c>
      <c r="F68" s="27" t="str">
        <f ca="1">IF($B68="","",IF(AND($B$4="Salary Points 1 to 57",B68&lt;$AA$2),"-",IF(SUMIF(Grades!$A:$A,$B$4,Grades!BO:BO)=0,"-",IF(AND($B$4="Salary Points 1 to 57",B68&gt;=$AA$2),$C68*$AD$1,IF(AND(OR($B$4="New Consultant Contract"),$B68&lt;&gt;""),$C68*$AD$1,IF(AND(OR($B$4="Clinical Lecturer / Medical Research Fellow",$B$4="Clinical Consultant - Old Contract (GP)"),$B68&lt;&gt;""),$C68*$AD$1,IF(AND(OR($B$4="APM Level 7",$B$4="R&amp;T Level 7"),E68&lt;&gt;""),$C68*$AD$1,IF(SUMIF(Grades!$A:$A,$B$4,Grades!BO:BO)=1,$C68*$AD$1,""))))))))</f>
        <v/>
      </c>
      <c r="G68" s="27" t="str">
        <f ca="1">IF(B68="","",IF($B$4="Salary Points 1 to 57","-",IF(SUMIF(Grades!$A:$A,$B$4,Grades!BP:BP)=0,"-",IF(AND(OR($B$4="New Consultant Contract"),$B68&lt;&gt;""),$C68*$AD$2,IF(AND(OR($B$4="Clinical Lecturer / Medical Research Fellow",$B$4="Clinical Consultant - Old Contract (GP)"),$B68&lt;&gt;""),$C68*$AD$2,IF(AND(OR($B$4="APM Level 7",$B$4="R&amp;T Level 7"),F68&lt;&gt;""),$C68*$AD$2,IF(SUMIF(Grades!$A:$A,$B$4,Grades!BP:BP)=1,$C68*$AD$2,"")))))))</f>
        <v/>
      </c>
      <c r="H68" s="27" t="str">
        <f ca="1">IF(B68="","",IF(SUMIF(Grades!$A:$A,$B$4,Grades!BQ:BQ)=0,"-",IF(AND($B$4="Salary Points 1 to 57",B68&gt;$AA$3),"-",IF(AND($B$4="Salary Points 1 to 57",B68&lt;=$AA$3),$C68*$AD$3,IF(AND(OR($B$4="New Consultant Contract"),$B68&lt;&gt;""),$C68*$AD$3,IF(AND(OR($B$4="Clinical Lecturer / Medical Research Fellow",$B$4="Clinical Consultant - Old Contract (GP)"),$B68&lt;&gt;""),$C68*$AD$3,IF(AND(OR($B$4="APM Level 7",$B$4="R&amp;T Level 7"),G68&lt;&gt;""),$C68*$AD$3,IF(SUMIF(Grades!$A:$A,$B$4,Grades!BQ:BQ)=1,$C68*$AD$3,""))))))))</f>
        <v/>
      </c>
      <c r="I68" s="27" t="str">
        <f ca="1">IF($B68="","",ROUND(($C68-(Thresholds_Rates!$C$5*12))*Thresholds_Rates!$C$10,0))</f>
        <v/>
      </c>
      <c r="J68" s="27" t="str">
        <f ca="1">IF(B68="","",IF(AND($B$4="Salary Points 1 to 57",B68&gt;$AA$3),"-",IF(SUMIF(Grades!$A:$A,$B$4,Grades!BR:BR)=0,"-",IF(AND($B$4="Salary Points 1 to 57",B68&lt;=$AA$3),$C68*$AD$4,IF(AND(OR($B$4="New Consultant Contract"),$B68&lt;&gt;""),$C68*$AD$4,IF(AND(OR($B$4="Clinical Lecturer / Medical Research Fellow",$B$4="Clinical Consultant - Old Contract (GP)"),$B68&lt;&gt;""),$C68*$AD$4,IF(AND(OR($B$4="APM Level 7",$B$4="R&amp;T Level 7"),I68&lt;&gt;""),$C68*$AD$4,IF(SUMIF(Grades!$A:$A,$B$4,Grades!BQ:BQ)=1,$C68*$AD$4,""))))))))</f>
        <v/>
      </c>
      <c r="K68" s="6"/>
      <c r="L68" s="27" t="str">
        <f t="shared" ca="1" si="0"/>
        <v/>
      </c>
      <c r="M68" s="27" t="str">
        <f t="shared" ca="1" si="1"/>
        <v/>
      </c>
      <c r="N68" s="27" t="str">
        <f t="shared" ca="1" si="2"/>
        <v/>
      </c>
      <c r="O68" s="27" t="str">
        <f t="shared" ca="1" si="3"/>
        <v/>
      </c>
      <c r="P68" s="27" t="str">
        <f t="shared" ca="1" si="4"/>
        <v/>
      </c>
      <c r="R68" s="31" t="str">
        <f ca="1">IF(B68="","",IF($B$4="R&amp;T Level 5 - Clinical Lecturers (Vet School)",SUMIF(Points_Lookup!$M:$M,$B68,Points_Lookup!N:N),IF($B$4="R&amp;T Level 6 - Clinical Associate Professors and Clinical Readers (Vet School)",SUMIF(Points_Lookup!$T:$T,$B68,Points_Lookup!U:U),"")))</f>
        <v/>
      </c>
      <c r="S68" s="32" t="str">
        <f ca="1">IF(B68="","",IF($B$4="R&amp;T Level 5 - Clinical Lecturers (Vet School)",$C68-SUMIF(Points_Lookup!$M:$M,$B68,Points_Lookup!$O:$O),IF($B$4="R&amp;T Level 6 - Clinical Associate Professors and Clinical Readers (Vet School)",$C68-SUMIF(Points_Lookup!$T:$T,$B68,Points_Lookup!$V:$V),"")))</f>
        <v/>
      </c>
      <c r="T68" s="31" t="str">
        <f ca="1">IF(B68="","",IF($B$4="R&amp;T Level 5 - Clinical Lecturers (Vet School)",SUMIF(Points_Lookup!$M:$M,$B68,Points_Lookup!Q:Q),IF($B$4="R&amp;T Level 6 - Clinical Associate Professors and Clinical Readers (Vet School)",SUMIF(Points_Lookup!$T:$T,$B68,Points_Lookup!X:X),"")))</f>
        <v/>
      </c>
      <c r="U68" s="32" t="str">
        <f t="shared" ca="1" si="5"/>
        <v/>
      </c>
    </row>
    <row r="69" spans="2:21" x14ac:dyDescent="0.25">
      <c r="B69" s="6" t="str">
        <f ca="1">IFERROR(INDEX(Points_Lookup!A:A,MATCH($Z71,Points_Lookup!$AE:$AE,0)),"")</f>
        <v/>
      </c>
      <c r="C69" s="27" t="str">
        <f ca="1">IF(B69="","",IF($B$4="Apprenticeship",SUMIF(Points_Lookup!AA:AA,B69,Points_Lookup!AC:AC),IF(AND(OR($B$4="New Consultant Contract"),$B69&lt;&gt;""),INDEX(Points_Lookup!K:K,MATCH($B69,Points_Lookup!$J:$J,0)),IF(AND(OR($B$4="Clinical Lecturer / Medical Research Fellow",$B$4="Clinical Consultant - Old Contract (GP)"),$B69&lt;&gt;""),INDEX(Points_Lookup!H:H,MATCH($B69,Points_Lookup!$G:$G,0)),IF(AND(OR($B$4="APM Level 7",$B$4="R&amp;T Level 7",$B$4="APM Level 8"),B69&lt;&gt;""),INDEX(Points_Lookup!E:E,MATCH($Z69,Points_Lookup!$AE:$AE,0)),IF($B$4="R&amp;T Level 5 - Clinical Lecturers (Vet School)",SUMIF(Points_Lookup!$M:$M,$B69,Points_Lookup!$P:$P),IF($B$4="R&amp;T Level 6 - Clinical Associate Professors and Clinical Readers (Vet School)",SUMIF(Points_Lookup!$T:$T,$B69,Points_Lookup!$W:$W),IFERROR(INDEX(Points_Lookup!B:B,MATCH($Z69,Points_Lookup!$AE:$AE,0)),""))))))))</f>
        <v/>
      </c>
      <c r="D69" s="45"/>
      <c r="E69" s="27" t="str">
        <f ca="1">IF($B69="","",IF($B$4="Apprenticeship","-",SUM(IF(SUM(C69/12)&lt;Thresholds_Rates!$C$7,(SUM(C69/12)-Thresholds_Rates!$C$5)*Thresholds_Rates!$C$9,(Thresholds_Rates!$C$7-Thresholds_Rates!$C$5)*Thresholds_Rates!$C$9),IF(SUM(C69/12)&gt;Thresholds_Rates!$C$7,((SUM(C69/12)-Thresholds_Rates!$C$7)*Thresholds_Rates!$C$10),0),SUM(Thresholds_Rates!$C$5-Thresholds_Rates!$C$4)*-Thresholds_Rates!$C$8)*12))</f>
        <v/>
      </c>
      <c r="F69" s="27" t="str">
        <f ca="1">IF($B69="","",IF(AND($B$4="Salary Points 1 to 57",B69&lt;$AA$2),"-",IF(SUMIF(Grades!$A:$A,$B$4,Grades!BO:BO)=0,"-",IF(AND($B$4="Salary Points 1 to 57",B69&gt;=$AA$2),$C69*$AD$1,IF(AND(OR($B$4="New Consultant Contract"),$B69&lt;&gt;""),$C69*$AD$1,IF(AND(OR($B$4="Clinical Lecturer / Medical Research Fellow",$B$4="Clinical Consultant - Old Contract (GP)"),$B69&lt;&gt;""),$C69*$AD$1,IF(AND(OR($B$4="APM Level 7",$B$4="R&amp;T Level 7"),E69&lt;&gt;""),$C69*$AD$1,IF(SUMIF(Grades!$A:$A,$B$4,Grades!BO:BO)=1,$C69*$AD$1,""))))))))</f>
        <v/>
      </c>
      <c r="G69" s="27" t="str">
        <f ca="1">IF(B69="","",IF($B$4="Salary Points 1 to 57","-",IF(SUMIF(Grades!$A:$A,$B$4,Grades!BP:BP)=0,"-",IF(AND(OR($B$4="New Consultant Contract"),$B69&lt;&gt;""),$C69*$AD$2,IF(AND(OR($B$4="Clinical Lecturer / Medical Research Fellow",$B$4="Clinical Consultant - Old Contract (GP)"),$B69&lt;&gt;""),$C69*$AD$2,IF(AND(OR($B$4="APM Level 7",$B$4="R&amp;T Level 7"),F69&lt;&gt;""),$C69*$AD$2,IF(SUMIF(Grades!$A:$A,$B$4,Grades!BP:BP)=1,$C69*$AD$2,"")))))))</f>
        <v/>
      </c>
      <c r="H69" s="27" t="str">
        <f ca="1">IF(B69="","",IF(SUMIF(Grades!$A:$A,$B$4,Grades!BQ:BQ)=0,"-",IF(AND($B$4="Salary Points 1 to 57",B69&gt;$AA$3),"-",IF(AND($B$4="Salary Points 1 to 57",B69&lt;=$AA$3),$C69*$AD$3,IF(AND(OR($B$4="New Consultant Contract"),$B69&lt;&gt;""),$C69*$AD$3,IF(AND(OR($B$4="Clinical Lecturer / Medical Research Fellow",$B$4="Clinical Consultant - Old Contract (GP)"),$B69&lt;&gt;""),$C69*$AD$3,IF(AND(OR($B$4="APM Level 7",$B$4="R&amp;T Level 7"),G69&lt;&gt;""),$C69*$AD$3,IF(SUMIF(Grades!$A:$A,$B$4,Grades!BQ:BQ)=1,$C69*$AD$3,""))))))))</f>
        <v/>
      </c>
      <c r="I69" s="27" t="str">
        <f ca="1">IF($B69="","",ROUND(($C69-(Thresholds_Rates!$C$5*12))*Thresholds_Rates!$C$10,0))</f>
        <v/>
      </c>
      <c r="J69" s="27" t="str">
        <f ca="1">IF(B69="","",IF(AND($B$4="Salary Points 1 to 57",B69&gt;$AA$3),"-",IF(SUMIF(Grades!$A:$A,$B$4,Grades!BR:BR)=0,"-",IF(AND($B$4="Salary Points 1 to 57",B69&lt;=$AA$3),$C69*$AD$4,IF(AND(OR($B$4="New Consultant Contract"),$B69&lt;&gt;""),$C69*$AD$4,IF(AND(OR($B$4="Clinical Lecturer / Medical Research Fellow",$B$4="Clinical Consultant - Old Contract (GP)"),$B69&lt;&gt;""),$C69*$AD$4,IF(AND(OR($B$4="APM Level 7",$B$4="R&amp;T Level 7"),I69&lt;&gt;""),$C69*$AD$4,IF(SUMIF(Grades!$A:$A,$B$4,Grades!BQ:BQ)=1,$C69*$AD$4,""))))))))</f>
        <v/>
      </c>
      <c r="K69" s="6"/>
      <c r="L69" s="27" t="str">
        <f t="shared" ca="1" si="0"/>
        <v/>
      </c>
      <c r="M69" s="27" t="str">
        <f t="shared" ca="1" si="1"/>
        <v/>
      </c>
      <c r="N69" s="27" t="str">
        <f t="shared" ca="1" si="2"/>
        <v/>
      </c>
      <c r="O69" s="27" t="str">
        <f t="shared" ca="1" si="3"/>
        <v/>
      </c>
      <c r="P69" s="27" t="str">
        <f t="shared" ca="1" si="4"/>
        <v/>
      </c>
      <c r="R69" s="31" t="str">
        <f ca="1">IF(B69="","",IF($B$4="R&amp;T Level 5 - Clinical Lecturers (Vet School)",SUMIF(Points_Lookup!$M:$M,$B69,Points_Lookup!N:N),IF($B$4="R&amp;T Level 6 - Clinical Associate Professors and Clinical Readers (Vet School)",SUMIF(Points_Lookup!$T:$T,$B69,Points_Lookup!U:U),"")))</f>
        <v/>
      </c>
      <c r="S69" s="32" t="str">
        <f ca="1">IF(B69="","",IF($B$4="R&amp;T Level 5 - Clinical Lecturers (Vet School)",$C69-SUMIF(Points_Lookup!$M:$M,$B69,Points_Lookup!$O:$O),IF($B$4="R&amp;T Level 6 - Clinical Associate Professors and Clinical Readers (Vet School)",$C69-SUMIF(Points_Lookup!$T:$T,$B69,Points_Lookup!$V:$V),"")))</f>
        <v/>
      </c>
      <c r="T69" s="31" t="str">
        <f ca="1">IF(B69="","",IF($B$4="R&amp;T Level 5 - Clinical Lecturers (Vet School)",SUMIF(Points_Lookup!$M:$M,$B69,Points_Lookup!Q:Q),IF($B$4="R&amp;T Level 6 - Clinical Associate Professors and Clinical Readers (Vet School)",SUMIF(Points_Lookup!$T:$T,$B69,Points_Lookup!X:X),"")))</f>
        <v/>
      </c>
      <c r="U69" s="32" t="str">
        <f t="shared" ca="1" si="5"/>
        <v/>
      </c>
    </row>
    <row r="70" spans="2:21" x14ac:dyDescent="0.25">
      <c r="B70" s="6" t="str">
        <f ca="1">IFERROR(INDEX(Points_Lookup!A:A,MATCH($Z72,Points_Lookup!$AE:$AE,0)),"")</f>
        <v/>
      </c>
      <c r="C70" s="27" t="str">
        <f ca="1">IF(B70="","",IF($B$4="Apprenticeship",SUMIF(Points_Lookup!AA:AA,B70,Points_Lookup!AC:AC),IF(AND(OR($B$4="New Consultant Contract"),$B70&lt;&gt;""),INDEX(Points_Lookup!K:K,MATCH($B70,Points_Lookup!$J:$J,0)),IF(AND(OR($B$4="Clinical Lecturer / Medical Research Fellow",$B$4="Clinical Consultant - Old Contract (GP)"),$B70&lt;&gt;""),INDEX(Points_Lookup!H:H,MATCH($B70,Points_Lookup!$G:$G,0)),IF(AND(OR($B$4="APM Level 7",$B$4="R&amp;T Level 7",$B$4="APM Level 8"),B70&lt;&gt;""),INDEX(Points_Lookup!E:E,MATCH($Z70,Points_Lookup!$AE:$AE,0)),IF($B$4="R&amp;T Level 5 - Clinical Lecturers (Vet School)",SUMIF(Points_Lookup!$M:$M,$B70,Points_Lookup!$P:$P),IF($B$4="R&amp;T Level 6 - Clinical Associate Professors and Clinical Readers (Vet School)",SUMIF(Points_Lookup!$T:$T,$B70,Points_Lookup!$W:$W),IFERROR(INDEX(Points_Lookup!B:B,MATCH($Z70,Points_Lookup!$AE:$AE,0)),""))))))))</f>
        <v/>
      </c>
      <c r="D70" s="45"/>
      <c r="E70" s="27" t="str">
        <f ca="1">IF($B70="","",IF($B$4="Apprenticeship","-",SUM(IF(SUM(C70/12)&lt;Thresholds_Rates!$C$7,(SUM(C70/12)-Thresholds_Rates!$C$5)*Thresholds_Rates!$C$9,(Thresholds_Rates!$C$7-Thresholds_Rates!$C$5)*Thresholds_Rates!$C$9),IF(SUM(C70/12)&gt;Thresholds_Rates!$C$7,((SUM(C70/12)-Thresholds_Rates!$C$7)*Thresholds_Rates!$C$10),0),SUM(Thresholds_Rates!$C$5-Thresholds_Rates!$C$4)*-Thresholds_Rates!$C$8)*12))</f>
        <v/>
      </c>
      <c r="F70" s="27" t="str">
        <f ca="1">IF($B70="","",IF(AND($B$4="Salary Points 1 to 57",B70&lt;$AA$2),"-",IF(SUMIF(Grades!$A:$A,$B$4,Grades!BO:BO)=0,"-",IF(AND($B$4="Salary Points 1 to 57",B70&gt;=$AA$2),$C70*$AD$1,IF(AND(OR($B$4="New Consultant Contract"),$B70&lt;&gt;""),$C70*$AD$1,IF(AND(OR($B$4="Clinical Lecturer / Medical Research Fellow",$B$4="Clinical Consultant - Old Contract (GP)"),$B70&lt;&gt;""),$C70*$AD$1,IF(AND(OR($B$4="APM Level 7",$B$4="R&amp;T Level 7"),E70&lt;&gt;""),$C70*$AD$1,IF(SUMIF(Grades!$A:$A,$B$4,Grades!BO:BO)=1,$C70*$AD$1,""))))))))</f>
        <v/>
      </c>
      <c r="G70" s="27" t="str">
        <f ca="1">IF(B70="","",IF($B$4="Salary Points 1 to 57","-",IF(SUMIF(Grades!$A:$A,$B$4,Grades!BP:BP)=0,"-",IF(AND(OR($B$4="New Consultant Contract"),$B70&lt;&gt;""),$C70*$AD$2,IF(AND(OR($B$4="Clinical Lecturer / Medical Research Fellow",$B$4="Clinical Consultant - Old Contract (GP)"),$B70&lt;&gt;""),$C70*$AD$2,IF(AND(OR($B$4="APM Level 7",$B$4="R&amp;T Level 7"),F70&lt;&gt;""),$C70*$AD$2,IF(SUMIF(Grades!$A:$A,$B$4,Grades!BP:BP)=1,$C70*$AD$2,"")))))))</f>
        <v/>
      </c>
      <c r="H70" s="27" t="str">
        <f ca="1">IF(B70="","",IF(SUMIF(Grades!$A:$A,$B$4,Grades!BQ:BQ)=0,"-",IF(AND($B$4="Salary Points 1 to 57",B70&gt;$AA$3),"-",IF(AND($B$4="Salary Points 1 to 57",B70&lt;=$AA$3),$C70*$AD$3,IF(AND(OR($B$4="New Consultant Contract"),$B70&lt;&gt;""),$C70*$AD$3,IF(AND(OR($B$4="Clinical Lecturer / Medical Research Fellow",$B$4="Clinical Consultant - Old Contract (GP)"),$B70&lt;&gt;""),$C70*$AD$3,IF(AND(OR($B$4="APM Level 7",$B$4="R&amp;T Level 7"),G70&lt;&gt;""),$C70*$AD$3,IF(SUMIF(Grades!$A:$A,$B$4,Grades!BQ:BQ)=1,$C70*$AD$3,""))))))))</f>
        <v/>
      </c>
      <c r="I70" s="27" t="str">
        <f ca="1">IF($B70="","",ROUND(($C70-(Thresholds_Rates!$C$5*12))*Thresholds_Rates!$C$10,0))</f>
        <v/>
      </c>
      <c r="J70" s="27" t="str">
        <f ca="1">IF(B70="","",IF(AND($B$4="Salary Points 1 to 57",B70&gt;$AA$3),"-",IF(SUMIF(Grades!$A:$A,$B$4,Grades!BR:BR)=0,"-",IF(AND($B$4="Salary Points 1 to 57",B70&lt;=$AA$3),$C70*$AD$4,IF(AND(OR($B$4="New Consultant Contract"),$B70&lt;&gt;""),$C70*$AD$4,IF(AND(OR($B$4="Clinical Lecturer / Medical Research Fellow",$B$4="Clinical Consultant - Old Contract (GP)"),$B70&lt;&gt;""),$C70*$AD$4,IF(AND(OR($B$4="APM Level 7",$B$4="R&amp;T Level 7"),I70&lt;&gt;""),$C70*$AD$4,IF(SUMIF(Grades!$A:$A,$B$4,Grades!BQ:BQ)=1,$C70*$AD$4,""))))))))</f>
        <v/>
      </c>
      <c r="K70" s="6"/>
      <c r="L70" s="27" t="str">
        <f t="shared" ca="1" si="0"/>
        <v/>
      </c>
      <c r="M70" s="27" t="str">
        <f t="shared" ca="1" si="1"/>
        <v/>
      </c>
      <c r="N70" s="27" t="str">
        <f t="shared" ca="1" si="2"/>
        <v/>
      </c>
      <c r="O70" s="27" t="str">
        <f t="shared" ca="1" si="3"/>
        <v/>
      </c>
      <c r="P70" s="27" t="str">
        <f t="shared" ca="1" si="4"/>
        <v/>
      </c>
      <c r="R70" s="31" t="str">
        <f ca="1">IF(B70="","",IF($B$4="R&amp;T Level 5 - Clinical Lecturers (Vet School)",SUMIF(Points_Lookup!$M:$M,$B70,Points_Lookup!N:N),IF($B$4="R&amp;T Level 6 - Clinical Associate Professors and Clinical Readers (Vet School)",SUMIF(Points_Lookup!$T:$T,$B70,Points_Lookup!U:U),"")))</f>
        <v/>
      </c>
      <c r="S70" s="32" t="str">
        <f ca="1">IF(B70="","",IF($B$4="R&amp;T Level 5 - Clinical Lecturers (Vet School)",$C70-SUMIF(Points_Lookup!$M:$M,$B70,Points_Lookup!$O:$O),IF($B$4="R&amp;T Level 6 - Clinical Associate Professors and Clinical Readers (Vet School)",$C70-SUMIF(Points_Lookup!$T:$T,$B70,Points_Lookup!$V:$V),"")))</f>
        <v/>
      </c>
      <c r="T70" s="31" t="str">
        <f ca="1">IF(B70="","",IF($B$4="R&amp;T Level 5 - Clinical Lecturers (Vet School)",SUMIF(Points_Lookup!$M:$M,$B70,Points_Lookup!Q:Q),IF($B$4="R&amp;T Level 6 - Clinical Associate Professors and Clinical Readers (Vet School)",SUMIF(Points_Lookup!$T:$T,$B70,Points_Lookup!X:X),"")))</f>
        <v/>
      </c>
      <c r="U70" s="32" t="str">
        <f t="shared" ca="1" si="5"/>
        <v/>
      </c>
    </row>
    <row r="71" spans="2:21" x14ac:dyDescent="0.25">
      <c r="B71" s="6" t="str">
        <f ca="1">IFERROR(INDEX(Points_Lookup!A:A,MATCH($Z73,Points_Lookup!$AE:$AE,0)),"")</f>
        <v/>
      </c>
      <c r="C71" s="27" t="str">
        <f ca="1">IF(B71="","",IF($B$4="Apprenticeship",SUMIF(Points_Lookup!AA:AA,B71,Points_Lookup!AC:AC),IF(AND(OR($B$4="New Consultant Contract"),$B71&lt;&gt;""),INDEX(Points_Lookup!K:K,MATCH($B71,Points_Lookup!$J:$J,0)),IF(AND(OR($B$4="Clinical Lecturer / Medical Research Fellow",$B$4="Clinical Consultant - Old Contract (GP)"),$B71&lt;&gt;""),INDEX(Points_Lookup!H:H,MATCH($B71,Points_Lookup!$G:$G,0)),IF(AND(OR($B$4="APM Level 7",$B$4="R&amp;T Level 7",$B$4="APM Level 8"),B71&lt;&gt;""),INDEX(Points_Lookup!E:E,MATCH($Z71,Points_Lookup!$AE:$AE,0)),IF($B$4="R&amp;T Level 5 - Clinical Lecturers (Vet School)",SUMIF(Points_Lookup!$M:$M,$B71,Points_Lookup!$P:$P),IF($B$4="R&amp;T Level 6 - Clinical Associate Professors and Clinical Readers (Vet School)",SUMIF(Points_Lookup!$T:$T,$B71,Points_Lookup!$W:$W),IFERROR(INDEX(Points_Lookup!B:B,MATCH($Z71,Points_Lookup!$AE:$AE,0)),""))))))))</f>
        <v/>
      </c>
      <c r="D71" s="45"/>
      <c r="E71" s="27" t="str">
        <f ca="1">IF($B71="","",IF($B$4="Apprenticeship","-",SUM(IF(SUM(C71/12)&lt;Thresholds_Rates!$C$7,(SUM(C71/12)-Thresholds_Rates!$C$5)*Thresholds_Rates!$C$9,(Thresholds_Rates!$C$7-Thresholds_Rates!$C$5)*Thresholds_Rates!$C$9),IF(SUM(C71/12)&gt;Thresholds_Rates!$C$7,((SUM(C71/12)-Thresholds_Rates!$C$7)*Thresholds_Rates!$C$10),0),SUM(Thresholds_Rates!$C$5-Thresholds_Rates!$C$4)*-Thresholds_Rates!$C$8)*12))</f>
        <v/>
      </c>
      <c r="F71" s="27" t="str">
        <f ca="1">IF($B71="","",IF(AND($B$4="Salary Points 1 to 57",B71&lt;$AA$2),"-",IF(SUMIF(Grades!$A:$A,$B$4,Grades!BO:BO)=0,"-",IF(AND($B$4="Salary Points 1 to 57",B71&gt;=$AA$2),$C71*$AD$1,IF(AND(OR($B$4="New Consultant Contract"),$B71&lt;&gt;""),$C71*$AD$1,IF(AND(OR($B$4="Clinical Lecturer / Medical Research Fellow",$B$4="Clinical Consultant - Old Contract (GP)"),$B71&lt;&gt;""),$C71*$AD$1,IF(AND(OR($B$4="APM Level 7",$B$4="R&amp;T Level 7"),E71&lt;&gt;""),$C71*$AD$1,IF(SUMIF(Grades!$A:$A,$B$4,Grades!BO:BO)=1,$C71*$AD$1,""))))))))</f>
        <v/>
      </c>
      <c r="G71" s="27" t="str">
        <f ca="1">IF(B71="","",IF($B$4="Salary Points 1 to 57","-",IF(SUMIF(Grades!$A:$A,$B$4,Grades!BP:BP)=0,"-",IF(AND(OR($B$4="New Consultant Contract"),$B71&lt;&gt;""),$C71*$AD$2,IF(AND(OR($B$4="Clinical Lecturer / Medical Research Fellow",$B$4="Clinical Consultant - Old Contract (GP)"),$B71&lt;&gt;""),$C71*$AD$2,IF(AND(OR($B$4="APM Level 7",$B$4="R&amp;T Level 7"),F71&lt;&gt;""),$C71*$AD$2,IF(SUMIF(Grades!$A:$A,$B$4,Grades!BP:BP)=1,$C71*$AD$2,"")))))))</f>
        <v/>
      </c>
      <c r="H71" s="27" t="str">
        <f ca="1">IF(B71="","",IF(SUMIF(Grades!$A:$A,$B$4,Grades!BQ:BQ)=0,"-",IF(AND($B$4="Salary Points 1 to 57",B71&gt;$AA$3),"-",IF(AND($B$4="Salary Points 1 to 57",B71&lt;=$AA$3),$C71*$AD$3,IF(AND(OR($B$4="New Consultant Contract"),$B71&lt;&gt;""),$C71*$AD$3,IF(AND(OR($B$4="Clinical Lecturer / Medical Research Fellow",$B$4="Clinical Consultant - Old Contract (GP)"),$B71&lt;&gt;""),$C71*$AD$3,IF(AND(OR($B$4="APM Level 7",$B$4="R&amp;T Level 7"),G71&lt;&gt;""),$C71*$AD$3,IF(SUMIF(Grades!$A:$A,$B$4,Grades!BQ:BQ)=1,$C71*$AD$3,""))))))))</f>
        <v/>
      </c>
      <c r="I71" s="27" t="str">
        <f ca="1">IF($B71="","",ROUND(($C71-(Thresholds_Rates!$C$5*12))*Thresholds_Rates!$C$10,0))</f>
        <v/>
      </c>
      <c r="J71" s="27" t="str">
        <f ca="1">IF(B71="","",IF(AND($B$4="Salary Points 1 to 57",B71&gt;$AA$3),"-",IF(SUMIF(Grades!$A:$A,$B$4,Grades!BR:BR)=0,"-",IF(AND($B$4="Salary Points 1 to 57",B71&lt;=$AA$3),$C71*$AD$4,IF(AND(OR($B$4="New Consultant Contract"),$B71&lt;&gt;""),$C71*$AD$4,IF(AND(OR($B$4="Clinical Lecturer / Medical Research Fellow",$B$4="Clinical Consultant - Old Contract (GP)"),$B71&lt;&gt;""),$C71*$AD$4,IF(AND(OR($B$4="APM Level 7",$B$4="R&amp;T Level 7"),I71&lt;&gt;""),$C71*$AD$4,IF(SUMIF(Grades!$A:$A,$B$4,Grades!BQ:BQ)=1,$C71*$AD$4,""))))))))</f>
        <v/>
      </c>
      <c r="K71" s="6"/>
      <c r="L71" s="27" t="str">
        <f t="shared" ca="1" si="0"/>
        <v/>
      </c>
      <c r="M71" s="27" t="str">
        <f t="shared" ca="1" si="1"/>
        <v/>
      </c>
      <c r="N71" s="27" t="str">
        <f t="shared" ca="1" si="2"/>
        <v/>
      </c>
      <c r="O71" s="27" t="str">
        <f t="shared" ca="1" si="3"/>
        <v/>
      </c>
      <c r="P71" s="27" t="str">
        <f t="shared" ca="1" si="4"/>
        <v/>
      </c>
      <c r="R71" s="31" t="str">
        <f ca="1">IF(B71="","",IF($B$4="R&amp;T Level 5 - Clinical Lecturers (Vet School)",SUMIF(Points_Lookup!$M:$M,$B71,Points_Lookup!N:N),IF($B$4="R&amp;T Level 6 - Clinical Associate Professors and Clinical Readers (Vet School)",SUMIF(Points_Lookup!$T:$T,$B71,Points_Lookup!U:U),"")))</f>
        <v/>
      </c>
      <c r="S71" s="32" t="str">
        <f ca="1">IF(B71="","",IF($B$4="R&amp;T Level 5 - Clinical Lecturers (Vet School)",$C71-SUMIF(Points_Lookup!$M:$M,$B71,Points_Lookup!$O:$O),IF($B$4="R&amp;T Level 6 - Clinical Associate Professors and Clinical Readers (Vet School)",$C71-SUMIF(Points_Lookup!$T:$T,$B71,Points_Lookup!$V:$V),"")))</f>
        <v/>
      </c>
      <c r="T71" s="31" t="str">
        <f ca="1">IF(B71="","",IF($B$4="R&amp;T Level 5 - Clinical Lecturers (Vet School)",SUMIF(Points_Lookup!$M:$M,$B71,Points_Lookup!Q:Q),IF($B$4="R&amp;T Level 6 - Clinical Associate Professors and Clinical Readers (Vet School)",SUMIF(Points_Lookup!$T:$T,$B71,Points_Lookup!X:X),"")))</f>
        <v/>
      </c>
      <c r="U71" s="32" t="str">
        <f t="shared" ca="1" si="5"/>
        <v/>
      </c>
    </row>
    <row r="72" spans="2:21" x14ac:dyDescent="0.25">
      <c r="B72" s="6" t="str">
        <f ca="1">IFERROR(INDEX(Points_Lookup!A:A,MATCH($Z74,Points_Lookup!$AE:$AE,0)),"")</f>
        <v/>
      </c>
      <c r="C72" s="27" t="str">
        <f ca="1">IF(B72="","",IF($B$4="Apprenticeship",SUMIF(Points_Lookup!AA:AA,B72,Points_Lookup!AC:AC),IF(AND(OR($B$4="New Consultant Contract"),$B72&lt;&gt;""),INDEX(Points_Lookup!K:K,MATCH($B72,Points_Lookup!$J:$J,0)),IF(AND(OR($B$4="Clinical Lecturer / Medical Research Fellow",$B$4="Clinical Consultant - Old Contract (GP)"),$B72&lt;&gt;""),INDEX(Points_Lookup!H:H,MATCH($B72,Points_Lookup!$G:$G,0)),IF(AND(OR($B$4="APM Level 7",$B$4="R&amp;T Level 7",$B$4="APM Level 8"),B72&lt;&gt;""),INDEX(Points_Lookup!E:E,MATCH($Z72,Points_Lookup!$AE:$AE,0)),IF($B$4="R&amp;T Level 5 - Clinical Lecturers (Vet School)",SUMIF(Points_Lookup!$M:$M,$B72,Points_Lookup!$P:$P),IF($B$4="R&amp;T Level 6 - Clinical Associate Professors and Clinical Readers (Vet School)",SUMIF(Points_Lookup!$T:$T,$B72,Points_Lookup!$W:$W),IFERROR(INDEX(Points_Lookup!B:B,MATCH($Z72,Points_Lookup!$AE:$AE,0)),""))))))))</f>
        <v/>
      </c>
      <c r="D72" s="45"/>
      <c r="E72" s="27" t="str">
        <f ca="1">IF($B72="","",IF($B$4="Apprenticeship","-",SUM(IF(SUM(C72/12)&lt;Thresholds_Rates!$C$7,(SUM(C72/12)-Thresholds_Rates!$C$5)*Thresholds_Rates!$C$9,(Thresholds_Rates!$C$7-Thresholds_Rates!$C$5)*Thresholds_Rates!$C$9),IF(SUM(C72/12)&gt;Thresholds_Rates!$C$7,((SUM(C72/12)-Thresholds_Rates!$C$7)*Thresholds_Rates!$C$10),0),SUM(Thresholds_Rates!$C$5-Thresholds_Rates!$C$4)*-Thresholds_Rates!$C$8)*12))</f>
        <v/>
      </c>
      <c r="F72" s="27" t="str">
        <f ca="1">IF($B72="","",IF(AND($B$4="Salary Points 1 to 57",B72&lt;$AA$2),"-",IF(SUMIF(Grades!$A:$A,$B$4,Grades!BO:BO)=0,"-",IF(AND($B$4="Salary Points 1 to 57",B72&gt;=$AA$2),$C72*$AD$1,IF(AND(OR($B$4="New Consultant Contract"),$B72&lt;&gt;""),$C72*$AD$1,IF(AND(OR($B$4="Clinical Lecturer / Medical Research Fellow",$B$4="Clinical Consultant - Old Contract (GP)"),$B72&lt;&gt;""),$C72*$AD$1,IF(AND(OR($B$4="APM Level 7",$B$4="R&amp;T Level 7"),E72&lt;&gt;""),$C72*$AD$1,IF(SUMIF(Grades!$A:$A,$B$4,Grades!BO:BO)=1,$C72*$AD$1,""))))))))</f>
        <v/>
      </c>
      <c r="G72" s="27" t="str">
        <f ca="1">IF(B72="","",IF($B$4="Salary Points 1 to 57","-",IF(SUMIF(Grades!$A:$A,$B$4,Grades!BP:BP)=0,"-",IF(AND(OR($B$4="New Consultant Contract"),$B72&lt;&gt;""),$C72*$AD$2,IF(AND(OR($B$4="Clinical Lecturer / Medical Research Fellow",$B$4="Clinical Consultant - Old Contract (GP)"),$B72&lt;&gt;""),$C72*$AD$2,IF(AND(OR($B$4="APM Level 7",$B$4="R&amp;T Level 7"),F72&lt;&gt;""),$C72*$AD$2,IF(SUMIF(Grades!$A:$A,$B$4,Grades!BP:BP)=1,$C72*$AD$2,"")))))))</f>
        <v/>
      </c>
      <c r="H72" s="27" t="str">
        <f ca="1">IF(B72="","",IF(SUMIF(Grades!$A:$A,$B$4,Grades!BQ:BQ)=0,"-",IF(AND($B$4="Salary Points 1 to 57",B72&gt;$AA$3),"-",IF(AND($B$4="Salary Points 1 to 57",B72&lt;=$AA$3),$C72*$AD$3,IF(AND(OR($B$4="New Consultant Contract"),$B72&lt;&gt;""),$C72*$AD$3,IF(AND(OR($B$4="Clinical Lecturer / Medical Research Fellow",$B$4="Clinical Consultant - Old Contract (GP)"),$B72&lt;&gt;""),$C72*$AD$3,IF(AND(OR($B$4="APM Level 7",$B$4="R&amp;T Level 7"),G72&lt;&gt;""),$C72*$AD$3,IF(SUMIF(Grades!$A:$A,$B$4,Grades!BQ:BQ)=1,$C72*$AD$3,""))))))))</f>
        <v/>
      </c>
      <c r="I72" s="27" t="str">
        <f ca="1">IF($B72="","",ROUND(($C72-(Thresholds_Rates!$C$5*12))*Thresholds_Rates!$C$10,0))</f>
        <v/>
      </c>
      <c r="J72" s="27" t="str">
        <f ca="1">IF(B72="","",IF(AND($B$4="Salary Points 1 to 57",B72&gt;$AA$3),"-",IF(SUMIF(Grades!$A:$A,$B$4,Grades!BR:BR)=0,"-",IF(AND($B$4="Salary Points 1 to 57",B72&lt;=$AA$3),$C72*$AD$4,IF(AND(OR($B$4="New Consultant Contract"),$B72&lt;&gt;""),$C72*$AD$4,IF(AND(OR($B$4="Clinical Lecturer / Medical Research Fellow",$B$4="Clinical Consultant - Old Contract (GP)"),$B72&lt;&gt;""),$C72*$AD$4,IF(AND(OR($B$4="APM Level 7",$B$4="R&amp;T Level 7"),I72&lt;&gt;""),$C72*$AD$4,IF(SUMIF(Grades!$A:$A,$B$4,Grades!BQ:BQ)=1,$C72*$AD$4,""))))))))</f>
        <v/>
      </c>
      <c r="K72" s="6"/>
      <c r="L72" s="27" t="str">
        <f t="shared" ca="1" si="0"/>
        <v/>
      </c>
      <c r="M72" s="27" t="str">
        <f t="shared" ca="1" si="1"/>
        <v/>
      </c>
      <c r="N72" s="27" t="str">
        <f t="shared" ca="1" si="2"/>
        <v/>
      </c>
      <c r="O72" s="27" t="str">
        <f t="shared" ca="1" si="3"/>
        <v/>
      </c>
      <c r="P72" s="27" t="str">
        <f t="shared" ca="1" si="4"/>
        <v/>
      </c>
      <c r="R72" s="31" t="str">
        <f ca="1">IF(B72="","",IF($B$4="R&amp;T Level 5 - Clinical Lecturers (Vet School)",SUMIF(Points_Lookup!$M:$M,$B72,Points_Lookup!N:N),IF($B$4="R&amp;T Level 6 - Clinical Associate Professors and Clinical Readers (Vet School)",SUMIF(Points_Lookup!$T:$T,$B72,Points_Lookup!U:U),"")))</f>
        <v/>
      </c>
      <c r="S72" s="32" t="str">
        <f ca="1">IF(B72="","",IF($B$4="R&amp;T Level 5 - Clinical Lecturers (Vet School)",$C72-SUMIF(Points_Lookup!$M:$M,$B72,Points_Lookup!$O:$O),IF($B$4="R&amp;T Level 6 - Clinical Associate Professors and Clinical Readers (Vet School)",$C72-SUMIF(Points_Lookup!$T:$T,$B72,Points_Lookup!$V:$V),"")))</f>
        <v/>
      </c>
      <c r="T72" s="31" t="str">
        <f ca="1">IF(B72="","",IF($B$4="R&amp;T Level 5 - Clinical Lecturers (Vet School)",SUMIF(Points_Lookup!$M:$M,$B72,Points_Lookup!Q:Q),IF($B$4="R&amp;T Level 6 - Clinical Associate Professors and Clinical Readers (Vet School)",SUMIF(Points_Lookup!$T:$T,$B72,Points_Lookup!X:X),"")))</f>
        <v/>
      </c>
      <c r="U72" s="32" t="str">
        <f t="shared" ca="1" si="5"/>
        <v/>
      </c>
    </row>
    <row r="73" spans="2:21" x14ac:dyDescent="0.25">
      <c r="B73" s="6" t="str">
        <f ca="1">IFERROR(INDEX(Points_Lookup!A:A,MATCH($Z75,Points_Lookup!$AE:$AE,0)),"")</f>
        <v/>
      </c>
      <c r="C73" s="27" t="str">
        <f ca="1">IF(B73="","",IF($B$4="Apprenticeship",SUMIF(Points_Lookup!AA:AA,B73,Points_Lookup!AC:AC),IF(AND(OR($B$4="New Consultant Contract"),$B73&lt;&gt;""),INDEX(Points_Lookup!K:K,MATCH($B73,Points_Lookup!$J:$J,0)),IF(AND(OR($B$4="Clinical Lecturer / Medical Research Fellow",$B$4="Clinical Consultant - Old Contract (GP)"),$B73&lt;&gt;""),INDEX(Points_Lookup!H:H,MATCH($B73,Points_Lookup!$G:$G,0)),IF(AND(OR($B$4="APM Level 7",$B$4="R&amp;T Level 7",$B$4="APM Level 8"),B73&lt;&gt;""),INDEX(Points_Lookup!E:E,MATCH($Z73,Points_Lookup!$AE:$AE,0)),IF($B$4="R&amp;T Level 5 - Clinical Lecturers (Vet School)",SUMIF(Points_Lookup!$M:$M,$B73,Points_Lookup!$P:$P),IF($B$4="R&amp;T Level 6 - Clinical Associate Professors and Clinical Readers (Vet School)",SUMIF(Points_Lookup!$T:$T,$B73,Points_Lookup!$W:$W),IFERROR(INDEX(Points_Lookup!B:B,MATCH($Z73,Points_Lookup!$AE:$AE,0)),""))))))))</f>
        <v/>
      </c>
      <c r="D73" s="45"/>
      <c r="E73" s="27" t="str">
        <f ca="1">IF($B73="","",IF($B$4="Apprenticeship","-",SUM(IF(SUM(C73/12)&lt;Thresholds_Rates!$C$7,(SUM(C73/12)-Thresholds_Rates!$C$5)*Thresholds_Rates!$C$9,(Thresholds_Rates!$C$7-Thresholds_Rates!$C$5)*Thresholds_Rates!$C$9),IF(SUM(C73/12)&gt;Thresholds_Rates!$C$7,((SUM(C73/12)-Thresholds_Rates!$C$7)*Thresholds_Rates!$C$10),0),SUM(Thresholds_Rates!$C$5-Thresholds_Rates!$C$4)*-Thresholds_Rates!$C$8)*12))</f>
        <v/>
      </c>
      <c r="F73" s="27" t="str">
        <f ca="1">IF($B73="","",IF(AND($B$4="Salary Points 1 to 57",B73&lt;$AA$2),"-",IF(SUMIF(Grades!$A:$A,$B$4,Grades!BO:BO)=0,"-",IF(AND($B$4="Salary Points 1 to 57",B73&gt;=$AA$2),$C73*$AD$1,IF(AND(OR($B$4="New Consultant Contract"),$B73&lt;&gt;""),$C73*$AD$1,IF(AND(OR($B$4="Clinical Lecturer / Medical Research Fellow",$B$4="Clinical Consultant - Old Contract (GP)"),$B73&lt;&gt;""),$C73*$AD$1,IF(AND(OR($B$4="APM Level 7",$B$4="R&amp;T Level 7"),E73&lt;&gt;""),$C73*$AD$1,IF(SUMIF(Grades!$A:$A,$B$4,Grades!BO:BO)=1,$C73*$AD$1,""))))))))</f>
        <v/>
      </c>
      <c r="G73" s="27" t="str">
        <f ca="1">IF(B73="","",IF($B$4="Salary Points 1 to 57","-",IF(SUMIF(Grades!$A:$A,$B$4,Grades!BP:BP)=0,"-",IF(AND(OR($B$4="New Consultant Contract"),$B73&lt;&gt;""),$C73*$AD$2,IF(AND(OR($B$4="Clinical Lecturer / Medical Research Fellow",$B$4="Clinical Consultant - Old Contract (GP)"),$B73&lt;&gt;""),$C73*$AD$2,IF(AND(OR($B$4="APM Level 7",$B$4="R&amp;T Level 7"),F73&lt;&gt;""),$C73*$AD$2,IF(SUMIF(Grades!$A:$A,$B$4,Grades!BP:BP)=1,$C73*$AD$2,"")))))))</f>
        <v/>
      </c>
      <c r="H73" s="27" t="str">
        <f ca="1">IF(B73="","",IF(SUMIF(Grades!$A:$A,$B$4,Grades!BQ:BQ)=0,"-",IF(AND($B$4="Salary Points 1 to 57",B73&gt;$AA$3),"-",IF(AND($B$4="Salary Points 1 to 57",B73&lt;=$AA$3),$C73*$AD$3,IF(AND(OR($B$4="New Consultant Contract"),$B73&lt;&gt;""),$C73*$AD$3,IF(AND(OR($B$4="Clinical Lecturer / Medical Research Fellow",$B$4="Clinical Consultant - Old Contract (GP)"),$B73&lt;&gt;""),$C73*$AD$3,IF(AND(OR($B$4="APM Level 7",$B$4="R&amp;T Level 7"),G73&lt;&gt;""),$C73*$AD$3,IF(SUMIF(Grades!$A:$A,$B$4,Grades!BQ:BQ)=1,$C73*$AD$3,""))))))))</f>
        <v/>
      </c>
      <c r="I73" s="27" t="str">
        <f ca="1">IF($B73="","",ROUND(($C73-(Thresholds_Rates!$C$5*12))*Thresholds_Rates!$C$10,0))</f>
        <v/>
      </c>
      <c r="J73" s="27" t="str">
        <f ca="1">IF(B73="","",IF(AND($B$4="Salary Points 1 to 57",B73&gt;$AA$3),"-",IF(SUMIF(Grades!$A:$A,$B$4,Grades!BR:BR)=0,"-",IF(AND($B$4="Salary Points 1 to 57",B73&lt;=$AA$3),$C73*$AD$4,IF(AND(OR($B$4="New Consultant Contract"),$B73&lt;&gt;""),$C73*$AD$4,IF(AND(OR($B$4="Clinical Lecturer / Medical Research Fellow",$B$4="Clinical Consultant - Old Contract (GP)"),$B73&lt;&gt;""),$C73*$AD$4,IF(AND(OR($B$4="APM Level 7",$B$4="R&amp;T Level 7"),I73&lt;&gt;""),$C73*$AD$4,IF(SUMIF(Grades!$A:$A,$B$4,Grades!BQ:BQ)=1,$C73*$AD$4,""))))))))</f>
        <v/>
      </c>
      <c r="K73" s="6"/>
      <c r="L73" s="27" t="str">
        <f t="shared" ref="L73:L102" ca="1" si="6">IF(B73="","",IF(F73="-","-",$C73+$E73+F73))</f>
        <v/>
      </c>
      <c r="M73" s="27" t="str">
        <f t="shared" ref="M73:M102" ca="1" si="7">IF(B73="","",IF(G73="-","-",$C73+$E73+G73))</f>
        <v/>
      </c>
      <c r="N73" s="27" t="str">
        <f t="shared" ref="N73:N102" ca="1" si="8">IF(B73="","",IF(H73="-","-",$C73+$E73+H73))</f>
        <v/>
      </c>
      <c r="O73" s="27" t="str">
        <f t="shared" ref="O73:O102" ca="1" si="9">IF(B73="","",IF(J73="-","-",$C73+$I73+J73))</f>
        <v/>
      </c>
      <c r="P73" s="27" t="str">
        <f t="shared" ref="P73:P102" ca="1" si="10">IF(B73="","",C73+I73)</f>
        <v/>
      </c>
      <c r="R73" s="31" t="str">
        <f ca="1">IF(B73="","",IF($B$4="R&amp;T Level 5 - Clinical Lecturers (Vet School)",SUMIF(Points_Lookup!$M:$M,$B73,Points_Lookup!N:N),IF($B$4="R&amp;T Level 6 - Clinical Associate Professors and Clinical Readers (Vet School)",SUMIF(Points_Lookup!$T:$T,$B73,Points_Lookup!U:U),"")))</f>
        <v/>
      </c>
      <c r="S73" s="32" t="str">
        <f ca="1">IF(B73="","",IF($B$4="R&amp;T Level 5 - Clinical Lecturers (Vet School)",$C73-SUMIF(Points_Lookup!$M:$M,$B73,Points_Lookup!$O:$O),IF($B$4="R&amp;T Level 6 - Clinical Associate Professors and Clinical Readers (Vet School)",$C73-SUMIF(Points_Lookup!$T:$T,$B73,Points_Lookup!$V:$V),"")))</f>
        <v/>
      </c>
      <c r="T73" s="31" t="str">
        <f ca="1">IF(B73="","",IF($B$4="R&amp;T Level 5 - Clinical Lecturers (Vet School)",SUMIF(Points_Lookup!$M:$M,$B73,Points_Lookup!Q:Q),IF($B$4="R&amp;T Level 6 - Clinical Associate Professors and Clinical Readers (Vet School)",SUMIF(Points_Lookup!$T:$T,$B73,Points_Lookup!X:X),"")))</f>
        <v/>
      </c>
      <c r="U73" s="32" t="str">
        <f t="shared" ref="U73:U102" ca="1" si="11">IF(B73="","",IF($B$4="R&amp;T Level 5 - Clinical Lecturers (Vet School)",ROUND(C73*T73,0),IF($B$4="R&amp;T Level 6 - Clinical Associate Professors and Clinical Readers (Vet School)",ROUND(C73*T73,0),"")))</f>
        <v/>
      </c>
    </row>
    <row r="74" spans="2:21" x14ac:dyDescent="0.25">
      <c r="B74" s="6" t="str">
        <f ca="1">IFERROR(INDEX(Points_Lookup!A:A,MATCH($Z76,Points_Lookup!$AE:$AE,0)),"")</f>
        <v/>
      </c>
      <c r="C74" s="27" t="str">
        <f ca="1">IF(B74="","",IF($B$4="Apprenticeship",SUMIF(Points_Lookup!AA:AA,B74,Points_Lookup!AC:AC),IF(AND(OR($B$4="New Consultant Contract"),$B74&lt;&gt;""),INDEX(Points_Lookup!K:K,MATCH($B74,Points_Lookup!$J:$J,0)),IF(AND(OR($B$4="Clinical Lecturer / Medical Research Fellow",$B$4="Clinical Consultant - Old Contract (GP)"),$B74&lt;&gt;""),INDEX(Points_Lookup!H:H,MATCH($B74,Points_Lookup!$G:$G,0)),IF(AND(OR($B$4="APM Level 7",$B$4="R&amp;T Level 7",$B$4="APM Level 8"),B74&lt;&gt;""),INDEX(Points_Lookup!E:E,MATCH($Z74,Points_Lookup!$AE:$AE,0)),IF($B$4="R&amp;T Level 5 - Clinical Lecturers (Vet School)",SUMIF(Points_Lookup!$M:$M,$B74,Points_Lookup!$P:$P),IF($B$4="R&amp;T Level 6 - Clinical Associate Professors and Clinical Readers (Vet School)",SUMIF(Points_Lookup!$T:$T,$B74,Points_Lookup!$W:$W),IFERROR(INDEX(Points_Lookup!B:B,MATCH($Z74,Points_Lookup!$AE:$AE,0)),""))))))))</f>
        <v/>
      </c>
      <c r="D74" s="45"/>
      <c r="E74" s="27" t="str">
        <f ca="1">IF($B74="","",IF($B$4="Apprenticeship","-",SUM(IF(SUM(C74/12)&lt;Thresholds_Rates!$C$7,(SUM(C74/12)-Thresholds_Rates!$C$5)*Thresholds_Rates!$C$9,(Thresholds_Rates!$C$7-Thresholds_Rates!$C$5)*Thresholds_Rates!$C$9),IF(SUM(C74/12)&gt;Thresholds_Rates!$C$7,((SUM(C74/12)-Thresholds_Rates!$C$7)*Thresholds_Rates!$C$10),0),SUM(Thresholds_Rates!$C$5-Thresholds_Rates!$C$4)*-Thresholds_Rates!$C$8)*12))</f>
        <v/>
      </c>
      <c r="F74" s="27" t="str">
        <f ca="1">IF($B74="","",IF(AND($B$4="Salary Points 1 to 57",B74&lt;$AA$2),"-",IF(SUMIF(Grades!$A:$A,$B$4,Grades!BO:BO)=0,"-",IF(AND($B$4="Salary Points 1 to 57",B74&gt;=$AA$2),$C74*$AD$1,IF(AND(OR($B$4="New Consultant Contract"),$B74&lt;&gt;""),$C74*$AD$1,IF(AND(OR($B$4="Clinical Lecturer / Medical Research Fellow",$B$4="Clinical Consultant - Old Contract (GP)"),$B74&lt;&gt;""),$C74*$AD$1,IF(AND(OR($B$4="APM Level 7",$B$4="R&amp;T Level 7"),E74&lt;&gt;""),$C74*$AD$1,IF(SUMIF(Grades!$A:$A,$B$4,Grades!BO:BO)=1,$C74*$AD$1,""))))))))</f>
        <v/>
      </c>
      <c r="G74" s="27" t="str">
        <f ca="1">IF(B74="","",IF($B$4="Salary Points 1 to 57","-",IF(SUMIF(Grades!$A:$A,$B$4,Grades!BP:BP)=0,"-",IF(AND(OR($B$4="New Consultant Contract"),$B74&lt;&gt;""),$C74*$AD$2,IF(AND(OR($B$4="Clinical Lecturer / Medical Research Fellow",$B$4="Clinical Consultant - Old Contract (GP)"),$B74&lt;&gt;""),$C74*$AD$2,IF(AND(OR($B$4="APM Level 7",$B$4="R&amp;T Level 7"),F74&lt;&gt;""),$C74*$AD$2,IF(SUMIF(Grades!$A:$A,$B$4,Grades!BP:BP)=1,$C74*$AD$2,"")))))))</f>
        <v/>
      </c>
      <c r="H74" s="27" t="str">
        <f ca="1">IF(B74="","",IF(SUMIF(Grades!$A:$A,$B$4,Grades!BQ:BQ)=0,"-",IF(AND($B$4="Salary Points 1 to 57",B74&gt;$AA$3),"-",IF(AND($B$4="Salary Points 1 to 57",B74&lt;=$AA$3),$C74*$AD$3,IF(AND(OR($B$4="New Consultant Contract"),$B74&lt;&gt;""),$C74*$AD$3,IF(AND(OR($B$4="Clinical Lecturer / Medical Research Fellow",$B$4="Clinical Consultant - Old Contract (GP)"),$B74&lt;&gt;""),$C74*$AD$3,IF(AND(OR($B$4="APM Level 7",$B$4="R&amp;T Level 7"),G74&lt;&gt;""),$C74*$AD$3,IF(SUMIF(Grades!$A:$A,$B$4,Grades!BQ:BQ)=1,$C74*$AD$3,""))))))))</f>
        <v/>
      </c>
      <c r="I74" s="27" t="str">
        <f ca="1">IF($B74="","",ROUND(($C74-(Thresholds_Rates!$C$5*12))*Thresholds_Rates!$C$10,0))</f>
        <v/>
      </c>
      <c r="J74" s="27" t="str">
        <f ca="1">IF(B74="","",IF(AND($B$4="Salary Points 1 to 57",B74&gt;$AA$3),"-",IF(SUMIF(Grades!$A:$A,$B$4,Grades!BR:BR)=0,"-",IF(AND($B$4="Salary Points 1 to 57",B74&lt;=$AA$3),$C74*$AD$4,IF(AND(OR($B$4="New Consultant Contract"),$B74&lt;&gt;""),$C74*$AD$4,IF(AND(OR($B$4="Clinical Lecturer / Medical Research Fellow",$B$4="Clinical Consultant - Old Contract (GP)"),$B74&lt;&gt;""),$C74*$AD$4,IF(AND(OR($B$4="APM Level 7",$B$4="R&amp;T Level 7"),I74&lt;&gt;""),$C74*$AD$4,IF(SUMIF(Grades!$A:$A,$B$4,Grades!BQ:BQ)=1,$C74*$AD$4,""))))))))</f>
        <v/>
      </c>
      <c r="K74" s="6"/>
      <c r="L74" s="27" t="str">
        <f t="shared" ca="1" si="6"/>
        <v/>
      </c>
      <c r="M74" s="27" t="str">
        <f t="shared" ca="1" si="7"/>
        <v/>
      </c>
      <c r="N74" s="27" t="str">
        <f t="shared" ca="1" si="8"/>
        <v/>
      </c>
      <c r="O74" s="27" t="str">
        <f t="shared" ca="1" si="9"/>
        <v/>
      </c>
      <c r="P74" s="27" t="str">
        <f t="shared" ca="1" si="10"/>
        <v/>
      </c>
      <c r="R74" s="31" t="str">
        <f ca="1">IF(B74="","",IF($B$4="R&amp;T Level 5 - Clinical Lecturers (Vet School)",SUMIF(Points_Lookup!$M:$M,$B74,Points_Lookup!N:N),IF($B$4="R&amp;T Level 6 - Clinical Associate Professors and Clinical Readers (Vet School)",SUMIF(Points_Lookup!$T:$T,$B74,Points_Lookup!U:U),"")))</f>
        <v/>
      </c>
      <c r="S74" s="32" t="str">
        <f ca="1">IF(B74="","",IF($B$4="R&amp;T Level 5 - Clinical Lecturers (Vet School)",$C74-SUMIF(Points_Lookup!$M:$M,$B74,Points_Lookup!$O:$O),IF($B$4="R&amp;T Level 6 - Clinical Associate Professors and Clinical Readers (Vet School)",$C74-SUMIF(Points_Lookup!$T:$T,$B74,Points_Lookup!$V:$V),"")))</f>
        <v/>
      </c>
      <c r="T74" s="31" t="str">
        <f ca="1">IF(B74="","",IF($B$4="R&amp;T Level 5 - Clinical Lecturers (Vet School)",SUMIF(Points_Lookup!$M:$M,$B74,Points_Lookup!Q:Q),IF($B$4="R&amp;T Level 6 - Clinical Associate Professors and Clinical Readers (Vet School)",SUMIF(Points_Lookup!$T:$T,$B74,Points_Lookup!X:X),"")))</f>
        <v/>
      </c>
      <c r="U74" s="32" t="str">
        <f t="shared" ca="1" si="11"/>
        <v/>
      </c>
    </row>
    <row r="75" spans="2:21" x14ac:dyDescent="0.25">
      <c r="B75" s="6" t="str">
        <f ca="1">IFERROR(INDEX(Points_Lookup!A:A,MATCH($Z77,Points_Lookup!$AE:$AE,0)),"")</f>
        <v/>
      </c>
      <c r="C75" s="27" t="str">
        <f ca="1">IF(B75="","",IF($B$4="Apprenticeship",SUMIF(Points_Lookup!AA:AA,B75,Points_Lookup!AC:AC),IF(AND(OR($B$4="New Consultant Contract"),$B75&lt;&gt;""),INDEX(Points_Lookup!K:K,MATCH($B75,Points_Lookup!$J:$J,0)),IF(AND(OR($B$4="Clinical Lecturer / Medical Research Fellow",$B$4="Clinical Consultant - Old Contract (GP)"),$B75&lt;&gt;""),INDEX(Points_Lookup!H:H,MATCH($B75,Points_Lookup!$G:$G,0)),IF(AND(OR($B$4="APM Level 7",$B$4="R&amp;T Level 7",$B$4="APM Level 8"),B75&lt;&gt;""),INDEX(Points_Lookup!E:E,MATCH($Z75,Points_Lookup!$AE:$AE,0)),IF($B$4="R&amp;T Level 5 - Clinical Lecturers (Vet School)",SUMIF(Points_Lookup!$M:$M,$B75,Points_Lookup!$P:$P),IF($B$4="R&amp;T Level 6 - Clinical Associate Professors and Clinical Readers (Vet School)",SUMIF(Points_Lookup!$T:$T,$B75,Points_Lookup!$W:$W),IFERROR(INDEX(Points_Lookup!B:B,MATCH($Z75,Points_Lookup!$AE:$AE,0)),""))))))))</f>
        <v/>
      </c>
      <c r="D75" s="45"/>
      <c r="E75" s="27" t="str">
        <f ca="1">IF($B75="","",IF($B$4="Apprenticeship","-",SUM(IF(SUM(C75/12)&lt;Thresholds_Rates!$C$7,(SUM(C75/12)-Thresholds_Rates!$C$5)*Thresholds_Rates!$C$9,(Thresholds_Rates!$C$7-Thresholds_Rates!$C$5)*Thresholds_Rates!$C$9),IF(SUM(C75/12)&gt;Thresholds_Rates!$C$7,((SUM(C75/12)-Thresholds_Rates!$C$7)*Thresholds_Rates!$C$10),0),SUM(Thresholds_Rates!$C$5-Thresholds_Rates!$C$4)*-Thresholds_Rates!$C$8)*12))</f>
        <v/>
      </c>
      <c r="F75" s="27" t="str">
        <f ca="1">IF($B75="","",IF(AND($B$4="Salary Points 1 to 57",B75&lt;$AA$2),"-",IF(SUMIF(Grades!$A:$A,$B$4,Grades!BO:BO)=0,"-",IF(AND($B$4="Salary Points 1 to 57",B75&gt;=$AA$2),$C75*$AD$1,IF(AND(OR($B$4="New Consultant Contract"),$B75&lt;&gt;""),$C75*$AD$1,IF(AND(OR($B$4="Clinical Lecturer / Medical Research Fellow",$B$4="Clinical Consultant - Old Contract (GP)"),$B75&lt;&gt;""),$C75*$AD$1,IF(AND(OR($B$4="APM Level 7",$B$4="R&amp;T Level 7"),E75&lt;&gt;""),$C75*$AD$1,IF(SUMIF(Grades!$A:$A,$B$4,Grades!BO:BO)=1,$C75*$AD$1,""))))))))</f>
        <v/>
      </c>
      <c r="G75" s="27" t="str">
        <f ca="1">IF(B75="","",IF($B$4="Salary Points 1 to 57","-",IF(SUMIF(Grades!$A:$A,$B$4,Grades!BP:BP)=0,"-",IF(AND(OR($B$4="New Consultant Contract"),$B75&lt;&gt;""),$C75*$AD$2,IF(AND(OR($B$4="Clinical Lecturer / Medical Research Fellow",$B$4="Clinical Consultant - Old Contract (GP)"),$B75&lt;&gt;""),$C75*$AD$2,IF(AND(OR($B$4="APM Level 7",$B$4="R&amp;T Level 7"),F75&lt;&gt;""),$C75*$AD$2,IF(SUMIF(Grades!$A:$A,$B$4,Grades!BP:BP)=1,$C75*$AD$2,"")))))))</f>
        <v/>
      </c>
      <c r="H75" s="27" t="str">
        <f ca="1">IF(B75="","",IF(SUMIF(Grades!$A:$A,$B$4,Grades!BQ:BQ)=0,"-",IF(AND($B$4="Salary Points 1 to 57",B75&gt;$AA$3),"-",IF(AND($B$4="Salary Points 1 to 57",B75&lt;=$AA$3),$C75*$AD$3,IF(AND(OR($B$4="New Consultant Contract"),$B75&lt;&gt;""),$C75*$AD$3,IF(AND(OR($B$4="Clinical Lecturer / Medical Research Fellow",$B$4="Clinical Consultant - Old Contract (GP)"),$B75&lt;&gt;""),$C75*$AD$3,IF(AND(OR($B$4="APM Level 7",$B$4="R&amp;T Level 7"),G75&lt;&gt;""),$C75*$AD$3,IF(SUMIF(Grades!$A:$A,$B$4,Grades!BQ:BQ)=1,$C75*$AD$3,""))))))))</f>
        <v/>
      </c>
      <c r="I75" s="27" t="str">
        <f ca="1">IF($B75="","",ROUND(($C75-(Thresholds_Rates!$C$5*12))*Thresholds_Rates!$C$10,0))</f>
        <v/>
      </c>
      <c r="J75" s="27" t="str">
        <f ca="1">IF(B75="","",IF(AND($B$4="Salary Points 1 to 57",B75&gt;$AA$3),"-",IF(SUMIF(Grades!$A:$A,$B$4,Grades!BR:BR)=0,"-",IF(AND($B$4="Salary Points 1 to 57",B75&lt;=$AA$3),$C75*$AD$4,IF(AND(OR($B$4="New Consultant Contract"),$B75&lt;&gt;""),$C75*$AD$4,IF(AND(OR($B$4="Clinical Lecturer / Medical Research Fellow",$B$4="Clinical Consultant - Old Contract (GP)"),$B75&lt;&gt;""),$C75*$AD$4,IF(AND(OR($B$4="APM Level 7",$B$4="R&amp;T Level 7"),I75&lt;&gt;""),$C75*$AD$4,IF(SUMIF(Grades!$A:$A,$B$4,Grades!BQ:BQ)=1,$C75*$AD$4,""))))))))</f>
        <v/>
      </c>
      <c r="K75" s="6"/>
      <c r="L75" s="27" t="str">
        <f t="shared" ca="1" si="6"/>
        <v/>
      </c>
      <c r="M75" s="27" t="str">
        <f t="shared" ca="1" si="7"/>
        <v/>
      </c>
      <c r="N75" s="27" t="str">
        <f t="shared" ca="1" si="8"/>
        <v/>
      </c>
      <c r="O75" s="27" t="str">
        <f t="shared" ca="1" si="9"/>
        <v/>
      </c>
      <c r="P75" s="27" t="str">
        <f t="shared" ca="1" si="10"/>
        <v/>
      </c>
      <c r="R75" s="31" t="str">
        <f ca="1">IF(B75="","",IF($B$4="R&amp;T Level 5 - Clinical Lecturers (Vet School)",SUMIF(Points_Lookup!$M:$M,$B75,Points_Lookup!N:N),IF($B$4="R&amp;T Level 6 - Clinical Associate Professors and Clinical Readers (Vet School)",SUMIF(Points_Lookup!$T:$T,$B75,Points_Lookup!U:U),"")))</f>
        <v/>
      </c>
      <c r="S75" s="32" t="str">
        <f ca="1">IF(B75="","",IF($B$4="R&amp;T Level 5 - Clinical Lecturers (Vet School)",$C75-SUMIF(Points_Lookup!$M:$M,$B75,Points_Lookup!$O:$O),IF($B$4="R&amp;T Level 6 - Clinical Associate Professors and Clinical Readers (Vet School)",$C75-SUMIF(Points_Lookup!$T:$T,$B75,Points_Lookup!$V:$V),"")))</f>
        <v/>
      </c>
      <c r="T75" s="31" t="str">
        <f ca="1">IF(B75="","",IF($B$4="R&amp;T Level 5 - Clinical Lecturers (Vet School)",SUMIF(Points_Lookup!$M:$M,$B75,Points_Lookup!Q:Q),IF($B$4="R&amp;T Level 6 - Clinical Associate Professors and Clinical Readers (Vet School)",SUMIF(Points_Lookup!$T:$T,$B75,Points_Lookup!X:X),"")))</f>
        <v/>
      </c>
      <c r="U75" s="32" t="str">
        <f t="shared" ca="1" si="11"/>
        <v/>
      </c>
    </row>
    <row r="76" spans="2:21" x14ac:dyDescent="0.25">
      <c r="B76" s="6" t="str">
        <f ca="1">IFERROR(INDEX(Points_Lookup!A:A,MATCH($Z78,Points_Lookup!$AE:$AE,0)),"")</f>
        <v/>
      </c>
      <c r="C76" s="27" t="str">
        <f ca="1">IF(B76="","",IF($B$4="Apprenticeship",SUMIF(Points_Lookup!AA:AA,B76,Points_Lookup!AC:AC),IF(AND(OR($B$4="New Consultant Contract"),$B76&lt;&gt;""),INDEX(Points_Lookup!K:K,MATCH($B76,Points_Lookup!$J:$J,0)),IF(AND(OR($B$4="Clinical Lecturer / Medical Research Fellow",$B$4="Clinical Consultant - Old Contract (GP)"),$B76&lt;&gt;""),INDEX(Points_Lookup!H:H,MATCH($B76,Points_Lookup!$G:$G,0)),IF(AND(OR($B$4="APM Level 7",$B$4="R&amp;T Level 7",$B$4="APM Level 8"),B76&lt;&gt;""),INDEX(Points_Lookup!E:E,MATCH($Z76,Points_Lookup!$AE:$AE,0)),IF($B$4="R&amp;T Level 5 - Clinical Lecturers (Vet School)",SUMIF(Points_Lookup!$M:$M,$B76,Points_Lookup!$P:$P),IF($B$4="R&amp;T Level 6 - Clinical Associate Professors and Clinical Readers (Vet School)",SUMIF(Points_Lookup!$T:$T,$B76,Points_Lookup!$W:$W),IFERROR(INDEX(Points_Lookup!B:B,MATCH($Z76,Points_Lookup!$AE:$AE,0)),""))))))))</f>
        <v/>
      </c>
      <c r="D76" s="45"/>
      <c r="E76" s="27" t="str">
        <f ca="1">IF($B76="","",IF($B$4="Apprenticeship","-",SUM(IF(SUM(C76/12)&lt;Thresholds_Rates!$C$7,(SUM(C76/12)-Thresholds_Rates!$C$5)*Thresholds_Rates!$C$9,(Thresholds_Rates!$C$7-Thresholds_Rates!$C$5)*Thresholds_Rates!$C$9),IF(SUM(C76/12)&gt;Thresholds_Rates!$C$7,((SUM(C76/12)-Thresholds_Rates!$C$7)*Thresholds_Rates!$C$10),0),SUM(Thresholds_Rates!$C$5-Thresholds_Rates!$C$4)*-Thresholds_Rates!$C$8)*12))</f>
        <v/>
      </c>
      <c r="F76" s="27" t="str">
        <f ca="1">IF($B76="","",IF(AND($B$4="Salary Points 1 to 57",B76&lt;$AA$2),"-",IF(SUMIF(Grades!$A:$A,$B$4,Grades!BO:BO)=0,"-",IF(AND($B$4="Salary Points 1 to 57",B76&gt;=$AA$2),$C76*$AD$1,IF(AND(OR($B$4="New Consultant Contract"),$B76&lt;&gt;""),$C76*$AD$1,IF(AND(OR($B$4="Clinical Lecturer / Medical Research Fellow",$B$4="Clinical Consultant - Old Contract (GP)"),$B76&lt;&gt;""),$C76*$AD$1,IF(AND(OR($B$4="APM Level 7",$B$4="R&amp;T Level 7"),E76&lt;&gt;""),$C76*$AD$1,IF(SUMIF(Grades!$A:$A,$B$4,Grades!BO:BO)=1,$C76*$AD$1,""))))))))</f>
        <v/>
      </c>
      <c r="G76" s="27" t="str">
        <f ca="1">IF(B76="","",IF($B$4="Salary Points 1 to 57","-",IF(SUMIF(Grades!$A:$A,$B$4,Grades!BP:BP)=0,"-",IF(AND(OR($B$4="New Consultant Contract"),$B76&lt;&gt;""),$C76*$AD$2,IF(AND(OR($B$4="Clinical Lecturer / Medical Research Fellow",$B$4="Clinical Consultant - Old Contract (GP)"),$B76&lt;&gt;""),$C76*$AD$2,IF(AND(OR($B$4="APM Level 7",$B$4="R&amp;T Level 7"),F76&lt;&gt;""),$C76*$AD$2,IF(SUMIF(Grades!$A:$A,$B$4,Grades!BP:BP)=1,$C76*$AD$2,"")))))))</f>
        <v/>
      </c>
      <c r="H76" s="27" t="str">
        <f ca="1">IF(B76="","",IF(SUMIF(Grades!$A:$A,$B$4,Grades!BQ:BQ)=0,"-",IF(AND($B$4="Salary Points 1 to 57",B76&gt;$AA$3),"-",IF(AND($B$4="Salary Points 1 to 57",B76&lt;=$AA$3),$C76*$AD$3,IF(AND(OR($B$4="New Consultant Contract"),$B76&lt;&gt;""),$C76*$AD$3,IF(AND(OR($B$4="Clinical Lecturer / Medical Research Fellow",$B$4="Clinical Consultant - Old Contract (GP)"),$B76&lt;&gt;""),$C76*$AD$3,IF(AND(OR($B$4="APM Level 7",$B$4="R&amp;T Level 7"),G76&lt;&gt;""),$C76*$AD$3,IF(SUMIF(Grades!$A:$A,$B$4,Grades!BQ:BQ)=1,$C76*$AD$3,""))))))))</f>
        <v/>
      </c>
      <c r="I76" s="27" t="str">
        <f ca="1">IF($B76="","",ROUND(($C76-(Thresholds_Rates!$C$5*12))*Thresholds_Rates!$C$10,0))</f>
        <v/>
      </c>
      <c r="J76" s="27" t="str">
        <f ca="1">IF(B76="","",IF(AND($B$4="Salary Points 1 to 57",B76&gt;$AA$3),"-",IF(SUMIF(Grades!$A:$A,$B$4,Grades!BR:BR)=0,"-",IF(AND($B$4="Salary Points 1 to 57",B76&lt;=$AA$3),$C76*$AD$4,IF(AND(OR($B$4="New Consultant Contract"),$B76&lt;&gt;""),$C76*$AD$4,IF(AND(OR($B$4="Clinical Lecturer / Medical Research Fellow",$B$4="Clinical Consultant - Old Contract (GP)"),$B76&lt;&gt;""),$C76*$AD$4,IF(AND(OR($B$4="APM Level 7",$B$4="R&amp;T Level 7"),I76&lt;&gt;""),$C76*$AD$4,IF(SUMIF(Grades!$A:$A,$B$4,Grades!BQ:BQ)=1,$C76*$AD$4,""))))))))</f>
        <v/>
      </c>
      <c r="K76" s="6"/>
      <c r="L76" s="27" t="str">
        <f t="shared" ca="1" si="6"/>
        <v/>
      </c>
      <c r="M76" s="27" t="str">
        <f t="shared" ca="1" si="7"/>
        <v/>
      </c>
      <c r="N76" s="27" t="str">
        <f t="shared" ca="1" si="8"/>
        <v/>
      </c>
      <c r="O76" s="27" t="str">
        <f t="shared" ca="1" si="9"/>
        <v/>
      </c>
      <c r="P76" s="27" t="str">
        <f t="shared" ca="1" si="10"/>
        <v/>
      </c>
      <c r="R76" s="31" t="str">
        <f ca="1">IF(B76="","",IF($B$4="R&amp;T Level 5 - Clinical Lecturers (Vet School)",SUMIF(Points_Lookup!$M:$M,$B76,Points_Lookup!N:N),IF($B$4="R&amp;T Level 6 - Clinical Associate Professors and Clinical Readers (Vet School)",SUMIF(Points_Lookup!$T:$T,$B76,Points_Lookup!U:U),"")))</f>
        <v/>
      </c>
      <c r="S76" s="32" t="str">
        <f ca="1">IF(B76="","",IF($B$4="R&amp;T Level 5 - Clinical Lecturers (Vet School)",$C76-SUMIF(Points_Lookup!$M:$M,$B76,Points_Lookup!$O:$O),IF($B$4="R&amp;T Level 6 - Clinical Associate Professors and Clinical Readers (Vet School)",$C76-SUMIF(Points_Lookup!$T:$T,$B76,Points_Lookup!$V:$V),"")))</f>
        <v/>
      </c>
      <c r="T76" s="31" t="str">
        <f ca="1">IF(B76="","",IF($B$4="R&amp;T Level 5 - Clinical Lecturers (Vet School)",SUMIF(Points_Lookup!$M:$M,$B76,Points_Lookup!Q:Q),IF($B$4="R&amp;T Level 6 - Clinical Associate Professors and Clinical Readers (Vet School)",SUMIF(Points_Lookup!$T:$T,$B76,Points_Lookup!X:X),"")))</f>
        <v/>
      </c>
      <c r="U76" s="32" t="str">
        <f t="shared" ca="1" si="11"/>
        <v/>
      </c>
    </row>
    <row r="77" spans="2:21" x14ac:dyDescent="0.25">
      <c r="B77" s="6" t="str">
        <f ca="1">IFERROR(INDEX(Points_Lookup!A:A,MATCH($Z79,Points_Lookup!$AE:$AE,0)),"")</f>
        <v/>
      </c>
      <c r="C77" s="27" t="str">
        <f ca="1">IF(B77="","",IF($B$4="Apprenticeship",SUMIF(Points_Lookup!AA:AA,B77,Points_Lookup!AC:AC),IF(AND(OR($B$4="New Consultant Contract"),$B77&lt;&gt;""),INDEX(Points_Lookup!K:K,MATCH($B77,Points_Lookup!$J:$J,0)),IF(AND(OR($B$4="Clinical Lecturer / Medical Research Fellow",$B$4="Clinical Consultant - Old Contract (GP)"),$B77&lt;&gt;""),INDEX(Points_Lookup!H:H,MATCH($B77,Points_Lookup!$G:$G,0)),IF(AND(OR($B$4="APM Level 7",$B$4="R&amp;T Level 7",$B$4="APM Level 8"),B77&lt;&gt;""),INDEX(Points_Lookup!E:E,MATCH($Z77,Points_Lookup!$AE:$AE,0)),IF($B$4="R&amp;T Level 5 - Clinical Lecturers (Vet School)",SUMIF(Points_Lookup!$M:$M,$B77,Points_Lookup!$P:$P),IF($B$4="R&amp;T Level 6 - Clinical Associate Professors and Clinical Readers (Vet School)",SUMIF(Points_Lookup!$T:$T,$B77,Points_Lookup!$W:$W),IFERROR(INDEX(Points_Lookup!B:B,MATCH($Z77,Points_Lookup!$AE:$AE,0)),""))))))))</f>
        <v/>
      </c>
      <c r="D77" s="45"/>
      <c r="E77" s="27" t="str">
        <f ca="1">IF($B77="","",IF($B$4="Apprenticeship","-",SUM(IF(SUM(C77/12)&lt;Thresholds_Rates!$C$7,(SUM(C77/12)-Thresholds_Rates!$C$5)*Thresholds_Rates!$C$9,(Thresholds_Rates!$C$7-Thresholds_Rates!$C$5)*Thresholds_Rates!$C$9),IF(SUM(C77/12)&gt;Thresholds_Rates!$C$7,((SUM(C77/12)-Thresholds_Rates!$C$7)*Thresholds_Rates!$C$10),0),SUM(Thresholds_Rates!$C$5-Thresholds_Rates!$C$4)*-Thresholds_Rates!$C$8)*12))</f>
        <v/>
      </c>
      <c r="F77" s="27" t="str">
        <f ca="1">IF($B77="","",IF(AND($B$4="Salary Points 1 to 57",B77&lt;$AA$2),"-",IF(SUMIF(Grades!$A:$A,$B$4,Grades!BO:BO)=0,"-",IF(AND($B$4="Salary Points 1 to 57",B77&gt;=$AA$2),$C77*$AD$1,IF(AND(OR($B$4="New Consultant Contract"),$B77&lt;&gt;""),$C77*$AD$1,IF(AND(OR($B$4="Clinical Lecturer / Medical Research Fellow",$B$4="Clinical Consultant - Old Contract (GP)"),$B77&lt;&gt;""),$C77*$AD$1,IF(AND(OR($B$4="APM Level 7",$B$4="R&amp;T Level 7"),E77&lt;&gt;""),$C77*$AD$1,IF(SUMIF(Grades!$A:$A,$B$4,Grades!BO:BO)=1,$C77*$AD$1,""))))))))</f>
        <v/>
      </c>
      <c r="G77" s="27" t="str">
        <f ca="1">IF(B77="","",IF($B$4="Salary Points 1 to 57","-",IF(SUMIF(Grades!$A:$A,$B$4,Grades!BP:BP)=0,"-",IF(AND(OR($B$4="New Consultant Contract"),$B77&lt;&gt;""),$C77*$AD$2,IF(AND(OR($B$4="Clinical Lecturer / Medical Research Fellow",$B$4="Clinical Consultant - Old Contract (GP)"),$B77&lt;&gt;""),$C77*$AD$2,IF(AND(OR($B$4="APM Level 7",$B$4="R&amp;T Level 7"),F77&lt;&gt;""),$C77*$AD$2,IF(SUMIF(Grades!$A:$A,$B$4,Grades!BP:BP)=1,$C77*$AD$2,"")))))))</f>
        <v/>
      </c>
      <c r="H77" s="27" t="str">
        <f ca="1">IF(B77="","",IF(SUMIF(Grades!$A:$A,$B$4,Grades!BQ:BQ)=0,"-",IF(AND($B$4="Salary Points 1 to 57",B77&gt;$AA$3),"-",IF(AND($B$4="Salary Points 1 to 57",B77&lt;=$AA$3),$C77*$AD$3,IF(AND(OR($B$4="New Consultant Contract"),$B77&lt;&gt;""),$C77*$AD$3,IF(AND(OR($B$4="Clinical Lecturer / Medical Research Fellow",$B$4="Clinical Consultant - Old Contract (GP)"),$B77&lt;&gt;""),$C77*$AD$3,IF(AND(OR($B$4="APM Level 7",$B$4="R&amp;T Level 7"),G77&lt;&gt;""),$C77*$AD$3,IF(SUMIF(Grades!$A:$A,$B$4,Grades!BQ:BQ)=1,$C77*$AD$3,""))))))))</f>
        <v/>
      </c>
      <c r="I77" s="27" t="str">
        <f ca="1">IF($B77="","",ROUND(($C77-(Thresholds_Rates!$C$5*12))*Thresholds_Rates!$C$10,0))</f>
        <v/>
      </c>
      <c r="J77" s="27" t="str">
        <f ca="1">IF(B77="","",IF(AND($B$4="Salary Points 1 to 57",B77&gt;$AA$3),"-",IF(SUMIF(Grades!$A:$A,$B$4,Grades!BR:BR)=0,"-",IF(AND($B$4="Salary Points 1 to 57",B77&lt;=$AA$3),$C77*$AD$4,IF(AND(OR($B$4="New Consultant Contract"),$B77&lt;&gt;""),$C77*$AD$4,IF(AND(OR($B$4="Clinical Lecturer / Medical Research Fellow",$B$4="Clinical Consultant - Old Contract (GP)"),$B77&lt;&gt;""),$C77*$AD$4,IF(AND(OR($B$4="APM Level 7",$B$4="R&amp;T Level 7"),I77&lt;&gt;""),$C77*$AD$4,IF(SUMIF(Grades!$A:$A,$B$4,Grades!BQ:BQ)=1,$C77*$AD$4,""))))))))</f>
        <v/>
      </c>
      <c r="K77" s="6"/>
      <c r="L77" s="27" t="str">
        <f t="shared" ca="1" si="6"/>
        <v/>
      </c>
      <c r="M77" s="27" t="str">
        <f t="shared" ca="1" si="7"/>
        <v/>
      </c>
      <c r="N77" s="27" t="str">
        <f t="shared" ca="1" si="8"/>
        <v/>
      </c>
      <c r="O77" s="27" t="str">
        <f t="shared" ca="1" si="9"/>
        <v/>
      </c>
      <c r="P77" s="27" t="str">
        <f t="shared" ca="1" si="10"/>
        <v/>
      </c>
      <c r="R77" s="31" t="str">
        <f ca="1">IF(B77="","",IF($B$4="R&amp;T Level 5 - Clinical Lecturers (Vet School)",SUMIF(Points_Lookup!$M:$M,$B77,Points_Lookup!N:N),IF($B$4="R&amp;T Level 6 - Clinical Associate Professors and Clinical Readers (Vet School)",SUMIF(Points_Lookup!$T:$T,$B77,Points_Lookup!U:U),"")))</f>
        <v/>
      </c>
      <c r="S77" s="32" t="str">
        <f ca="1">IF(B77="","",IF($B$4="R&amp;T Level 5 - Clinical Lecturers (Vet School)",$C77-SUMIF(Points_Lookup!$M:$M,$B77,Points_Lookup!$O:$O),IF($B$4="R&amp;T Level 6 - Clinical Associate Professors and Clinical Readers (Vet School)",$C77-SUMIF(Points_Lookup!$T:$T,$B77,Points_Lookup!$V:$V),"")))</f>
        <v/>
      </c>
      <c r="T77" s="31" t="str">
        <f ca="1">IF(B77="","",IF($B$4="R&amp;T Level 5 - Clinical Lecturers (Vet School)",SUMIF(Points_Lookup!$M:$M,$B77,Points_Lookup!Q:Q),IF($B$4="R&amp;T Level 6 - Clinical Associate Professors and Clinical Readers (Vet School)",SUMIF(Points_Lookup!$T:$T,$B77,Points_Lookup!X:X),"")))</f>
        <v/>
      </c>
      <c r="U77" s="32" t="str">
        <f t="shared" ca="1" si="11"/>
        <v/>
      </c>
    </row>
    <row r="78" spans="2:21" x14ac:dyDescent="0.25">
      <c r="B78" s="6" t="str">
        <f ca="1">IFERROR(INDEX(Points_Lookup!A:A,MATCH($Z80,Points_Lookup!$AE:$AE,0)),"")</f>
        <v/>
      </c>
      <c r="C78" s="27" t="str">
        <f ca="1">IF(B78="","",IF($B$4="Apprenticeship",SUMIF(Points_Lookup!AA:AA,B78,Points_Lookup!AC:AC),IF(AND(OR($B$4="New Consultant Contract"),$B78&lt;&gt;""),INDEX(Points_Lookup!K:K,MATCH($B78,Points_Lookup!$J:$J,0)),IF(AND(OR($B$4="Clinical Lecturer / Medical Research Fellow",$B$4="Clinical Consultant - Old Contract (GP)"),$B78&lt;&gt;""),INDEX(Points_Lookup!H:H,MATCH($B78,Points_Lookup!$G:$G,0)),IF(AND(OR($B$4="APM Level 7",$B$4="R&amp;T Level 7",$B$4="APM Level 8"),B78&lt;&gt;""),INDEX(Points_Lookup!E:E,MATCH($Z78,Points_Lookup!$AE:$AE,0)),IF($B$4="R&amp;T Level 5 - Clinical Lecturers (Vet School)",SUMIF(Points_Lookup!$M:$M,$B78,Points_Lookup!$P:$P),IF($B$4="R&amp;T Level 6 - Clinical Associate Professors and Clinical Readers (Vet School)",SUMIF(Points_Lookup!$T:$T,$B78,Points_Lookup!$W:$W),IFERROR(INDEX(Points_Lookup!B:B,MATCH($Z78,Points_Lookup!$AE:$AE,0)),""))))))))</f>
        <v/>
      </c>
      <c r="D78" s="45"/>
      <c r="E78" s="27" t="str">
        <f ca="1">IF($B78="","",IF($B$4="Apprenticeship","-",SUM(IF(SUM(C78/12)&lt;Thresholds_Rates!$C$7,(SUM(C78/12)-Thresholds_Rates!$C$5)*Thresholds_Rates!$C$9,(Thresholds_Rates!$C$7-Thresholds_Rates!$C$5)*Thresholds_Rates!$C$9),IF(SUM(C78/12)&gt;Thresholds_Rates!$C$7,((SUM(C78/12)-Thresholds_Rates!$C$7)*Thresholds_Rates!$C$10),0),SUM(Thresholds_Rates!$C$5-Thresholds_Rates!$C$4)*-Thresholds_Rates!$C$8)*12))</f>
        <v/>
      </c>
      <c r="F78" s="27" t="str">
        <f ca="1">IF($B78="","",IF(AND($B$4="Salary Points 1 to 57",B78&lt;$AA$2),"-",IF(SUMIF(Grades!$A:$A,$B$4,Grades!BO:BO)=0,"-",IF(AND($B$4="Salary Points 1 to 57",B78&gt;=$AA$2),$C78*$AD$1,IF(AND(OR($B$4="New Consultant Contract"),$B78&lt;&gt;""),$C78*$AD$1,IF(AND(OR($B$4="Clinical Lecturer / Medical Research Fellow",$B$4="Clinical Consultant - Old Contract (GP)"),$B78&lt;&gt;""),$C78*$AD$1,IF(AND(OR($B$4="APM Level 7",$B$4="R&amp;T Level 7"),E78&lt;&gt;""),$C78*$AD$1,IF(SUMIF(Grades!$A:$A,$B$4,Grades!BO:BO)=1,$C78*$AD$1,""))))))))</f>
        <v/>
      </c>
      <c r="G78" s="27" t="str">
        <f ca="1">IF(B78="","",IF($B$4="Salary Points 1 to 57","-",IF(SUMIF(Grades!$A:$A,$B$4,Grades!BP:BP)=0,"-",IF(AND(OR($B$4="New Consultant Contract"),$B78&lt;&gt;""),$C78*$AD$2,IF(AND(OR($B$4="Clinical Lecturer / Medical Research Fellow",$B$4="Clinical Consultant - Old Contract (GP)"),$B78&lt;&gt;""),$C78*$AD$2,IF(AND(OR($B$4="APM Level 7",$B$4="R&amp;T Level 7"),F78&lt;&gt;""),$C78*$AD$2,IF(SUMIF(Grades!$A:$A,$B$4,Grades!BP:BP)=1,$C78*$AD$2,"")))))))</f>
        <v/>
      </c>
      <c r="H78" s="27" t="str">
        <f ca="1">IF(B78="","",IF(SUMIF(Grades!$A:$A,$B$4,Grades!BQ:BQ)=0,"-",IF(AND($B$4="Salary Points 1 to 57",B78&gt;$AA$3),"-",IF(AND($B$4="Salary Points 1 to 57",B78&lt;=$AA$3),$C78*$AD$3,IF(AND(OR($B$4="New Consultant Contract"),$B78&lt;&gt;""),$C78*$AD$3,IF(AND(OR($B$4="Clinical Lecturer / Medical Research Fellow",$B$4="Clinical Consultant - Old Contract (GP)"),$B78&lt;&gt;""),$C78*$AD$3,IF(AND(OR($B$4="APM Level 7",$B$4="R&amp;T Level 7"),G78&lt;&gt;""),$C78*$AD$3,IF(SUMIF(Grades!$A:$A,$B$4,Grades!BQ:BQ)=1,$C78*$AD$3,""))))))))</f>
        <v/>
      </c>
      <c r="I78" s="27" t="str">
        <f ca="1">IF($B78="","",ROUND(($C78-(Thresholds_Rates!$C$5*12))*Thresholds_Rates!$C$10,0))</f>
        <v/>
      </c>
      <c r="J78" s="27" t="str">
        <f ca="1">IF(B78="","",IF(AND($B$4="Salary Points 1 to 57",B78&gt;$AA$3),"-",IF(SUMIF(Grades!$A:$A,$B$4,Grades!BR:BR)=0,"-",IF(AND($B$4="Salary Points 1 to 57",B78&lt;=$AA$3),$C78*$AD$4,IF(AND(OR($B$4="New Consultant Contract"),$B78&lt;&gt;""),$C78*$AD$4,IF(AND(OR($B$4="Clinical Lecturer / Medical Research Fellow",$B$4="Clinical Consultant - Old Contract (GP)"),$B78&lt;&gt;""),$C78*$AD$4,IF(AND(OR($B$4="APM Level 7",$B$4="R&amp;T Level 7"),I78&lt;&gt;""),$C78*$AD$4,IF(SUMIF(Grades!$A:$A,$B$4,Grades!BQ:BQ)=1,$C78*$AD$4,""))))))))</f>
        <v/>
      </c>
      <c r="K78" s="6"/>
      <c r="L78" s="27" t="str">
        <f t="shared" ca="1" si="6"/>
        <v/>
      </c>
      <c r="M78" s="27" t="str">
        <f t="shared" ca="1" si="7"/>
        <v/>
      </c>
      <c r="N78" s="27" t="str">
        <f t="shared" ca="1" si="8"/>
        <v/>
      </c>
      <c r="O78" s="27" t="str">
        <f t="shared" ca="1" si="9"/>
        <v/>
      </c>
      <c r="P78" s="27" t="str">
        <f t="shared" ca="1" si="10"/>
        <v/>
      </c>
      <c r="R78" s="31" t="str">
        <f ca="1">IF(B78="","",IF($B$4="R&amp;T Level 5 - Clinical Lecturers (Vet School)",SUMIF(Points_Lookup!$M:$M,$B78,Points_Lookup!N:N),IF($B$4="R&amp;T Level 6 - Clinical Associate Professors and Clinical Readers (Vet School)",SUMIF(Points_Lookup!$T:$T,$B78,Points_Lookup!U:U),"")))</f>
        <v/>
      </c>
      <c r="S78" s="32" t="str">
        <f ca="1">IF(B78="","",IF($B$4="R&amp;T Level 5 - Clinical Lecturers (Vet School)",$C78-SUMIF(Points_Lookup!$M:$M,$B78,Points_Lookup!$O:$O),IF($B$4="R&amp;T Level 6 - Clinical Associate Professors and Clinical Readers (Vet School)",$C78-SUMIF(Points_Lookup!$T:$T,$B78,Points_Lookup!$V:$V),"")))</f>
        <v/>
      </c>
      <c r="T78" s="31" t="str">
        <f ca="1">IF(B78="","",IF($B$4="R&amp;T Level 5 - Clinical Lecturers (Vet School)",SUMIF(Points_Lookup!$M:$M,$B78,Points_Lookup!Q:Q),IF($B$4="R&amp;T Level 6 - Clinical Associate Professors and Clinical Readers (Vet School)",SUMIF(Points_Lookup!$T:$T,$B78,Points_Lookup!X:X),"")))</f>
        <v/>
      </c>
      <c r="U78" s="32" t="str">
        <f t="shared" ca="1" si="11"/>
        <v/>
      </c>
    </row>
    <row r="79" spans="2:21" x14ac:dyDescent="0.25">
      <c r="B79" s="6" t="str">
        <f ca="1">IFERROR(INDEX(Points_Lookup!A:A,MATCH($Z81,Points_Lookup!$AE:$AE,0)),"")</f>
        <v/>
      </c>
      <c r="C79" s="27" t="str">
        <f ca="1">IF(B79="","",IF($B$4="Apprenticeship",SUMIF(Points_Lookup!AA:AA,B79,Points_Lookup!AC:AC),IF(AND(OR($B$4="New Consultant Contract"),$B79&lt;&gt;""),INDEX(Points_Lookup!K:K,MATCH($B79,Points_Lookup!$J:$J,0)),IF(AND(OR($B$4="Clinical Lecturer / Medical Research Fellow",$B$4="Clinical Consultant - Old Contract (GP)"),$B79&lt;&gt;""),INDEX(Points_Lookup!H:H,MATCH($B79,Points_Lookup!$G:$G,0)),IF(AND(OR($B$4="APM Level 7",$B$4="R&amp;T Level 7",$B$4="APM Level 8"),B79&lt;&gt;""),INDEX(Points_Lookup!E:E,MATCH($Z79,Points_Lookup!$AE:$AE,0)),IF($B$4="R&amp;T Level 5 - Clinical Lecturers (Vet School)",SUMIF(Points_Lookup!$M:$M,$B79,Points_Lookup!$P:$P),IF($B$4="R&amp;T Level 6 - Clinical Associate Professors and Clinical Readers (Vet School)",SUMIF(Points_Lookup!$T:$T,$B79,Points_Lookup!$W:$W),IFERROR(INDEX(Points_Lookup!B:B,MATCH($Z79,Points_Lookup!$AE:$AE,0)),""))))))))</f>
        <v/>
      </c>
      <c r="D79" s="45"/>
      <c r="E79" s="27" t="str">
        <f ca="1">IF($B79="","",IF($B$4="Apprenticeship","-",SUM(IF(SUM(C79/12)&lt;Thresholds_Rates!$C$7,(SUM(C79/12)-Thresholds_Rates!$C$5)*Thresholds_Rates!$C$9,(Thresholds_Rates!$C$7-Thresholds_Rates!$C$5)*Thresholds_Rates!$C$9),IF(SUM(C79/12)&gt;Thresholds_Rates!$C$7,((SUM(C79/12)-Thresholds_Rates!$C$7)*Thresholds_Rates!$C$10),0),SUM(Thresholds_Rates!$C$5-Thresholds_Rates!$C$4)*-Thresholds_Rates!$C$8)*12))</f>
        <v/>
      </c>
      <c r="F79" s="27" t="str">
        <f ca="1">IF($B79="","",IF(AND($B$4="Salary Points 1 to 57",B79&lt;$AA$2),"-",IF(SUMIF(Grades!$A:$A,$B$4,Grades!BO:BO)=0,"-",IF(AND($B$4="Salary Points 1 to 57",B79&gt;=$AA$2),$C79*$AD$1,IF(AND(OR($B$4="New Consultant Contract"),$B79&lt;&gt;""),$C79*$AD$1,IF(AND(OR($B$4="Clinical Lecturer / Medical Research Fellow",$B$4="Clinical Consultant - Old Contract (GP)"),$B79&lt;&gt;""),$C79*$AD$1,IF(AND(OR($B$4="APM Level 7",$B$4="R&amp;T Level 7"),E79&lt;&gt;""),$C79*$AD$1,IF(SUMIF(Grades!$A:$A,$B$4,Grades!BO:BO)=1,$C79*$AD$1,""))))))))</f>
        <v/>
      </c>
      <c r="G79" s="27" t="str">
        <f ca="1">IF(B79="","",IF($B$4="Salary Points 1 to 57","-",IF(SUMIF(Grades!$A:$A,$B$4,Grades!BP:BP)=0,"-",IF(AND(OR($B$4="New Consultant Contract"),$B79&lt;&gt;""),$C79*$AD$2,IF(AND(OR($B$4="Clinical Lecturer / Medical Research Fellow",$B$4="Clinical Consultant - Old Contract (GP)"),$B79&lt;&gt;""),$C79*$AD$2,IF(AND(OR($B$4="APM Level 7",$B$4="R&amp;T Level 7"),F79&lt;&gt;""),$C79*$AD$2,IF(SUMIF(Grades!$A:$A,$B$4,Grades!BP:BP)=1,$C79*$AD$2,"")))))))</f>
        <v/>
      </c>
      <c r="H79" s="27" t="str">
        <f ca="1">IF(B79="","",IF(SUMIF(Grades!$A:$A,$B$4,Grades!BQ:BQ)=0,"-",IF(AND($B$4="Salary Points 1 to 57",B79&gt;$AA$3),"-",IF(AND($B$4="Salary Points 1 to 57",B79&lt;=$AA$3),$C79*$AD$3,IF(AND(OR($B$4="New Consultant Contract"),$B79&lt;&gt;""),$C79*$AD$3,IF(AND(OR($B$4="Clinical Lecturer / Medical Research Fellow",$B$4="Clinical Consultant - Old Contract (GP)"),$B79&lt;&gt;""),$C79*$AD$3,IF(AND(OR($B$4="APM Level 7",$B$4="R&amp;T Level 7"),G79&lt;&gt;""),$C79*$AD$3,IF(SUMIF(Grades!$A:$A,$B$4,Grades!BQ:BQ)=1,$C79*$AD$3,""))))))))</f>
        <v/>
      </c>
      <c r="I79" s="27" t="str">
        <f ca="1">IF($B79="","",ROUND(($C79-(Thresholds_Rates!$C$5*12))*Thresholds_Rates!$C$10,0))</f>
        <v/>
      </c>
      <c r="J79" s="27" t="str">
        <f ca="1">IF(B79="","",IF(AND($B$4="Salary Points 1 to 57",B79&gt;$AA$3),"-",IF(SUMIF(Grades!$A:$A,$B$4,Grades!BR:BR)=0,"-",IF(AND($B$4="Salary Points 1 to 57",B79&lt;=$AA$3),$C79*$AD$4,IF(AND(OR($B$4="New Consultant Contract"),$B79&lt;&gt;""),$C79*$AD$4,IF(AND(OR($B$4="Clinical Lecturer / Medical Research Fellow",$B$4="Clinical Consultant - Old Contract (GP)"),$B79&lt;&gt;""),$C79*$AD$4,IF(AND(OR($B$4="APM Level 7",$B$4="R&amp;T Level 7"),I79&lt;&gt;""),$C79*$AD$4,IF(SUMIF(Grades!$A:$A,$B$4,Grades!BQ:BQ)=1,$C79*$AD$4,""))))))))</f>
        <v/>
      </c>
      <c r="K79" s="6"/>
      <c r="L79" s="27" t="str">
        <f t="shared" ca="1" si="6"/>
        <v/>
      </c>
      <c r="M79" s="27" t="str">
        <f t="shared" ca="1" si="7"/>
        <v/>
      </c>
      <c r="N79" s="27" t="str">
        <f t="shared" ca="1" si="8"/>
        <v/>
      </c>
      <c r="O79" s="27" t="str">
        <f t="shared" ca="1" si="9"/>
        <v/>
      </c>
      <c r="P79" s="27" t="str">
        <f t="shared" ca="1" si="10"/>
        <v/>
      </c>
      <c r="R79" s="31" t="str">
        <f ca="1">IF(B79="","",IF($B$4="R&amp;T Level 5 - Clinical Lecturers (Vet School)",SUMIF(Points_Lookup!$M:$M,$B79,Points_Lookup!N:N),IF($B$4="R&amp;T Level 6 - Clinical Associate Professors and Clinical Readers (Vet School)",SUMIF(Points_Lookup!$T:$T,$B79,Points_Lookup!U:U),"")))</f>
        <v/>
      </c>
      <c r="S79" s="32" t="str">
        <f ca="1">IF(B79="","",IF($B$4="R&amp;T Level 5 - Clinical Lecturers (Vet School)",$C79-SUMIF(Points_Lookup!$M:$M,$B79,Points_Lookup!$O:$O),IF($B$4="R&amp;T Level 6 - Clinical Associate Professors and Clinical Readers (Vet School)",$C79-SUMIF(Points_Lookup!$T:$T,$B79,Points_Lookup!$V:$V),"")))</f>
        <v/>
      </c>
      <c r="T79" s="31" t="str">
        <f ca="1">IF(B79="","",IF($B$4="R&amp;T Level 5 - Clinical Lecturers (Vet School)",SUMIF(Points_Lookup!$M:$M,$B79,Points_Lookup!Q:Q),IF($B$4="R&amp;T Level 6 - Clinical Associate Professors and Clinical Readers (Vet School)",SUMIF(Points_Lookup!$T:$T,$B79,Points_Lookup!X:X),"")))</f>
        <v/>
      </c>
      <c r="U79" s="32" t="str">
        <f t="shared" ca="1" si="11"/>
        <v/>
      </c>
    </row>
    <row r="80" spans="2:21" x14ac:dyDescent="0.25">
      <c r="B80" s="6" t="str">
        <f ca="1">IFERROR(INDEX(Points_Lookup!A:A,MATCH($Z82,Points_Lookup!$AE:$AE,0)),"")</f>
        <v/>
      </c>
      <c r="C80" s="27" t="str">
        <f ca="1">IF(B80="","",IF($B$4="Apprenticeship",SUMIF(Points_Lookup!AA:AA,B80,Points_Lookup!AC:AC),IF(AND(OR($B$4="New Consultant Contract"),$B80&lt;&gt;""),INDEX(Points_Lookup!K:K,MATCH($B80,Points_Lookup!$J:$J,0)),IF(AND(OR($B$4="Clinical Lecturer / Medical Research Fellow",$B$4="Clinical Consultant - Old Contract (GP)"),$B80&lt;&gt;""),INDEX(Points_Lookup!H:H,MATCH($B80,Points_Lookup!$G:$G,0)),IF(AND(OR($B$4="APM Level 7",$B$4="R&amp;T Level 7",$B$4="APM Level 8"),B80&lt;&gt;""),INDEX(Points_Lookup!E:E,MATCH($Z80,Points_Lookup!$AE:$AE,0)),IF($B$4="R&amp;T Level 5 - Clinical Lecturers (Vet School)",SUMIF(Points_Lookup!$M:$M,$B80,Points_Lookup!$P:$P),IF($B$4="R&amp;T Level 6 - Clinical Associate Professors and Clinical Readers (Vet School)",SUMIF(Points_Lookup!$T:$T,$B80,Points_Lookup!$W:$W),IFERROR(INDEX(Points_Lookup!B:B,MATCH($Z80,Points_Lookup!$AE:$AE,0)),""))))))))</f>
        <v/>
      </c>
      <c r="D80" s="45"/>
      <c r="E80" s="27" t="str">
        <f ca="1">IF($B80="","",IF($B$4="Apprenticeship","-",SUM(IF(SUM(C80/12)&lt;Thresholds_Rates!$C$7,(SUM(C80/12)-Thresholds_Rates!$C$5)*Thresholds_Rates!$C$9,(Thresholds_Rates!$C$7-Thresholds_Rates!$C$5)*Thresholds_Rates!$C$9),IF(SUM(C80/12)&gt;Thresholds_Rates!$C$7,((SUM(C80/12)-Thresholds_Rates!$C$7)*Thresholds_Rates!$C$10),0),SUM(Thresholds_Rates!$C$5-Thresholds_Rates!$C$4)*-Thresholds_Rates!$C$8)*12))</f>
        <v/>
      </c>
      <c r="F80" s="27" t="str">
        <f ca="1">IF($B80="","",IF(AND($B$4="Salary Points 1 to 57",B80&lt;$AA$2),"-",IF(SUMIF(Grades!$A:$A,$B$4,Grades!BO:BO)=0,"-",IF(AND($B$4="Salary Points 1 to 57",B80&gt;=$AA$2),$C80*$AD$1,IF(AND(OR($B$4="New Consultant Contract"),$B80&lt;&gt;""),$C80*$AD$1,IF(AND(OR($B$4="Clinical Lecturer / Medical Research Fellow",$B$4="Clinical Consultant - Old Contract (GP)"),$B80&lt;&gt;""),$C80*$AD$1,IF(AND(OR($B$4="APM Level 7",$B$4="R&amp;T Level 7"),E80&lt;&gt;""),$C80*$AD$1,IF(SUMIF(Grades!$A:$A,$B$4,Grades!BO:BO)=1,$C80*$AD$1,""))))))))</f>
        <v/>
      </c>
      <c r="G80" s="27" t="str">
        <f ca="1">IF(B80="","",IF($B$4="Salary Points 1 to 57","-",IF(SUMIF(Grades!$A:$A,$B$4,Grades!BP:BP)=0,"-",IF(AND(OR($B$4="New Consultant Contract"),$B80&lt;&gt;""),$C80*$AD$2,IF(AND(OR($B$4="Clinical Lecturer / Medical Research Fellow",$B$4="Clinical Consultant - Old Contract (GP)"),$B80&lt;&gt;""),$C80*$AD$2,IF(AND(OR($B$4="APM Level 7",$B$4="R&amp;T Level 7"),F80&lt;&gt;""),$C80*$AD$2,IF(SUMIF(Grades!$A:$A,$B$4,Grades!BP:BP)=1,$C80*$AD$2,"")))))))</f>
        <v/>
      </c>
      <c r="H80" s="27" t="str">
        <f ca="1">IF(B80="","",IF(SUMIF(Grades!$A:$A,$B$4,Grades!BQ:BQ)=0,"-",IF(AND($B$4="Salary Points 1 to 57",B80&gt;$AA$3),"-",IF(AND($B$4="Salary Points 1 to 57",B80&lt;=$AA$3),$C80*$AD$3,IF(AND(OR($B$4="New Consultant Contract"),$B80&lt;&gt;""),$C80*$AD$3,IF(AND(OR($B$4="Clinical Lecturer / Medical Research Fellow",$B$4="Clinical Consultant - Old Contract (GP)"),$B80&lt;&gt;""),$C80*$AD$3,IF(AND(OR($B$4="APM Level 7",$B$4="R&amp;T Level 7"),G80&lt;&gt;""),$C80*$AD$3,IF(SUMIF(Grades!$A:$A,$B$4,Grades!BQ:BQ)=1,$C80*$AD$3,""))))))))</f>
        <v/>
      </c>
      <c r="I80" s="27" t="str">
        <f ca="1">IF($B80="","",ROUND(($C80-(Thresholds_Rates!$C$5*12))*Thresholds_Rates!$C$10,0))</f>
        <v/>
      </c>
      <c r="J80" s="27" t="str">
        <f ca="1">IF(B80="","",IF(AND($B$4="Salary Points 1 to 57",B80&gt;$AA$3),"-",IF(SUMIF(Grades!$A:$A,$B$4,Grades!BR:BR)=0,"-",IF(AND($B$4="Salary Points 1 to 57",B80&lt;=$AA$3),$C80*$AD$4,IF(AND(OR($B$4="New Consultant Contract"),$B80&lt;&gt;""),$C80*$AD$4,IF(AND(OR($B$4="Clinical Lecturer / Medical Research Fellow",$B$4="Clinical Consultant - Old Contract (GP)"),$B80&lt;&gt;""),$C80*$AD$4,IF(AND(OR($B$4="APM Level 7",$B$4="R&amp;T Level 7"),I80&lt;&gt;""),$C80*$AD$4,IF(SUMIF(Grades!$A:$A,$B$4,Grades!BQ:BQ)=1,$C80*$AD$4,""))))))))</f>
        <v/>
      </c>
      <c r="K80" s="6"/>
      <c r="L80" s="27" t="str">
        <f t="shared" ca="1" si="6"/>
        <v/>
      </c>
      <c r="M80" s="27" t="str">
        <f t="shared" ca="1" si="7"/>
        <v/>
      </c>
      <c r="N80" s="27" t="str">
        <f t="shared" ca="1" si="8"/>
        <v/>
      </c>
      <c r="O80" s="27" t="str">
        <f t="shared" ca="1" si="9"/>
        <v/>
      </c>
      <c r="P80" s="27" t="str">
        <f t="shared" ca="1" si="10"/>
        <v/>
      </c>
      <c r="R80" s="31" t="str">
        <f ca="1">IF(B80="","",IF($B$4="R&amp;T Level 5 - Clinical Lecturers (Vet School)",SUMIF(Points_Lookup!$M:$M,$B80,Points_Lookup!N:N),IF($B$4="R&amp;T Level 6 - Clinical Associate Professors and Clinical Readers (Vet School)",SUMIF(Points_Lookup!$T:$T,$B80,Points_Lookup!U:U),"")))</f>
        <v/>
      </c>
      <c r="S80" s="32" t="str">
        <f ca="1">IF(B80="","",IF($B$4="R&amp;T Level 5 - Clinical Lecturers (Vet School)",$C80-SUMIF(Points_Lookup!$M:$M,$B80,Points_Lookup!$O:$O),IF($B$4="R&amp;T Level 6 - Clinical Associate Professors and Clinical Readers (Vet School)",$C80-SUMIF(Points_Lookup!$T:$T,$B80,Points_Lookup!$V:$V),"")))</f>
        <v/>
      </c>
      <c r="T80" s="31" t="str">
        <f ca="1">IF(B80="","",IF($B$4="R&amp;T Level 5 - Clinical Lecturers (Vet School)",SUMIF(Points_Lookup!$M:$M,$B80,Points_Lookup!Q:Q),IF($B$4="R&amp;T Level 6 - Clinical Associate Professors and Clinical Readers (Vet School)",SUMIF(Points_Lookup!$T:$T,$B80,Points_Lookup!X:X),"")))</f>
        <v/>
      </c>
      <c r="U80" s="32" t="str">
        <f t="shared" ca="1" si="11"/>
        <v/>
      </c>
    </row>
    <row r="81" spans="2:21" x14ac:dyDescent="0.25">
      <c r="B81" s="6" t="str">
        <f ca="1">IFERROR(INDEX(Points_Lookup!A:A,MATCH($Z83,Points_Lookup!$AE:$AE,0)),"")</f>
        <v/>
      </c>
      <c r="C81" s="27" t="str">
        <f ca="1">IF(B81="","",IF($B$4="Apprenticeship",SUMIF(Points_Lookup!AA:AA,B81,Points_Lookup!AC:AC),IF(AND(OR($B$4="New Consultant Contract"),$B81&lt;&gt;""),INDEX(Points_Lookup!K:K,MATCH($B81,Points_Lookup!$J:$J,0)),IF(AND(OR($B$4="Clinical Lecturer / Medical Research Fellow",$B$4="Clinical Consultant - Old Contract (GP)"),$B81&lt;&gt;""),INDEX(Points_Lookup!H:H,MATCH($B81,Points_Lookup!$G:$G,0)),IF(AND(OR($B$4="APM Level 7",$B$4="R&amp;T Level 7",$B$4="APM Level 8"),B81&lt;&gt;""),INDEX(Points_Lookup!E:E,MATCH($Z81,Points_Lookup!$AE:$AE,0)),IF($B$4="R&amp;T Level 5 - Clinical Lecturers (Vet School)",SUMIF(Points_Lookup!$M:$M,$B81,Points_Lookup!$P:$P),IF($B$4="R&amp;T Level 6 - Clinical Associate Professors and Clinical Readers (Vet School)",SUMIF(Points_Lookup!$T:$T,$B81,Points_Lookup!$W:$W),IFERROR(INDEX(Points_Lookup!B:B,MATCH($Z81,Points_Lookup!$AE:$AE,0)),""))))))))</f>
        <v/>
      </c>
      <c r="D81" s="45"/>
      <c r="E81" s="27" t="str">
        <f ca="1">IF($B81="","",IF($B$4="Apprenticeship","-",SUM(IF(SUM(C81/12)&lt;Thresholds_Rates!$C$7,(SUM(C81/12)-Thresholds_Rates!$C$5)*Thresholds_Rates!$C$9,(Thresholds_Rates!$C$7-Thresholds_Rates!$C$5)*Thresholds_Rates!$C$9),IF(SUM(C81/12)&gt;Thresholds_Rates!$C$7,((SUM(C81/12)-Thresholds_Rates!$C$7)*Thresholds_Rates!$C$10),0),SUM(Thresholds_Rates!$C$5-Thresholds_Rates!$C$4)*-Thresholds_Rates!$C$8)*12))</f>
        <v/>
      </c>
      <c r="F81" s="27" t="str">
        <f ca="1">IF($B81="","",IF(AND($B$4="Salary Points 1 to 57",B81&lt;$AA$2),"-",IF(SUMIF(Grades!$A:$A,$B$4,Grades!BO:BO)=0,"-",IF(AND($B$4="Salary Points 1 to 57",B81&gt;=$AA$2),$C81*$AD$1,IF(AND(OR($B$4="New Consultant Contract"),$B81&lt;&gt;""),$C81*$AD$1,IF(AND(OR($B$4="Clinical Lecturer / Medical Research Fellow",$B$4="Clinical Consultant - Old Contract (GP)"),$B81&lt;&gt;""),$C81*$AD$1,IF(AND(OR($B$4="APM Level 7",$B$4="R&amp;T Level 7"),E81&lt;&gt;""),$C81*$AD$1,IF(SUMIF(Grades!$A:$A,$B$4,Grades!BO:BO)=1,$C81*$AD$1,""))))))))</f>
        <v/>
      </c>
      <c r="G81" s="27" t="str">
        <f ca="1">IF(B81="","",IF($B$4="Salary Points 1 to 57","-",IF(SUMIF(Grades!$A:$A,$B$4,Grades!BP:BP)=0,"-",IF(AND(OR($B$4="New Consultant Contract"),$B81&lt;&gt;""),$C81*$AD$2,IF(AND(OR($B$4="Clinical Lecturer / Medical Research Fellow",$B$4="Clinical Consultant - Old Contract (GP)"),$B81&lt;&gt;""),$C81*$AD$2,IF(AND(OR($B$4="APM Level 7",$B$4="R&amp;T Level 7"),F81&lt;&gt;""),$C81*$AD$2,IF(SUMIF(Grades!$A:$A,$B$4,Grades!BP:BP)=1,$C81*$AD$2,"")))))))</f>
        <v/>
      </c>
      <c r="H81" s="27" t="str">
        <f ca="1">IF(B81="","",IF(SUMIF(Grades!$A:$A,$B$4,Grades!BQ:BQ)=0,"-",IF(AND($B$4="Salary Points 1 to 57",B81&gt;$AA$3),"-",IF(AND($B$4="Salary Points 1 to 57",B81&lt;=$AA$3),$C81*$AD$3,IF(AND(OR($B$4="New Consultant Contract"),$B81&lt;&gt;""),$C81*$AD$3,IF(AND(OR($B$4="Clinical Lecturer / Medical Research Fellow",$B$4="Clinical Consultant - Old Contract (GP)"),$B81&lt;&gt;""),$C81*$AD$3,IF(AND(OR($B$4="APM Level 7",$B$4="R&amp;T Level 7"),G81&lt;&gt;""),$C81*$AD$3,IF(SUMIF(Grades!$A:$A,$B$4,Grades!BQ:BQ)=1,$C81*$AD$3,""))))))))</f>
        <v/>
      </c>
      <c r="I81" s="27" t="str">
        <f ca="1">IF($B81="","",ROUND(($C81-(Thresholds_Rates!$C$5*12))*Thresholds_Rates!$C$10,0))</f>
        <v/>
      </c>
      <c r="J81" s="27" t="str">
        <f ca="1">IF(B81="","",IF(AND($B$4="Salary Points 1 to 57",B81&gt;$AA$3),"-",IF(SUMIF(Grades!$A:$A,$B$4,Grades!BR:BR)=0,"-",IF(AND($B$4="Salary Points 1 to 57",B81&lt;=$AA$3),$C81*$AD$4,IF(AND(OR($B$4="New Consultant Contract"),$B81&lt;&gt;""),$C81*$AD$4,IF(AND(OR($B$4="Clinical Lecturer / Medical Research Fellow",$B$4="Clinical Consultant - Old Contract (GP)"),$B81&lt;&gt;""),$C81*$AD$4,IF(AND(OR($B$4="APM Level 7",$B$4="R&amp;T Level 7"),I81&lt;&gt;""),$C81*$AD$4,IF(SUMIF(Grades!$A:$A,$B$4,Grades!BQ:BQ)=1,$C81*$AD$4,""))))))))</f>
        <v/>
      </c>
      <c r="K81" s="6"/>
      <c r="L81" s="27" t="str">
        <f t="shared" ca="1" si="6"/>
        <v/>
      </c>
      <c r="M81" s="27" t="str">
        <f t="shared" ca="1" si="7"/>
        <v/>
      </c>
      <c r="N81" s="27" t="str">
        <f t="shared" ca="1" si="8"/>
        <v/>
      </c>
      <c r="O81" s="27" t="str">
        <f t="shared" ca="1" si="9"/>
        <v/>
      </c>
      <c r="P81" s="27" t="str">
        <f t="shared" ca="1" si="10"/>
        <v/>
      </c>
      <c r="R81" s="31" t="str">
        <f ca="1">IF(B81="","",IF($B$4="R&amp;T Level 5 - Clinical Lecturers (Vet School)",SUMIF(Points_Lookup!$M:$M,$B81,Points_Lookup!N:N),IF($B$4="R&amp;T Level 6 - Clinical Associate Professors and Clinical Readers (Vet School)",SUMIF(Points_Lookup!$T:$T,$B81,Points_Lookup!U:U),"")))</f>
        <v/>
      </c>
      <c r="S81" s="32" t="str">
        <f ca="1">IF(B81="","",IF($B$4="R&amp;T Level 5 - Clinical Lecturers (Vet School)",$C81-SUMIF(Points_Lookup!$M:$M,$B81,Points_Lookup!$O:$O),IF($B$4="R&amp;T Level 6 - Clinical Associate Professors and Clinical Readers (Vet School)",$C81-SUMIF(Points_Lookup!$T:$T,$B81,Points_Lookup!$V:$V),"")))</f>
        <v/>
      </c>
      <c r="T81" s="31" t="str">
        <f ca="1">IF(B81="","",IF($B$4="R&amp;T Level 5 - Clinical Lecturers (Vet School)",SUMIF(Points_Lookup!$M:$M,$B81,Points_Lookup!Q:Q),IF($B$4="R&amp;T Level 6 - Clinical Associate Professors and Clinical Readers (Vet School)",SUMIF(Points_Lookup!$T:$T,$B81,Points_Lookup!X:X),"")))</f>
        <v/>
      </c>
      <c r="U81" s="32" t="str">
        <f t="shared" ca="1" si="11"/>
        <v/>
      </c>
    </row>
    <row r="82" spans="2:21" x14ac:dyDescent="0.25">
      <c r="B82" s="6" t="str">
        <f ca="1">IFERROR(INDEX(Points_Lookup!A:A,MATCH($Z84,Points_Lookup!$AE:$AE,0)),"")</f>
        <v/>
      </c>
      <c r="C82" s="27" t="str">
        <f ca="1">IF(B82="","",IF($B$4="Apprenticeship",SUMIF(Points_Lookup!AA:AA,B82,Points_Lookup!AC:AC),IF(AND(OR($B$4="New Consultant Contract"),$B82&lt;&gt;""),INDEX(Points_Lookup!K:K,MATCH($B82,Points_Lookup!$J:$J,0)),IF(AND(OR($B$4="Clinical Lecturer / Medical Research Fellow",$B$4="Clinical Consultant - Old Contract (GP)"),$B82&lt;&gt;""),INDEX(Points_Lookup!H:H,MATCH($B82,Points_Lookup!$G:$G,0)),IF(AND(OR($B$4="APM Level 7",$B$4="R&amp;T Level 7",$B$4="APM Level 8"),B82&lt;&gt;""),INDEX(Points_Lookup!E:E,MATCH($Z82,Points_Lookup!$AE:$AE,0)),IF($B$4="R&amp;T Level 5 - Clinical Lecturers (Vet School)",SUMIF(Points_Lookup!$M:$M,$B82,Points_Lookup!$P:$P),IF($B$4="R&amp;T Level 6 - Clinical Associate Professors and Clinical Readers (Vet School)",SUMIF(Points_Lookup!$T:$T,$B82,Points_Lookup!$W:$W),IFERROR(INDEX(Points_Lookup!B:B,MATCH($Z82,Points_Lookup!$AE:$AE,0)),""))))))))</f>
        <v/>
      </c>
      <c r="D82" s="45"/>
      <c r="E82" s="27" t="str">
        <f ca="1">IF($B82="","",IF($B$4="Apprenticeship","-",SUM(IF(SUM(C82/12)&lt;Thresholds_Rates!$C$7,(SUM(C82/12)-Thresholds_Rates!$C$5)*Thresholds_Rates!$C$9,(Thresholds_Rates!$C$7-Thresholds_Rates!$C$5)*Thresholds_Rates!$C$9),IF(SUM(C82/12)&gt;Thresholds_Rates!$C$7,((SUM(C82/12)-Thresholds_Rates!$C$7)*Thresholds_Rates!$C$10),0),SUM(Thresholds_Rates!$C$5-Thresholds_Rates!$C$4)*-Thresholds_Rates!$C$8)*12))</f>
        <v/>
      </c>
      <c r="F82" s="27" t="str">
        <f ca="1">IF($B82="","",IF(AND($B$4="Salary Points 1 to 57",B82&lt;$AA$2),"-",IF(SUMIF(Grades!$A:$A,$B$4,Grades!BO:BO)=0,"-",IF(AND($B$4="Salary Points 1 to 57",B82&gt;=$AA$2),$C82*$AD$1,IF(AND(OR($B$4="New Consultant Contract"),$B82&lt;&gt;""),$C82*$AD$1,IF(AND(OR($B$4="Clinical Lecturer / Medical Research Fellow",$B$4="Clinical Consultant - Old Contract (GP)"),$B82&lt;&gt;""),$C82*$AD$1,IF(AND(OR($B$4="APM Level 7",$B$4="R&amp;T Level 7"),E82&lt;&gt;""),$C82*$AD$1,IF(SUMIF(Grades!$A:$A,$B$4,Grades!BO:BO)=1,$C82*$AD$1,""))))))))</f>
        <v/>
      </c>
      <c r="G82" s="27" t="str">
        <f ca="1">IF(B82="","",IF($B$4="Salary Points 1 to 57","-",IF(SUMIF(Grades!$A:$A,$B$4,Grades!BP:BP)=0,"-",IF(AND(OR($B$4="New Consultant Contract"),$B82&lt;&gt;""),$C82*$AD$2,IF(AND(OR($B$4="Clinical Lecturer / Medical Research Fellow",$B$4="Clinical Consultant - Old Contract (GP)"),$B82&lt;&gt;""),$C82*$AD$2,IF(AND(OR($B$4="APM Level 7",$B$4="R&amp;T Level 7"),F82&lt;&gt;""),$C82*$AD$2,IF(SUMIF(Grades!$A:$A,$B$4,Grades!BP:BP)=1,$C82*$AD$2,"")))))))</f>
        <v/>
      </c>
      <c r="H82" s="27" t="str">
        <f ca="1">IF(B82="","",IF(SUMIF(Grades!$A:$A,$B$4,Grades!BQ:BQ)=0,"-",IF(AND($B$4="Salary Points 1 to 57",B82&gt;$AA$3),"-",IF(AND($B$4="Salary Points 1 to 57",B82&lt;=$AA$3),$C82*$AD$3,IF(AND(OR($B$4="New Consultant Contract"),$B82&lt;&gt;""),$C82*$AD$3,IF(AND(OR($B$4="Clinical Lecturer / Medical Research Fellow",$B$4="Clinical Consultant - Old Contract (GP)"),$B82&lt;&gt;""),$C82*$AD$3,IF(AND(OR($B$4="APM Level 7",$B$4="R&amp;T Level 7"),G82&lt;&gt;""),$C82*$AD$3,IF(SUMIF(Grades!$A:$A,$B$4,Grades!BQ:BQ)=1,$C82*$AD$3,""))))))))</f>
        <v/>
      </c>
      <c r="I82" s="27" t="str">
        <f ca="1">IF($B82="","",ROUND(($C82-(Thresholds_Rates!$C$5*12))*Thresholds_Rates!$C$10,0))</f>
        <v/>
      </c>
      <c r="J82" s="27" t="str">
        <f ca="1">IF(B82="","",IF(AND($B$4="Salary Points 1 to 57",B82&gt;$AA$3),"-",IF(SUMIF(Grades!$A:$A,$B$4,Grades!BR:BR)=0,"-",IF(AND($B$4="Salary Points 1 to 57",B82&lt;=$AA$3),$C82*$AD$4,IF(AND(OR($B$4="New Consultant Contract"),$B82&lt;&gt;""),$C82*$AD$4,IF(AND(OR($B$4="Clinical Lecturer / Medical Research Fellow",$B$4="Clinical Consultant - Old Contract (GP)"),$B82&lt;&gt;""),$C82*$AD$4,IF(AND(OR($B$4="APM Level 7",$B$4="R&amp;T Level 7"),I82&lt;&gt;""),$C82*$AD$4,IF(SUMIF(Grades!$A:$A,$B$4,Grades!BQ:BQ)=1,$C82*$AD$4,""))))))))</f>
        <v/>
      </c>
      <c r="K82" s="6"/>
      <c r="L82" s="27" t="str">
        <f t="shared" ca="1" si="6"/>
        <v/>
      </c>
      <c r="M82" s="27" t="str">
        <f t="shared" ca="1" si="7"/>
        <v/>
      </c>
      <c r="N82" s="27" t="str">
        <f t="shared" ca="1" si="8"/>
        <v/>
      </c>
      <c r="O82" s="27" t="str">
        <f t="shared" ca="1" si="9"/>
        <v/>
      </c>
      <c r="P82" s="27" t="str">
        <f t="shared" ca="1" si="10"/>
        <v/>
      </c>
      <c r="R82" s="31" t="str">
        <f ca="1">IF(B82="","",IF($B$4="R&amp;T Level 5 - Clinical Lecturers (Vet School)",SUMIF(Points_Lookup!$M:$M,$B82,Points_Lookup!N:N),IF($B$4="R&amp;T Level 6 - Clinical Associate Professors and Clinical Readers (Vet School)",SUMIF(Points_Lookup!$T:$T,$B82,Points_Lookup!U:U),"")))</f>
        <v/>
      </c>
      <c r="S82" s="32" t="str">
        <f ca="1">IF(B82="","",IF($B$4="R&amp;T Level 5 - Clinical Lecturers (Vet School)",$C82-SUMIF(Points_Lookup!$M:$M,$B82,Points_Lookup!$O:$O),IF($B$4="R&amp;T Level 6 - Clinical Associate Professors and Clinical Readers (Vet School)",$C82-SUMIF(Points_Lookup!$T:$T,$B82,Points_Lookup!$V:$V),"")))</f>
        <v/>
      </c>
      <c r="T82" s="31" t="str">
        <f ca="1">IF(B82="","",IF($B$4="R&amp;T Level 5 - Clinical Lecturers (Vet School)",SUMIF(Points_Lookup!$M:$M,$B82,Points_Lookup!Q:Q),IF($B$4="R&amp;T Level 6 - Clinical Associate Professors and Clinical Readers (Vet School)",SUMIF(Points_Lookup!$T:$T,$B82,Points_Lookup!X:X),"")))</f>
        <v/>
      </c>
      <c r="U82" s="32" t="str">
        <f t="shared" ca="1" si="11"/>
        <v/>
      </c>
    </row>
    <row r="83" spans="2:21" x14ac:dyDescent="0.25">
      <c r="B83" s="6" t="str">
        <f ca="1">IFERROR(INDEX(Points_Lookup!A:A,MATCH($Z85,Points_Lookup!$AE:$AE,0)),"")</f>
        <v/>
      </c>
      <c r="C83" s="27" t="str">
        <f ca="1">IF(B83="","",IF($B$4="Apprenticeship",SUMIF(Points_Lookup!AA:AA,B83,Points_Lookup!AC:AC),IF(AND(OR($B$4="New Consultant Contract"),$B83&lt;&gt;""),INDEX(Points_Lookup!K:K,MATCH($B83,Points_Lookup!$J:$J,0)),IF(AND(OR($B$4="Clinical Lecturer / Medical Research Fellow",$B$4="Clinical Consultant - Old Contract (GP)"),$B83&lt;&gt;""),INDEX(Points_Lookup!H:H,MATCH($B83,Points_Lookup!$G:$G,0)),IF(AND(OR($B$4="APM Level 7",$B$4="R&amp;T Level 7",$B$4="APM Level 8"),B83&lt;&gt;""),INDEX(Points_Lookup!E:E,MATCH($Z83,Points_Lookup!$AE:$AE,0)),IF($B$4="R&amp;T Level 5 - Clinical Lecturers (Vet School)",SUMIF(Points_Lookup!$M:$M,$B83,Points_Lookup!$P:$P),IF($B$4="R&amp;T Level 6 - Clinical Associate Professors and Clinical Readers (Vet School)",SUMIF(Points_Lookup!$T:$T,$B83,Points_Lookup!$W:$W),IFERROR(INDEX(Points_Lookup!B:B,MATCH($Z83,Points_Lookup!$AE:$AE,0)),""))))))))</f>
        <v/>
      </c>
      <c r="D83" s="45"/>
      <c r="E83" s="27" t="str">
        <f ca="1">IF($B83="","",IF($B$4="Apprenticeship","-",SUM(IF(SUM(C83/12)&lt;Thresholds_Rates!$C$7,(SUM(C83/12)-Thresholds_Rates!$C$5)*Thresholds_Rates!$C$9,(Thresholds_Rates!$C$7-Thresholds_Rates!$C$5)*Thresholds_Rates!$C$9),IF(SUM(C83/12)&gt;Thresholds_Rates!$C$7,((SUM(C83/12)-Thresholds_Rates!$C$7)*Thresholds_Rates!$C$10),0),SUM(Thresholds_Rates!$C$5-Thresholds_Rates!$C$4)*-Thresholds_Rates!$C$8)*12))</f>
        <v/>
      </c>
      <c r="F83" s="27" t="str">
        <f ca="1">IF($B83="","",IF(AND($B$4="Salary Points 1 to 57",B83&lt;$AA$2),"-",IF(SUMIF(Grades!$A:$A,$B$4,Grades!BO:BO)=0,"-",IF(AND($B$4="Salary Points 1 to 57",B83&gt;=$AA$2),$C83*$AD$1,IF(AND(OR($B$4="New Consultant Contract"),$B83&lt;&gt;""),$C83*$AD$1,IF(AND(OR($B$4="Clinical Lecturer / Medical Research Fellow",$B$4="Clinical Consultant - Old Contract (GP)"),$B83&lt;&gt;""),$C83*$AD$1,IF(AND(OR($B$4="APM Level 7",$B$4="R&amp;T Level 7"),E83&lt;&gt;""),$C83*$AD$1,IF(SUMIF(Grades!$A:$A,$B$4,Grades!BO:BO)=1,$C83*$AD$1,""))))))))</f>
        <v/>
      </c>
      <c r="G83" s="27" t="str">
        <f ca="1">IF(B83="","",IF($B$4="Salary Points 1 to 57","-",IF(SUMIF(Grades!$A:$A,$B$4,Grades!BP:BP)=0,"-",IF(AND(OR($B$4="New Consultant Contract"),$B83&lt;&gt;""),$C83*$AD$2,IF(AND(OR($B$4="Clinical Lecturer / Medical Research Fellow",$B$4="Clinical Consultant - Old Contract (GP)"),$B83&lt;&gt;""),$C83*$AD$2,IF(AND(OR($B$4="APM Level 7",$B$4="R&amp;T Level 7"),F83&lt;&gt;""),$C83*$AD$2,IF(SUMIF(Grades!$A:$A,$B$4,Grades!BP:BP)=1,$C83*$AD$2,"")))))))</f>
        <v/>
      </c>
      <c r="H83" s="27" t="str">
        <f ca="1">IF(B83="","",IF(SUMIF(Grades!$A:$A,$B$4,Grades!BQ:BQ)=0,"-",IF(AND($B$4="Salary Points 1 to 57",B83&gt;$AA$3),"-",IF(AND($B$4="Salary Points 1 to 57",B83&lt;=$AA$3),$C83*$AD$3,IF(AND(OR($B$4="New Consultant Contract"),$B83&lt;&gt;""),$C83*$AD$3,IF(AND(OR($B$4="Clinical Lecturer / Medical Research Fellow",$B$4="Clinical Consultant - Old Contract (GP)"),$B83&lt;&gt;""),$C83*$AD$3,IF(AND(OR($B$4="APM Level 7",$B$4="R&amp;T Level 7"),G83&lt;&gt;""),$C83*$AD$3,IF(SUMIF(Grades!$A:$A,$B$4,Grades!BQ:BQ)=1,$C83*$AD$3,""))))))))</f>
        <v/>
      </c>
      <c r="I83" s="27" t="str">
        <f ca="1">IF($B83="","",ROUND(($C83-(Thresholds_Rates!$C$5*12))*Thresholds_Rates!$C$10,0))</f>
        <v/>
      </c>
      <c r="J83" s="27" t="str">
        <f ca="1">IF(B83="","",IF(AND($B$4="Salary Points 1 to 57",B83&gt;$AA$3),"-",IF(SUMIF(Grades!$A:$A,$B$4,Grades!BR:BR)=0,"-",IF(AND($B$4="Salary Points 1 to 57",B83&lt;=$AA$3),$C83*$AD$4,IF(AND(OR($B$4="New Consultant Contract"),$B83&lt;&gt;""),$C83*$AD$4,IF(AND(OR($B$4="Clinical Lecturer / Medical Research Fellow",$B$4="Clinical Consultant - Old Contract (GP)"),$B83&lt;&gt;""),$C83*$AD$4,IF(AND(OR($B$4="APM Level 7",$B$4="R&amp;T Level 7"),I83&lt;&gt;""),$C83*$AD$4,IF(SUMIF(Grades!$A:$A,$B$4,Grades!BQ:BQ)=1,$C83*$AD$4,""))))))))</f>
        <v/>
      </c>
      <c r="K83" s="6"/>
      <c r="L83" s="27" t="str">
        <f t="shared" ca="1" si="6"/>
        <v/>
      </c>
      <c r="M83" s="27" t="str">
        <f t="shared" ca="1" si="7"/>
        <v/>
      </c>
      <c r="N83" s="27" t="str">
        <f t="shared" ca="1" si="8"/>
        <v/>
      </c>
      <c r="O83" s="27" t="str">
        <f t="shared" ca="1" si="9"/>
        <v/>
      </c>
      <c r="P83" s="27" t="str">
        <f t="shared" ca="1" si="10"/>
        <v/>
      </c>
      <c r="R83" s="31" t="str">
        <f ca="1">IF(B83="","",IF($B$4="R&amp;T Level 5 - Clinical Lecturers (Vet School)",SUMIF(Points_Lookup!$M:$M,$B83,Points_Lookup!N:N),IF($B$4="R&amp;T Level 6 - Clinical Associate Professors and Clinical Readers (Vet School)",SUMIF(Points_Lookup!$T:$T,$B83,Points_Lookup!U:U),"")))</f>
        <v/>
      </c>
      <c r="S83" s="32" t="str">
        <f ca="1">IF(B83="","",IF($B$4="R&amp;T Level 5 - Clinical Lecturers (Vet School)",$C83-SUMIF(Points_Lookup!$M:$M,$B83,Points_Lookup!$O:$O),IF($B$4="R&amp;T Level 6 - Clinical Associate Professors and Clinical Readers (Vet School)",$C83-SUMIF(Points_Lookup!$T:$T,$B83,Points_Lookup!$V:$V),"")))</f>
        <v/>
      </c>
      <c r="T83" s="31" t="str">
        <f ca="1">IF(B83="","",IF($B$4="R&amp;T Level 5 - Clinical Lecturers (Vet School)",SUMIF(Points_Lookup!$M:$M,$B83,Points_Lookup!Q:Q),IF($B$4="R&amp;T Level 6 - Clinical Associate Professors and Clinical Readers (Vet School)",SUMIF(Points_Lookup!$T:$T,$B83,Points_Lookup!X:X),"")))</f>
        <v/>
      </c>
      <c r="U83" s="32" t="str">
        <f t="shared" ca="1" si="11"/>
        <v/>
      </c>
    </row>
    <row r="84" spans="2:21" x14ac:dyDescent="0.25">
      <c r="B84" s="6" t="str">
        <f ca="1">IFERROR(INDEX(Points_Lookup!A:A,MATCH($Z86,Points_Lookup!$AE:$AE,0)),"")</f>
        <v/>
      </c>
      <c r="C84" s="27" t="str">
        <f ca="1">IF(B84="","",IF($B$4="Apprenticeship",SUMIF(Points_Lookup!AA:AA,B84,Points_Lookup!AC:AC),IF(AND(OR($B$4="New Consultant Contract"),$B84&lt;&gt;""),INDEX(Points_Lookup!K:K,MATCH($B84,Points_Lookup!$J:$J,0)),IF(AND(OR($B$4="Clinical Lecturer / Medical Research Fellow",$B$4="Clinical Consultant - Old Contract (GP)"),$B84&lt;&gt;""),INDEX(Points_Lookup!H:H,MATCH($B84,Points_Lookup!$G:$G,0)),IF(AND(OR($B$4="APM Level 7",$B$4="R&amp;T Level 7",$B$4="APM Level 8"),B84&lt;&gt;""),INDEX(Points_Lookup!E:E,MATCH($Z84,Points_Lookup!$AE:$AE,0)),IF($B$4="R&amp;T Level 5 - Clinical Lecturers (Vet School)",SUMIF(Points_Lookup!$M:$M,$B84,Points_Lookup!$P:$P),IF($B$4="R&amp;T Level 6 - Clinical Associate Professors and Clinical Readers (Vet School)",SUMIF(Points_Lookup!$T:$T,$B84,Points_Lookup!$W:$W),IFERROR(INDEX(Points_Lookup!B:B,MATCH($Z84,Points_Lookup!$AE:$AE,0)),""))))))))</f>
        <v/>
      </c>
      <c r="D84" s="45"/>
      <c r="E84" s="27" t="str">
        <f ca="1">IF($B84="","",IF($B$4="Apprenticeship","-",SUM(IF(SUM(C84/12)&lt;Thresholds_Rates!$C$7,(SUM(C84/12)-Thresholds_Rates!$C$5)*Thresholds_Rates!$C$9,(Thresholds_Rates!$C$7-Thresholds_Rates!$C$5)*Thresholds_Rates!$C$9),IF(SUM(C84/12)&gt;Thresholds_Rates!$C$7,((SUM(C84/12)-Thresholds_Rates!$C$7)*Thresholds_Rates!$C$10),0),SUM(Thresholds_Rates!$C$5-Thresholds_Rates!$C$4)*-Thresholds_Rates!$C$8)*12))</f>
        <v/>
      </c>
      <c r="F84" s="27" t="str">
        <f ca="1">IF($B84="","",IF(AND($B$4="Salary Points 1 to 57",B84&lt;$AA$2),"-",IF(SUMIF(Grades!$A:$A,$B$4,Grades!BO:BO)=0,"-",IF(AND($B$4="Salary Points 1 to 57",B84&gt;=$AA$2),$C84*$AD$1,IF(AND(OR($B$4="New Consultant Contract"),$B84&lt;&gt;""),$C84*$AD$1,IF(AND(OR($B$4="Clinical Lecturer / Medical Research Fellow",$B$4="Clinical Consultant - Old Contract (GP)"),$B84&lt;&gt;""),$C84*$AD$1,IF(AND(OR($B$4="APM Level 7",$B$4="R&amp;T Level 7"),E84&lt;&gt;""),$C84*$AD$1,IF(SUMIF(Grades!$A:$A,$B$4,Grades!BO:BO)=1,$C84*$AD$1,""))))))))</f>
        <v/>
      </c>
      <c r="G84" s="27" t="str">
        <f ca="1">IF(B84="","",IF($B$4="Salary Points 1 to 57","-",IF(SUMIF(Grades!$A:$A,$B$4,Grades!BP:BP)=0,"-",IF(AND(OR($B$4="New Consultant Contract"),$B84&lt;&gt;""),$C84*$AD$2,IF(AND(OR($B$4="Clinical Lecturer / Medical Research Fellow",$B$4="Clinical Consultant - Old Contract (GP)"),$B84&lt;&gt;""),$C84*$AD$2,IF(AND(OR($B$4="APM Level 7",$B$4="R&amp;T Level 7"),F84&lt;&gt;""),$C84*$AD$2,IF(SUMIF(Grades!$A:$A,$B$4,Grades!BP:BP)=1,$C84*$AD$2,"")))))))</f>
        <v/>
      </c>
      <c r="H84" s="27" t="str">
        <f ca="1">IF(B84="","",IF(SUMIF(Grades!$A:$A,$B$4,Grades!BQ:BQ)=0,"-",IF(AND($B$4="Salary Points 1 to 57",B84&gt;$AA$3),"-",IF(AND($B$4="Salary Points 1 to 57",B84&lt;=$AA$3),$C84*$AD$3,IF(AND(OR($B$4="New Consultant Contract"),$B84&lt;&gt;""),$C84*$AD$3,IF(AND(OR($B$4="Clinical Lecturer / Medical Research Fellow",$B$4="Clinical Consultant - Old Contract (GP)"),$B84&lt;&gt;""),$C84*$AD$3,IF(AND(OR($B$4="APM Level 7",$B$4="R&amp;T Level 7"),G84&lt;&gt;""),$C84*$AD$3,IF(SUMIF(Grades!$A:$A,$B$4,Grades!BQ:BQ)=1,$C84*$AD$3,""))))))))</f>
        <v/>
      </c>
      <c r="I84" s="27" t="str">
        <f ca="1">IF($B84="","",ROUND(($C84-(Thresholds_Rates!$C$5*12))*Thresholds_Rates!$C$10,0))</f>
        <v/>
      </c>
      <c r="J84" s="27" t="str">
        <f ca="1">IF(B84="","",IF(AND($B$4="Salary Points 1 to 57",B84&gt;$AA$3),"-",IF(SUMIF(Grades!$A:$A,$B$4,Grades!BR:BR)=0,"-",IF(AND($B$4="Salary Points 1 to 57",B84&lt;=$AA$3),$C84*$AD$4,IF(AND(OR($B$4="New Consultant Contract"),$B84&lt;&gt;""),$C84*$AD$4,IF(AND(OR($B$4="Clinical Lecturer / Medical Research Fellow",$B$4="Clinical Consultant - Old Contract (GP)"),$B84&lt;&gt;""),$C84*$AD$4,IF(AND(OR($B$4="APM Level 7",$B$4="R&amp;T Level 7"),I84&lt;&gt;""),$C84*$AD$4,IF(SUMIF(Grades!$A:$A,$B$4,Grades!BQ:BQ)=1,$C84*$AD$4,""))))))))</f>
        <v/>
      </c>
      <c r="K84" s="6"/>
      <c r="L84" s="27" t="str">
        <f t="shared" ca="1" si="6"/>
        <v/>
      </c>
      <c r="M84" s="27" t="str">
        <f t="shared" ca="1" si="7"/>
        <v/>
      </c>
      <c r="N84" s="27" t="str">
        <f t="shared" ca="1" si="8"/>
        <v/>
      </c>
      <c r="O84" s="27" t="str">
        <f t="shared" ca="1" si="9"/>
        <v/>
      </c>
      <c r="P84" s="27" t="str">
        <f t="shared" ca="1" si="10"/>
        <v/>
      </c>
      <c r="R84" s="31" t="str">
        <f ca="1">IF(B84="","",IF($B$4="R&amp;T Level 5 - Clinical Lecturers (Vet School)",SUMIF(Points_Lookup!$M:$M,$B84,Points_Lookup!N:N),IF($B$4="R&amp;T Level 6 - Clinical Associate Professors and Clinical Readers (Vet School)",SUMIF(Points_Lookup!$T:$T,$B84,Points_Lookup!U:U),"")))</f>
        <v/>
      </c>
      <c r="S84" s="32" t="str">
        <f ca="1">IF(B84="","",IF($B$4="R&amp;T Level 5 - Clinical Lecturers (Vet School)",$C84-SUMIF(Points_Lookup!$M:$M,$B84,Points_Lookup!$O:$O),IF($B$4="R&amp;T Level 6 - Clinical Associate Professors and Clinical Readers (Vet School)",$C84-SUMIF(Points_Lookup!$T:$T,$B84,Points_Lookup!$V:$V),"")))</f>
        <v/>
      </c>
      <c r="T84" s="31" t="str">
        <f ca="1">IF(B84="","",IF($B$4="R&amp;T Level 5 - Clinical Lecturers (Vet School)",SUMIF(Points_Lookup!$M:$M,$B84,Points_Lookup!Q:Q),IF($B$4="R&amp;T Level 6 - Clinical Associate Professors and Clinical Readers (Vet School)",SUMIF(Points_Lookup!$T:$T,$B84,Points_Lookup!X:X),"")))</f>
        <v/>
      </c>
      <c r="U84" s="32" t="str">
        <f t="shared" ca="1" si="11"/>
        <v/>
      </c>
    </row>
    <row r="85" spans="2:21" x14ac:dyDescent="0.25">
      <c r="B85" s="6" t="str">
        <f ca="1">IFERROR(INDEX(Points_Lookup!A:A,MATCH($Z87,Points_Lookup!$AE:$AE,0)),"")</f>
        <v/>
      </c>
      <c r="C85" s="27" t="str">
        <f ca="1">IF(B85="","",IF($B$4="Apprenticeship",SUMIF(Points_Lookup!AA:AA,B85,Points_Lookup!AC:AC),IF(AND(OR($B$4="New Consultant Contract"),$B85&lt;&gt;""),INDEX(Points_Lookup!K:K,MATCH($B85,Points_Lookup!$J:$J,0)),IF(AND(OR($B$4="Clinical Lecturer / Medical Research Fellow",$B$4="Clinical Consultant - Old Contract (GP)"),$B85&lt;&gt;""),INDEX(Points_Lookup!H:H,MATCH($B85,Points_Lookup!$G:$G,0)),IF(AND(OR($B$4="APM Level 7",$B$4="R&amp;T Level 7",$B$4="APM Level 8"),B85&lt;&gt;""),INDEX(Points_Lookup!E:E,MATCH($Z85,Points_Lookup!$AE:$AE,0)),IF($B$4="R&amp;T Level 5 - Clinical Lecturers (Vet School)",SUMIF(Points_Lookup!$M:$M,$B85,Points_Lookup!$P:$P),IF($B$4="R&amp;T Level 6 - Clinical Associate Professors and Clinical Readers (Vet School)",SUMIF(Points_Lookup!$T:$T,$B85,Points_Lookup!$W:$W),IFERROR(INDEX(Points_Lookup!B:B,MATCH($Z85,Points_Lookup!$AE:$AE,0)),""))))))))</f>
        <v/>
      </c>
      <c r="D85" s="45"/>
      <c r="E85" s="27" t="str">
        <f ca="1">IF($B85="","",IF($B$4="Apprenticeship","-",SUM(IF(SUM(C85/12)&lt;Thresholds_Rates!$C$7,(SUM(C85/12)-Thresholds_Rates!$C$5)*Thresholds_Rates!$C$9,(Thresholds_Rates!$C$7-Thresholds_Rates!$C$5)*Thresholds_Rates!$C$9),IF(SUM(C85/12)&gt;Thresholds_Rates!$C$7,((SUM(C85/12)-Thresholds_Rates!$C$7)*Thresholds_Rates!$C$10),0),SUM(Thresholds_Rates!$C$5-Thresholds_Rates!$C$4)*-Thresholds_Rates!$C$8)*12))</f>
        <v/>
      </c>
      <c r="F85" s="27" t="str">
        <f ca="1">IF($B85="","",IF(AND($B$4="Salary Points 1 to 57",B85&lt;$AA$2),"-",IF(SUMIF(Grades!$A:$A,$B$4,Grades!BO:BO)=0,"-",IF(AND($B$4="Salary Points 1 to 57",B85&gt;=$AA$2),$C85*$AD$1,IF(AND(OR($B$4="New Consultant Contract"),$B85&lt;&gt;""),$C85*$AD$1,IF(AND(OR($B$4="Clinical Lecturer / Medical Research Fellow",$B$4="Clinical Consultant - Old Contract (GP)"),$B85&lt;&gt;""),$C85*$AD$1,IF(AND(OR($B$4="APM Level 7",$B$4="R&amp;T Level 7"),E85&lt;&gt;""),$C85*$AD$1,IF(SUMIF(Grades!$A:$A,$B$4,Grades!BO:BO)=1,$C85*$AD$1,""))))))))</f>
        <v/>
      </c>
      <c r="G85" s="27" t="str">
        <f ca="1">IF(B85="","",IF($B$4="Salary Points 1 to 57","-",IF(SUMIF(Grades!$A:$A,$B$4,Grades!BP:BP)=0,"-",IF(AND(OR($B$4="New Consultant Contract"),$B85&lt;&gt;""),$C85*$AD$2,IF(AND(OR($B$4="Clinical Lecturer / Medical Research Fellow",$B$4="Clinical Consultant - Old Contract (GP)"),$B85&lt;&gt;""),$C85*$AD$2,IF(AND(OR($B$4="APM Level 7",$B$4="R&amp;T Level 7"),F85&lt;&gt;""),$C85*$AD$2,IF(SUMIF(Grades!$A:$A,$B$4,Grades!BP:BP)=1,$C85*$AD$2,"")))))))</f>
        <v/>
      </c>
      <c r="H85" s="27" t="str">
        <f ca="1">IF(B85="","",IF(SUMIF(Grades!$A:$A,$B$4,Grades!BQ:BQ)=0,"-",IF(AND($B$4="Salary Points 1 to 57",B85&gt;$AA$3),"-",IF(AND($B$4="Salary Points 1 to 57",B85&lt;=$AA$3),$C85*$AD$3,IF(AND(OR($B$4="New Consultant Contract"),$B85&lt;&gt;""),$C85*$AD$3,IF(AND(OR($B$4="Clinical Lecturer / Medical Research Fellow",$B$4="Clinical Consultant - Old Contract (GP)"),$B85&lt;&gt;""),$C85*$AD$3,IF(AND(OR($B$4="APM Level 7",$B$4="R&amp;T Level 7"),G85&lt;&gt;""),$C85*$AD$3,IF(SUMIF(Grades!$A:$A,$B$4,Grades!BQ:BQ)=1,$C85*$AD$3,""))))))))</f>
        <v/>
      </c>
      <c r="I85" s="27" t="str">
        <f ca="1">IF($B85="","",ROUND(($C85-(Thresholds_Rates!$C$5*12))*Thresholds_Rates!$C$10,0))</f>
        <v/>
      </c>
      <c r="J85" s="27" t="str">
        <f ca="1">IF(B85="","",IF(AND($B$4="Salary Points 1 to 57",B85&gt;$AA$3),"-",IF(SUMIF(Grades!$A:$A,$B$4,Grades!BR:BR)=0,"-",IF(AND($B$4="Salary Points 1 to 57",B85&lt;=$AA$3),$C85*$AD$4,IF(AND(OR($B$4="New Consultant Contract"),$B85&lt;&gt;""),$C85*$AD$4,IF(AND(OR($B$4="Clinical Lecturer / Medical Research Fellow",$B$4="Clinical Consultant - Old Contract (GP)"),$B85&lt;&gt;""),$C85*$AD$4,IF(AND(OR($B$4="APM Level 7",$B$4="R&amp;T Level 7"),I85&lt;&gt;""),$C85*$AD$4,IF(SUMIF(Grades!$A:$A,$B$4,Grades!BQ:BQ)=1,$C85*$AD$4,""))))))))</f>
        <v/>
      </c>
      <c r="K85" s="6"/>
      <c r="L85" s="27" t="str">
        <f t="shared" ca="1" si="6"/>
        <v/>
      </c>
      <c r="M85" s="27" t="str">
        <f t="shared" ca="1" si="7"/>
        <v/>
      </c>
      <c r="N85" s="27" t="str">
        <f t="shared" ca="1" si="8"/>
        <v/>
      </c>
      <c r="O85" s="27" t="str">
        <f t="shared" ca="1" si="9"/>
        <v/>
      </c>
      <c r="P85" s="27" t="str">
        <f t="shared" ca="1" si="10"/>
        <v/>
      </c>
      <c r="R85" s="31" t="str">
        <f ca="1">IF(B85="","",IF($B$4="R&amp;T Level 5 - Clinical Lecturers (Vet School)",SUMIF(Points_Lookup!$M:$M,$B85,Points_Lookup!N:N),IF($B$4="R&amp;T Level 6 - Clinical Associate Professors and Clinical Readers (Vet School)",SUMIF(Points_Lookup!$T:$T,$B85,Points_Lookup!U:U),"")))</f>
        <v/>
      </c>
      <c r="S85" s="32" t="str">
        <f ca="1">IF(B85="","",IF($B$4="R&amp;T Level 5 - Clinical Lecturers (Vet School)",$C85-SUMIF(Points_Lookup!$M:$M,$B85,Points_Lookup!$O:$O),IF($B$4="R&amp;T Level 6 - Clinical Associate Professors and Clinical Readers (Vet School)",$C85-SUMIF(Points_Lookup!$T:$T,$B85,Points_Lookup!$V:$V),"")))</f>
        <v/>
      </c>
      <c r="T85" s="31" t="str">
        <f ca="1">IF(B85="","",IF($B$4="R&amp;T Level 5 - Clinical Lecturers (Vet School)",SUMIF(Points_Lookup!$M:$M,$B85,Points_Lookup!Q:Q),IF($B$4="R&amp;T Level 6 - Clinical Associate Professors and Clinical Readers (Vet School)",SUMIF(Points_Lookup!$T:$T,$B85,Points_Lookup!X:X),"")))</f>
        <v/>
      </c>
      <c r="U85" s="32" t="str">
        <f t="shared" ca="1" si="11"/>
        <v/>
      </c>
    </row>
    <row r="86" spans="2:21" x14ac:dyDescent="0.25">
      <c r="B86" s="6" t="str">
        <f ca="1">IFERROR(INDEX(Points_Lookup!A:A,MATCH($Z88,Points_Lookup!$AE:$AE,0)),"")</f>
        <v/>
      </c>
      <c r="C86" s="27" t="str">
        <f ca="1">IF(B86="","",IF($B$4="Apprenticeship",SUMIF(Points_Lookup!AA:AA,B86,Points_Lookup!AC:AC),IF(AND(OR($B$4="New Consultant Contract"),$B86&lt;&gt;""),INDEX(Points_Lookup!K:K,MATCH($B86,Points_Lookup!$J:$J,0)),IF(AND(OR($B$4="Clinical Lecturer / Medical Research Fellow",$B$4="Clinical Consultant - Old Contract (GP)"),$B86&lt;&gt;""),INDEX(Points_Lookup!H:H,MATCH($B86,Points_Lookup!$G:$G,0)),IF(AND(OR($B$4="APM Level 7",$B$4="R&amp;T Level 7",$B$4="APM Level 8"),B86&lt;&gt;""),INDEX(Points_Lookup!E:E,MATCH($Z86,Points_Lookup!$AE:$AE,0)),IF($B$4="R&amp;T Level 5 - Clinical Lecturers (Vet School)",SUMIF(Points_Lookup!$M:$M,$B86,Points_Lookup!$P:$P),IF($B$4="R&amp;T Level 6 - Clinical Associate Professors and Clinical Readers (Vet School)",SUMIF(Points_Lookup!$T:$T,$B86,Points_Lookup!$W:$W),IFERROR(INDEX(Points_Lookup!B:B,MATCH($Z86,Points_Lookup!$AE:$AE,0)),""))))))))</f>
        <v/>
      </c>
      <c r="D86" s="45"/>
      <c r="E86" s="27" t="str">
        <f ca="1">IF($B86="","",IF($B$4="Apprenticeship","-",SUM(IF(SUM(C86/12)&lt;Thresholds_Rates!$C$7,(SUM(C86/12)-Thresholds_Rates!$C$5)*Thresholds_Rates!$C$9,(Thresholds_Rates!$C$7-Thresholds_Rates!$C$5)*Thresholds_Rates!$C$9),IF(SUM(C86/12)&gt;Thresholds_Rates!$C$7,((SUM(C86/12)-Thresholds_Rates!$C$7)*Thresholds_Rates!$C$10),0),SUM(Thresholds_Rates!$C$5-Thresholds_Rates!$C$4)*-Thresholds_Rates!$C$8)*12))</f>
        <v/>
      </c>
      <c r="F86" s="27" t="str">
        <f ca="1">IF($B86="","",IF(AND($B$4="Salary Points 1 to 57",B86&lt;$AA$2),"-",IF(SUMIF(Grades!$A:$A,$B$4,Grades!BO:BO)=0,"-",IF(AND($B$4="Salary Points 1 to 57",B86&gt;=$AA$2),$C86*$AD$1,IF(AND(OR($B$4="New Consultant Contract"),$B86&lt;&gt;""),$C86*$AD$1,IF(AND(OR($B$4="Clinical Lecturer / Medical Research Fellow",$B$4="Clinical Consultant - Old Contract (GP)"),$B86&lt;&gt;""),$C86*$AD$1,IF(AND(OR($B$4="APM Level 7",$B$4="R&amp;T Level 7"),E86&lt;&gt;""),$C86*$AD$1,IF(SUMIF(Grades!$A:$A,$B$4,Grades!BO:BO)=1,$C86*$AD$1,""))))))))</f>
        <v/>
      </c>
      <c r="G86" s="27" t="str">
        <f ca="1">IF(B86="","",IF($B$4="Salary Points 1 to 57","-",IF(SUMIF(Grades!$A:$A,$B$4,Grades!BP:BP)=0,"-",IF(AND(OR($B$4="New Consultant Contract"),$B86&lt;&gt;""),$C86*$AD$2,IF(AND(OR($B$4="Clinical Lecturer / Medical Research Fellow",$B$4="Clinical Consultant - Old Contract (GP)"),$B86&lt;&gt;""),$C86*$AD$2,IF(AND(OR($B$4="APM Level 7",$B$4="R&amp;T Level 7"),F86&lt;&gt;""),$C86*$AD$2,IF(SUMIF(Grades!$A:$A,$B$4,Grades!BP:BP)=1,$C86*$AD$2,"")))))))</f>
        <v/>
      </c>
      <c r="H86" s="27" t="str">
        <f ca="1">IF(B86="","",IF(SUMIF(Grades!$A:$A,$B$4,Grades!BQ:BQ)=0,"-",IF(AND($B$4="Salary Points 1 to 57",B86&gt;$AA$3),"-",IF(AND($B$4="Salary Points 1 to 57",B86&lt;=$AA$3),$C86*$AD$3,IF(AND(OR($B$4="New Consultant Contract"),$B86&lt;&gt;""),$C86*$AD$3,IF(AND(OR($B$4="Clinical Lecturer / Medical Research Fellow",$B$4="Clinical Consultant - Old Contract (GP)"),$B86&lt;&gt;""),$C86*$AD$3,IF(AND(OR($B$4="APM Level 7",$B$4="R&amp;T Level 7"),G86&lt;&gt;""),$C86*$AD$3,IF(SUMIF(Grades!$A:$A,$B$4,Grades!BQ:BQ)=1,$C86*$AD$3,""))))))))</f>
        <v/>
      </c>
      <c r="I86" s="27" t="str">
        <f ca="1">IF($B86="","",ROUND(($C86-(Thresholds_Rates!$C$5*12))*Thresholds_Rates!$C$10,0))</f>
        <v/>
      </c>
      <c r="J86" s="27" t="str">
        <f ca="1">IF(B86="","",IF(AND($B$4="Salary Points 1 to 57",B86&gt;$AA$3),"-",IF(SUMIF(Grades!$A:$A,$B$4,Grades!BR:BR)=0,"-",IF(AND($B$4="Salary Points 1 to 57",B86&lt;=$AA$3),$C86*$AD$4,IF(AND(OR($B$4="New Consultant Contract"),$B86&lt;&gt;""),$C86*$AD$4,IF(AND(OR($B$4="Clinical Lecturer / Medical Research Fellow",$B$4="Clinical Consultant - Old Contract (GP)"),$B86&lt;&gt;""),$C86*$AD$4,IF(AND(OR($B$4="APM Level 7",$B$4="R&amp;T Level 7"),I86&lt;&gt;""),$C86*$AD$4,IF(SUMIF(Grades!$A:$A,$B$4,Grades!BQ:BQ)=1,$C86*$AD$4,""))))))))</f>
        <v/>
      </c>
      <c r="K86" s="6"/>
      <c r="L86" s="27" t="str">
        <f t="shared" ca="1" si="6"/>
        <v/>
      </c>
      <c r="M86" s="27" t="str">
        <f t="shared" ca="1" si="7"/>
        <v/>
      </c>
      <c r="N86" s="27" t="str">
        <f t="shared" ca="1" si="8"/>
        <v/>
      </c>
      <c r="O86" s="27" t="str">
        <f t="shared" ca="1" si="9"/>
        <v/>
      </c>
      <c r="P86" s="27" t="str">
        <f t="shared" ca="1" si="10"/>
        <v/>
      </c>
      <c r="R86" s="31" t="str">
        <f ca="1">IF(B86="","",IF($B$4="R&amp;T Level 5 - Clinical Lecturers (Vet School)",SUMIF(Points_Lookup!$M:$M,$B86,Points_Lookup!N:N),IF($B$4="R&amp;T Level 6 - Clinical Associate Professors and Clinical Readers (Vet School)",SUMIF(Points_Lookup!$T:$T,$B86,Points_Lookup!U:U),"")))</f>
        <v/>
      </c>
      <c r="S86" s="32" t="str">
        <f ca="1">IF(B86="","",IF($B$4="R&amp;T Level 5 - Clinical Lecturers (Vet School)",$C86-SUMIF(Points_Lookup!$M:$M,$B86,Points_Lookup!$O:$O),IF($B$4="R&amp;T Level 6 - Clinical Associate Professors and Clinical Readers (Vet School)",$C86-SUMIF(Points_Lookup!$T:$T,$B86,Points_Lookup!$V:$V),"")))</f>
        <v/>
      </c>
      <c r="T86" s="31" t="str">
        <f ca="1">IF(B86="","",IF($B$4="R&amp;T Level 5 - Clinical Lecturers (Vet School)",SUMIF(Points_Lookup!$M:$M,$B86,Points_Lookup!Q:Q),IF($B$4="R&amp;T Level 6 - Clinical Associate Professors and Clinical Readers (Vet School)",SUMIF(Points_Lookup!$T:$T,$B86,Points_Lookup!X:X),"")))</f>
        <v/>
      </c>
      <c r="U86" s="32" t="str">
        <f t="shared" ca="1" si="11"/>
        <v/>
      </c>
    </row>
    <row r="87" spans="2:21" x14ac:dyDescent="0.25">
      <c r="B87" s="6" t="str">
        <f ca="1">IFERROR(INDEX(Points_Lookup!A:A,MATCH($Z89,Points_Lookup!$AE:$AE,0)),"")</f>
        <v/>
      </c>
      <c r="C87" s="27" t="str">
        <f ca="1">IF(B87="","",IF($B$4="Apprenticeship",SUMIF(Points_Lookup!AA:AA,B87,Points_Lookup!AC:AC),IF(AND(OR($B$4="New Consultant Contract"),$B87&lt;&gt;""),INDEX(Points_Lookup!K:K,MATCH($B87,Points_Lookup!$J:$J,0)),IF(AND(OR($B$4="Clinical Lecturer / Medical Research Fellow",$B$4="Clinical Consultant - Old Contract (GP)"),$B87&lt;&gt;""),INDEX(Points_Lookup!H:H,MATCH($B87,Points_Lookup!$G:$G,0)),IF(AND(OR($B$4="APM Level 7",$B$4="R&amp;T Level 7",$B$4="APM Level 8"),B87&lt;&gt;""),INDEX(Points_Lookup!E:E,MATCH($Z87,Points_Lookup!$AE:$AE,0)),IF($B$4="R&amp;T Level 5 - Clinical Lecturers (Vet School)",SUMIF(Points_Lookup!$M:$M,$B87,Points_Lookup!$P:$P),IF($B$4="R&amp;T Level 6 - Clinical Associate Professors and Clinical Readers (Vet School)",SUMIF(Points_Lookup!$T:$T,$B87,Points_Lookup!$W:$W),IFERROR(INDEX(Points_Lookup!B:B,MATCH($Z87,Points_Lookup!$AE:$AE,0)),""))))))))</f>
        <v/>
      </c>
      <c r="D87" s="45"/>
      <c r="E87" s="27" t="str">
        <f ca="1">IF($B87="","",IF($B$4="Apprenticeship","-",SUM(IF(SUM(C87/12)&lt;Thresholds_Rates!$C$7,(SUM(C87/12)-Thresholds_Rates!$C$5)*Thresholds_Rates!$C$9,(Thresholds_Rates!$C$7-Thresholds_Rates!$C$5)*Thresholds_Rates!$C$9),IF(SUM(C87/12)&gt;Thresholds_Rates!$C$7,((SUM(C87/12)-Thresholds_Rates!$C$7)*Thresholds_Rates!$C$10),0),SUM(Thresholds_Rates!$C$5-Thresholds_Rates!$C$4)*-Thresholds_Rates!$C$8)*12))</f>
        <v/>
      </c>
      <c r="F87" s="27" t="str">
        <f ca="1">IF($B87="","",IF(AND($B$4="Salary Points 1 to 57",B87&lt;$AA$2),"-",IF(SUMIF(Grades!$A:$A,$B$4,Grades!BO:BO)=0,"-",IF(AND($B$4="Salary Points 1 to 57",B87&gt;=$AA$2),$C87*$AD$1,IF(AND(OR($B$4="New Consultant Contract"),$B87&lt;&gt;""),$C87*$AD$1,IF(AND(OR($B$4="Clinical Lecturer / Medical Research Fellow",$B$4="Clinical Consultant - Old Contract (GP)"),$B87&lt;&gt;""),$C87*$AD$1,IF(AND(OR($B$4="APM Level 7",$B$4="R&amp;T Level 7"),E87&lt;&gt;""),$C87*$AD$1,IF(SUMIF(Grades!$A:$A,$B$4,Grades!BO:BO)=1,$C87*$AD$1,""))))))))</f>
        <v/>
      </c>
      <c r="G87" s="27" t="str">
        <f ca="1">IF(B87="","",IF($B$4="Salary Points 1 to 57","-",IF(SUMIF(Grades!$A:$A,$B$4,Grades!BP:BP)=0,"-",IF(AND(OR($B$4="New Consultant Contract"),$B87&lt;&gt;""),$C87*$AD$2,IF(AND(OR($B$4="Clinical Lecturer / Medical Research Fellow",$B$4="Clinical Consultant - Old Contract (GP)"),$B87&lt;&gt;""),$C87*$AD$2,IF(AND(OR($B$4="APM Level 7",$B$4="R&amp;T Level 7"),F87&lt;&gt;""),$C87*$AD$2,IF(SUMIF(Grades!$A:$A,$B$4,Grades!BP:BP)=1,$C87*$AD$2,"")))))))</f>
        <v/>
      </c>
      <c r="H87" s="27" t="str">
        <f ca="1">IF(B87="","",IF(SUMIF(Grades!$A:$A,$B$4,Grades!BQ:BQ)=0,"-",IF(AND($B$4="Salary Points 1 to 57",B87&gt;$AA$3),"-",IF(AND($B$4="Salary Points 1 to 57",B87&lt;=$AA$3),$C87*$AD$3,IF(AND(OR($B$4="New Consultant Contract"),$B87&lt;&gt;""),$C87*$AD$3,IF(AND(OR($B$4="Clinical Lecturer / Medical Research Fellow",$B$4="Clinical Consultant - Old Contract (GP)"),$B87&lt;&gt;""),$C87*$AD$3,IF(AND(OR($B$4="APM Level 7",$B$4="R&amp;T Level 7"),G87&lt;&gt;""),$C87*$AD$3,IF(SUMIF(Grades!$A:$A,$B$4,Grades!BQ:BQ)=1,$C87*$AD$3,""))))))))</f>
        <v/>
      </c>
      <c r="I87" s="27" t="str">
        <f ca="1">IF($B87="","",ROUND(($C87-(Thresholds_Rates!$C$5*12))*Thresholds_Rates!$C$10,0))</f>
        <v/>
      </c>
      <c r="J87" s="27" t="str">
        <f ca="1">IF(B87="","",IF(AND($B$4="Salary Points 1 to 57",B87&gt;$AA$3),"-",IF(SUMIF(Grades!$A:$A,$B$4,Grades!BR:BR)=0,"-",IF(AND($B$4="Salary Points 1 to 57",B87&lt;=$AA$3),$C87*$AD$4,IF(AND(OR($B$4="New Consultant Contract"),$B87&lt;&gt;""),$C87*$AD$4,IF(AND(OR($B$4="Clinical Lecturer / Medical Research Fellow",$B$4="Clinical Consultant - Old Contract (GP)"),$B87&lt;&gt;""),$C87*$AD$4,IF(AND(OR($B$4="APM Level 7",$B$4="R&amp;T Level 7"),I87&lt;&gt;""),$C87*$AD$4,IF(SUMIF(Grades!$A:$A,$B$4,Grades!BQ:BQ)=1,$C87*$AD$4,""))))))))</f>
        <v/>
      </c>
      <c r="K87" s="6"/>
      <c r="L87" s="27" t="str">
        <f t="shared" ca="1" si="6"/>
        <v/>
      </c>
      <c r="M87" s="27" t="str">
        <f t="shared" ca="1" si="7"/>
        <v/>
      </c>
      <c r="N87" s="27" t="str">
        <f t="shared" ca="1" si="8"/>
        <v/>
      </c>
      <c r="O87" s="27" t="str">
        <f t="shared" ca="1" si="9"/>
        <v/>
      </c>
      <c r="P87" s="27" t="str">
        <f t="shared" ca="1" si="10"/>
        <v/>
      </c>
      <c r="R87" s="31" t="str">
        <f ca="1">IF(B87="","",IF($B$4="R&amp;T Level 5 - Clinical Lecturers (Vet School)",SUMIF(Points_Lookup!$M:$M,$B87,Points_Lookup!N:N),IF($B$4="R&amp;T Level 6 - Clinical Associate Professors and Clinical Readers (Vet School)",SUMIF(Points_Lookup!$T:$T,$B87,Points_Lookup!U:U),"")))</f>
        <v/>
      </c>
      <c r="S87" s="32" t="str">
        <f ca="1">IF(B87="","",IF($B$4="R&amp;T Level 5 - Clinical Lecturers (Vet School)",$C87-SUMIF(Points_Lookup!$M:$M,$B87,Points_Lookup!$O:$O),IF($B$4="R&amp;T Level 6 - Clinical Associate Professors and Clinical Readers (Vet School)",$C87-SUMIF(Points_Lookup!$T:$T,$B87,Points_Lookup!$V:$V),"")))</f>
        <v/>
      </c>
      <c r="T87" s="31" t="str">
        <f ca="1">IF(B87="","",IF($B$4="R&amp;T Level 5 - Clinical Lecturers (Vet School)",SUMIF(Points_Lookup!$M:$M,$B87,Points_Lookup!Q:Q),IF($B$4="R&amp;T Level 6 - Clinical Associate Professors and Clinical Readers (Vet School)",SUMIF(Points_Lookup!$T:$T,$B87,Points_Lookup!X:X),"")))</f>
        <v/>
      </c>
      <c r="U87" s="32" t="str">
        <f t="shared" ca="1" si="11"/>
        <v/>
      </c>
    </row>
    <row r="88" spans="2:21" x14ac:dyDescent="0.25">
      <c r="B88" s="6" t="str">
        <f ca="1">IFERROR(INDEX(Points_Lookup!A:A,MATCH($Z90,Points_Lookup!$AE:$AE,0)),"")</f>
        <v/>
      </c>
      <c r="C88" s="27" t="str">
        <f ca="1">IF(B88="","",IF($B$4="Apprenticeship",SUMIF(Points_Lookup!AA:AA,B88,Points_Lookup!AC:AC),IF(AND(OR($B$4="New Consultant Contract"),$B88&lt;&gt;""),INDEX(Points_Lookup!K:K,MATCH($B88,Points_Lookup!$J:$J,0)),IF(AND(OR($B$4="Clinical Lecturer / Medical Research Fellow",$B$4="Clinical Consultant - Old Contract (GP)"),$B88&lt;&gt;""),INDEX(Points_Lookup!H:H,MATCH($B88,Points_Lookup!$G:$G,0)),IF(AND(OR($B$4="APM Level 7",$B$4="R&amp;T Level 7",$B$4="APM Level 8"),B88&lt;&gt;""),INDEX(Points_Lookup!E:E,MATCH($Z88,Points_Lookup!$AE:$AE,0)),IF($B$4="R&amp;T Level 5 - Clinical Lecturers (Vet School)",SUMIF(Points_Lookup!$M:$M,$B88,Points_Lookup!$P:$P),IF($B$4="R&amp;T Level 6 - Clinical Associate Professors and Clinical Readers (Vet School)",SUMIF(Points_Lookup!$T:$T,$B88,Points_Lookup!$W:$W),IFERROR(INDEX(Points_Lookup!B:B,MATCH($Z88,Points_Lookup!$AE:$AE,0)),""))))))))</f>
        <v/>
      </c>
      <c r="D88" s="45"/>
      <c r="E88" s="27" t="str">
        <f ca="1">IF($B88="","",IF($B$4="Apprenticeship","-",SUM(IF(SUM(C88/12)&lt;Thresholds_Rates!$C$7,(SUM(C88/12)-Thresholds_Rates!$C$5)*Thresholds_Rates!$C$9,(Thresholds_Rates!$C$7-Thresholds_Rates!$C$5)*Thresholds_Rates!$C$9),IF(SUM(C88/12)&gt;Thresholds_Rates!$C$7,((SUM(C88/12)-Thresholds_Rates!$C$7)*Thresholds_Rates!$C$10),0),SUM(Thresholds_Rates!$C$5-Thresholds_Rates!$C$4)*-Thresholds_Rates!$C$8)*12))</f>
        <v/>
      </c>
      <c r="F88" s="27" t="str">
        <f ca="1">IF($B88="","",IF(AND($B$4="Salary Points 1 to 57",B88&lt;$AA$2),"-",IF(SUMIF(Grades!$A:$A,$B$4,Grades!BO:BO)=0,"-",IF(AND($B$4="Salary Points 1 to 57",B88&gt;=$AA$2),$C88*$AD$1,IF(AND(OR($B$4="New Consultant Contract"),$B88&lt;&gt;""),$C88*$AD$1,IF(AND(OR($B$4="Clinical Lecturer / Medical Research Fellow",$B$4="Clinical Consultant - Old Contract (GP)"),$B88&lt;&gt;""),$C88*$AD$1,IF(AND(OR($B$4="APM Level 7",$B$4="R&amp;T Level 7"),E88&lt;&gt;""),$C88*$AD$1,IF(SUMIF(Grades!$A:$A,$B$4,Grades!BO:BO)=1,$C88*$AD$1,""))))))))</f>
        <v/>
      </c>
      <c r="G88" s="27" t="str">
        <f ca="1">IF(B88="","",IF($B$4="Salary Points 1 to 57","-",IF(SUMIF(Grades!$A:$A,$B$4,Grades!BP:BP)=0,"-",IF(AND(OR($B$4="New Consultant Contract"),$B88&lt;&gt;""),$C88*$AD$2,IF(AND(OR($B$4="Clinical Lecturer / Medical Research Fellow",$B$4="Clinical Consultant - Old Contract (GP)"),$B88&lt;&gt;""),$C88*$AD$2,IF(AND(OR($B$4="APM Level 7",$B$4="R&amp;T Level 7"),F88&lt;&gt;""),$C88*$AD$2,IF(SUMIF(Grades!$A:$A,$B$4,Grades!BP:BP)=1,$C88*$AD$2,"")))))))</f>
        <v/>
      </c>
      <c r="H88" s="27" t="str">
        <f ca="1">IF(B88="","",IF(SUMIF(Grades!$A:$A,$B$4,Grades!BQ:BQ)=0,"-",IF(AND($B$4="Salary Points 1 to 57",B88&gt;$AA$3),"-",IF(AND($B$4="Salary Points 1 to 57",B88&lt;=$AA$3),$C88*$AD$3,IF(AND(OR($B$4="New Consultant Contract"),$B88&lt;&gt;""),$C88*$AD$3,IF(AND(OR($B$4="Clinical Lecturer / Medical Research Fellow",$B$4="Clinical Consultant - Old Contract (GP)"),$B88&lt;&gt;""),$C88*$AD$3,IF(AND(OR($B$4="APM Level 7",$B$4="R&amp;T Level 7"),G88&lt;&gt;""),$C88*$AD$3,IF(SUMIF(Grades!$A:$A,$B$4,Grades!BQ:BQ)=1,$C88*$AD$3,""))))))))</f>
        <v/>
      </c>
      <c r="I88" s="27" t="str">
        <f ca="1">IF($B88="","",ROUND(($C88-(Thresholds_Rates!$C$5*12))*Thresholds_Rates!$C$10,0))</f>
        <v/>
      </c>
      <c r="J88" s="27" t="str">
        <f ca="1">IF(B88="","",IF(AND($B$4="Salary Points 1 to 57",B88&gt;$AA$3),"-",IF(SUMIF(Grades!$A:$A,$B$4,Grades!BR:BR)=0,"-",IF(AND($B$4="Salary Points 1 to 57",B88&lt;=$AA$3),$C88*$AD$4,IF(AND(OR($B$4="New Consultant Contract"),$B88&lt;&gt;""),$C88*$AD$4,IF(AND(OR($B$4="Clinical Lecturer / Medical Research Fellow",$B$4="Clinical Consultant - Old Contract (GP)"),$B88&lt;&gt;""),$C88*$AD$4,IF(AND(OR($B$4="APM Level 7",$B$4="R&amp;T Level 7"),I88&lt;&gt;""),$C88*$AD$4,IF(SUMIF(Grades!$A:$A,$B$4,Grades!BQ:BQ)=1,$C88*$AD$4,""))))))))</f>
        <v/>
      </c>
      <c r="K88" s="6"/>
      <c r="L88" s="27" t="str">
        <f t="shared" ca="1" si="6"/>
        <v/>
      </c>
      <c r="M88" s="27" t="str">
        <f t="shared" ca="1" si="7"/>
        <v/>
      </c>
      <c r="N88" s="27" t="str">
        <f t="shared" ca="1" si="8"/>
        <v/>
      </c>
      <c r="O88" s="27" t="str">
        <f t="shared" ca="1" si="9"/>
        <v/>
      </c>
      <c r="P88" s="27" t="str">
        <f t="shared" ca="1" si="10"/>
        <v/>
      </c>
      <c r="R88" s="31" t="str">
        <f ca="1">IF(B88="","",IF($B$4="R&amp;T Level 5 - Clinical Lecturers (Vet School)",SUMIF(Points_Lookup!$M:$M,$B88,Points_Lookup!N:N),IF($B$4="R&amp;T Level 6 - Clinical Associate Professors and Clinical Readers (Vet School)",SUMIF(Points_Lookup!$T:$T,$B88,Points_Lookup!U:U),"")))</f>
        <v/>
      </c>
      <c r="S88" s="32" t="str">
        <f ca="1">IF(B88="","",IF($B$4="R&amp;T Level 5 - Clinical Lecturers (Vet School)",$C88-SUMIF(Points_Lookup!$M:$M,$B88,Points_Lookup!$O:$O),IF($B$4="R&amp;T Level 6 - Clinical Associate Professors and Clinical Readers (Vet School)",$C88-SUMIF(Points_Lookup!$T:$T,$B88,Points_Lookup!$V:$V),"")))</f>
        <v/>
      </c>
      <c r="T88" s="31" t="str">
        <f ca="1">IF(B88="","",IF($B$4="R&amp;T Level 5 - Clinical Lecturers (Vet School)",SUMIF(Points_Lookup!$M:$M,$B88,Points_Lookup!Q:Q),IF($B$4="R&amp;T Level 6 - Clinical Associate Professors and Clinical Readers (Vet School)",SUMIF(Points_Lookup!$T:$T,$B88,Points_Lookup!X:X),"")))</f>
        <v/>
      </c>
      <c r="U88" s="32" t="str">
        <f t="shared" ca="1" si="11"/>
        <v/>
      </c>
    </row>
    <row r="89" spans="2:21" x14ac:dyDescent="0.25">
      <c r="B89" s="6" t="str">
        <f ca="1">IFERROR(INDEX(Points_Lookup!A:A,MATCH($Z91,Points_Lookup!$AE:$AE,0)),"")</f>
        <v/>
      </c>
      <c r="C89" s="27" t="str">
        <f ca="1">IF(B89="","",IF($B$4="Apprenticeship",SUMIF(Points_Lookup!AA:AA,B89,Points_Lookup!AC:AC),IF(AND(OR($B$4="New Consultant Contract"),$B89&lt;&gt;""),INDEX(Points_Lookup!K:K,MATCH($B89,Points_Lookup!$J:$J,0)),IF(AND(OR($B$4="Clinical Lecturer / Medical Research Fellow",$B$4="Clinical Consultant - Old Contract (GP)"),$B89&lt;&gt;""),INDEX(Points_Lookup!H:H,MATCH($B89,Points_Lookup!$G:$G,0)),IF(AND(OR($B$4="APM Level 7",$B$4="R&amp;T Level 7",$B$4="APM Level 8"),B89&lt;&gt;""),INDEX(Points_Lookup!E:E,MATCH($Z89,Points_Lookup!$AE:$AE,0)),IF($B$4="R&amp;T Level 5 - Clinical Lecturers (Vet School)",SUMIF(Points_Lookup!$M:$M,$B89,Points_Lookup!$P:$P),IF($B$4="R&amp;T Level 6 - Clinical Associate Professors and Clinical Readers (Vet School)",SUMIF(Points_Lookup!$T:$T,$B89,Points_Lookup!$W:$W),IFERROR(INDEX(Points_Lookup!B:B,MATCH($Z89,Points_Lookup!$AE:$AE,0)),""))))))))</f>
        <v/>
      </c>
      <c r="D89" s="45"/>
      <c r="E89" s="27" t="str">
        <f ca="1">IF($B89="","",IF($B$4="Apprenticeship","-",SUM(IF(SUM(C89/12)&lt;Thresholds_Rates!$C$7,(SUM(C89/12)-Thresholds_Rates!$C$5)*Thresholds_Rates!$C$9,(Thresholds_Rates!$C$7-Thresholds_Rates!$C$5)*Thresholds_Rates!$C$9),IF(SUM(C89/12)&gt;Thresholds_Rates!$C$7,((SUM(C89/12)-Thresholds_Rates!$C$7)*Thresholds_Rates!$C$10),0),SUM(Thresholds_Rates!$C$5-Thresholds_Rates!$C$4)*-Thresholds_Rates!$C$8)*12))</f>
        <v/>
      </c>
      <c r="F89" s="27" t="str">
        <f ca="1">IF($B89="","",IF(AND($B$4="Salary Points 1 to 57",B89&lt;$AA$2),"-",IF(SUMIF(Grades!$A:$A,$B$4,Grades!BO:BO)=0,"-",IF(AND($B$4="Salary Points 1 to 57",B89&gt;=$AA$2),$C89*$AD$1,IF(AND(OR($B$4="New Consultant Contract"),$B89&lt;&gt;""),$C89*$AD$1,IF(AND(OR($B$4="Clinical Lecturer / Medical Research Fellow",$B$4="Clinical Consultant - Old Contract (GP)"),$B89&lt;&gt;""),$C89*$AD$1,IF(AND(OR($B$4="APM Level 7",$B$4="R&amp;T Level 7"),E89&lt;&gt;""),$C89*$AD$1,IF(SUMIF(Grades!$A:$A,$B$4,Grades!BO:BO)=1,$C89*$AD$1,""))))))))</f>
        <v/>
      </c>
      <c r="G89" s="27" t="str">
        <f ca="1">IF(B89="","",IF($B$4="Salary Points 1 to 57","-",IF(SUMIF(Grades!$A:$A,$B$4,Grades!BP:BP)=0,"-",IF(AND(OR($B$4="New Consultant Contract"),$B89&lt;&gt;""),$C89*$AD$2,IF(AND(OR($B$4="Clinical Lecturer / Medical Research Fellow",$B$4="Clinical Consultant - Old Contract (GP)"),$B89&lt;&gt;""),$C89*$AD$2,IF(AND(OR($B$4="APM Level 7",$B$4="R&amp;T Level 7"),F89&lt;&gt;""),$C89*$AD$2,IF(SUMIF(Grades!$A:$A,$B$4,Grades!BP:BP)=1,$C89*$AD$2,"")))))))</f>
        <v/>
      </c>
      <c r="H89" s="27" t="str">
        <f ca="1">IF(B89="","",IF(SUMIF(Grades!$A:$A,$B$4,Grades!BQ:BQ)=0,"-",IF(AND($B$4="Salary Points 1 to 57",B89&gt;$AA$3),"-",IF(AND($B$4="Salary Points 1 to 57",B89&lt;=$AA$3),$C89*$AD$3,IF(AND(OR($B$4="New Consultant Contract"),$B89&lt;&gt;""),$C89*$AD$3,IF(AND(OR($B$4="Clinical Lecturer / Medical Research Fellow",$B$4="Clinical Consultant - Old Contract (GP)"),$B89&lt;&gt;""),$C89*$AD$3,IF(AND(OR($B$4="APM Level 7",$B$4="R&amp;T Level 7"),G89&lt;&gt;""),$C89*$AD$3,IF(SUMIF(Grades!$A:$A,$B$4,Grades!BQ:BQ)=1,$C89*$AD$3,""))))))))</f>
        <v/>
      </c>
      <c r="I89" s="27" t="str">
        <f ca="1">IF($B89="","",ROUND(($C89-(Thresholds_Rates!$C$5*12))*Thresholds_Rates!$C$10,0))</f>
        <v/>
      </c>
      <c r="J89" s="27" t="str">
        <f ca="1">IF(B89="","",IF(AND($B$4="Salary Points 1 to 57",B89&gt;$AA$3),"-",IF(SUMIF(Grades!$A:$A,$B$4,Grades!BR:BR)=0,"-",IF(AND($B$4="Salary Points 1 to 57",B89&lt;=$AA$3),$C89*$AD$4,IF(AND(OR($B$4="New Consultant Contract"),$B89&lt;&gt;""),$C89*$AD$4,IF(AND(OR($B$4="Clinical Lecturer / Medical Research Fellow",$B$4="Clinical Consultant - Old Contract (GP)"),$B89&lt;&gt;""),$C89*$AD$4,IF(AND(OR($B$4="APM Level 7",$B$4="R&amp;T Level 7"),I89&lt;&gt;""),$C89*$AD$4,IF(SUMIF(Grades!$A:$A,$B$4,Grades!BQ:BQ)=1,$C89*$AD$4,""))))))))</f>
        <v/>
      </c>
      <c r="K89" s="6"/>
      <c r="L89" s="27" t="str">
        <f t="shared" ca="1" si="6"/>
        <v/>
      </c>
      <c r="M89" s="27" t="str">
        <f t="shared" ca="1" si="7"/>
        <v/>
      </c>
      <c r="N89" s="27" t="str">
        <f t="shared" ca="1" si="8"/>
        <v/>
      </c>
      <c r="O89" s="27" t="str">
        <f t="shared" ca="1" si="9"/>
        <v/>
      </c>
      <c r="P89" s="27" t="str">
        <f t="shared" ca="1" si="10"/>
        <v/>
      </c>
      <c r="R89" s="31" t="str">
        <f ca="1">IF(B89="","",IF($B$4="R&amp;T Level 5 - Clinical Lecturers (Vet School)",SUMIF(Points_Lookup!$M:$M,$B89,Points_Lookup!N:N),IF($B$4="R&amp;T Level 6 - Clinical Associate Professors and Clinical Readers (Vet School)",SUMIF(Points_Lookup!$T:$T,$B89,Points_Lookup!U:U),"")))</f>
        <v/>
      </c>
      <c r="S89" s="32" t="str">
        <f ca="1">IF(B89="","",IF($B$4="R&amp;T Level 5 - Clinical Lecturers (Vet School)",$C89-SUMIF(Points_Lookup!$M:$M,$B89,Points_Lookup!$O:$O),IF($B$4="R&amp;T Level 6 - Clinical Associate Professors and Clinical Readers (Vet School)",$C89-SUMIF(Points_Lookup!$T:$T,$B89,Points_Lookup!$V:$V),"")))</f>
        <v/>
      </c>
      <c r="T89" s="31" t="str">
        <f ca="1">IF(B89="","",IF($B$4="R&amp;T Level 5 - Clinical Lecturers (Vet School)",SUMIF(Points_Lookup!$M:$M,$B89,Points_Lookup!Q:Q),IF($B$4="R&amp;T Level 6 - Clinical Associate Professors and Clinical Readers (Vet School)",SUMIF(Points_Lookup!$T:$T,$B89,Points_Lookup!X:X),"")))</f>
        <v/>
      </c>
      <c r="U89" s="32" t="str">
        <f t="shared" ca="1" si="11"/>
        <v/>
      </c>
    </row>
    <row r="90" spans="2:21" x14ac:dyDescent="0.25">
      <c r="B90" s="6" t="str">
        <f ca="1">IFERROR(INDEX(Points_Lookup!A:A,MATCH($Z92,Points_Lookup!$AE:$AE,0)),"")</f>
        <v/>
      </c>
      <c r="C90" s="27" t="str">
        <f ca="1">IF(B90="","",IF($B$4="Apprenticeship",SUMIF(Points_Lookup!AA:AA,B90,Points_Lookup!AC:AC),IF(AND(OR($B$4="New Consultant Contract"),$B90&lt;&gt;""),INDEX(Points_Lookup!K:K,MATCH($B90,Points_Lookup!$J:$J,0)),IF(AND(OR($B$4="Clinical Lecturer / Medical Research Fellow",$B$4="Clinical Consultant - Old Contract (GP)"),$B90&lt;&gt;""),INDEX(Points_Lookup!H:H,MATCH($B90,Points_Lookup!$G:$G,0)),IF(AND(OR($B$4="APM Level 7",$B$4="R&amp;T Level 7",$B$4="APM Level 8"),B90&lt;&gt;""),INDEX(Points_Lookup!E:E,MATCH($Z90,Points_Lookup!$AE:$AE,0)),IF($B$4="R&amp;T Level 5 - Clinical Lecturers (Vet School)",SUMIF(Points_Lookup!$M:$M,$B90,Points_Lookup!$P:$P),IF($B$4="R&amp;T Level 6 - Clinical Associate Professors and Clinical Readers (Vet School)",SUMIF(Points_Lookup!$T:$T,$B90,Points_Lookup!$W:$W),IFERROR(INDEX(Points_Lookup!B:B,MATCH($Z90,Points_Lookup!$AE:$AE,0)),""))))))))</f>
        <v/>
      </c>
      <c r="D90" s="45"/>
      <c r="E90" s="27" t="str">
        <f ca="1">IF($B90="","",IF($B$4="Apprenticeship","-",SUM(IF(SUM(C90/12)&lt;Thresholds_Rates!$C$7,(SUM(C90/12)-Thresholds_Rates!$C$5)*Thresholds_Rates!$C$9,(Thresholds_Rates!$C$7-Thresholds_Rates!$C$5)*Thresholds_Rates!$C$9),IF(SUM(C90/12)&gt;Thresholds_Rates!$C$7,((SUM(C90/12)-Thresholds_Rates!$C$7)*Thresholds_Rates!$C$10),0),SUM(Thresholds_Rates!$C$5-Thresholds_Rates!$C$4)*-Thresholds_Rates!$C$8)*12))</f>
        <v/>
      </c>
      <c r="F90" s="27" t="str">
        <f ca="1">IF($B90="","",IF(AND($B$4="Salary Points 1 to 57",B90&lt;$AA$2),"-",IF(SUMIF(Grades!$A:$A,$B$4,Grades!BO:BO)=0,"-",IF(AND($B$4="Salary Points 1 to 57",B90&gt;=$AA$2),$C90*$AD$1,IF(AND(OR($B$4="New Consultant Contract"),$B90&lt;&gt;""),$C90*$AD$1,IF(AND(OR($B$4="Clinical Lecturer / Medical Research Fellow",$B$4="Clinical Consultant - Old Contract (GP)"),$B90&lt;&gt;""),$C90*$AD$1,IF(AND(OR($B$4="APM Level 7",$B$4="R&amp;T Level 7"),E90&lt;&gt;""),$C90*$AD$1,IF(SUMIF(Grades!$A:$A,$B$4,Grades!BO:BO)=1,$C90*$AD$1,""))))))))</f>
        <v/>
      </c>
      <c r="G90" s="27" t="str">
        <f ca="1">IF(B90="","",IF($B$4="Salary Points 1 to 57","-",IF(SUMIF(Grades!$A:$A,$B$4,Grades!BP:BP)=0,"-",IF(AND(OR($B$4="New Consultant Contract"),$B90&lt;&gt;""),$C90*$AD$2,IF(AND(OR($B$4="Clinical Lecturer / Medical Research Fellow",$B$4="Clinical Consultant - Old Contract (GP)"),$B90&lt;&gt;""),$C90*$AD$2,IF(AND(OR($B$4="APM Level 7",$B$4="R&amp;T Level 7"),F90&lt;&gt;""),$C90*$AD$2,IF(SUMIF(Grades!$A:$A,$B$4,Grades!BP:BP)=1,$C90*$AD$2,"")))))))</f>
        <v/>
      </c>
      <c r="H90" s="27" t="str">
        <f ca="1">IF(B90="","",IF(SUMIF(Grades!$A:$A,$B$4,Grades!BQ:BQ)=0,"-",IF(AND($B$4="Salary Points 1 to 57",B90&gt;$AA$3),"-",IF(AND($B$4="Salary Points 1 to 57",B90&lt;=$AA$3),$C90*$AD$3,IF(AND(OR($B$4="New Consultant Contract"),$B90&lt;&gt;""),$C90*$AD$3,IF(AND(OR($B$4="Clinical Lecturer / Medical Research Fellow",$B$4="Clinical Consultant - Old Contract (GP)"),$B90&lt;&gt;""),$C90*$AD$3,IF(AND(OR($B$4="APM Level 7",$B$4="R&amp;T Level 7"),G90&lt;&gt;""),$C90*$AD$3,IF(SUMIF(Grades!$A:$A,$B$4,Grades!BQ:BQ)=1,$C90*$AD$3,""))))))))</f>
        <v/>
      </c>
      <c r="I90" s="27" t="str">
        <f ca="1">IF($B90="","",ROUND(($C90-(Thresholds_Rates!$C$5*12))*Thresholds_Rates!$C$10,0))</f>
        <v/>
      </c>
      <c r="J90" s="27" t="str">
        <f ca="1">IF(B90="","",IF(AND($B$4="Salary Points 1 to 57",B90&gt;$AA$3),"-",IF(SUMIF(Grades!$A:$A,$B$4,Grades!BR:BR)=0,"-",IF(AND($B$4="Salary Points 1 to 57",B90&lt;=$AA$3),$C90*$AD$4,IF(AND(OR($B$4="New Consultant Contract"),$B90&lt;&gt;""),$C90*$AD$4,IF(AND(OR($B$4="Clinical Lecturer / Medical Research Fellow",$B$4="Clinical Consultant - Old Contract (GP)"),$B90&lt;&gt;""),$C90*$AD$4,IF(AND(OR($B$4="APM Level 7",$B$4="R&amp;T Level 7"),I90&lt;&gt;""),$C90*$AD$4,IF(SUMIF(Grades!$A:$A,$B$4,Grades!BQ:BQ)=1,$C90*$AD$4,""))))))))</f>
        <v/>
      </c>
      <c r="K90" s="6"/>
      <c r="L90" s="27" t="str">
        <f t="shared" ca="1" si="6"/>
        <v/>
      </c>
      <c r="M90" s="27" t="str">
        <f t="shared" ca="1" si="7"/>
        <v/>
      </c>
      <c r="N90" s="27" t="str">
        <f t="shared" ca="1" si="8"/>
        <v/>
      </c>
      <c r="O90" s="27" t="str">
        <f t="shared" ca="1" si="9"/>
        <v/>
      </c>
      <c r="P90" s="27" t="str">
        <f t="shared" ca="1" si="10"/>
        <v/>
      </c>
      <c r="R90" s="31" t="str">
        <f ca="1">IF(B90="","",IF($B$4="R&amp;T Level 5 - Clinical Lecturers (Vet School)",SUMIF(Points_Lookup!$M:$M,$B90,Points_Lookup!N:N),IF($B$4="R&amp;T Level 6 - Clinical Associate Professors and Clinical Readers (Vet School)",SUMIF(Points_Lookup!$T:$T,$B90,Points_Lookup!U:U),"")))</f>
        <v/>
      </c>
      <c r="S90" s="32" t="str">
        <f ca="1">IF(B90="","",IF($B$4="R&amp;T Level 5 - Clinical Lecturers (Vet School)",$C90-SUMIF(Points_Lookup!$M:$M,$B90,Points_Lookup!$O:$O),IF($B$4="R&amp;T Level 6 - Clinical Associate Professors and Clinical Readers (Vet School)",$C90-SUMIF(Points_Lookup!$T:$T,$B90,Points_Lookup!$V:$V),"")))</f>
        <v/>
      </c>
      <c r="T90" s="31" t="str">
        <f ca="1">IF(B90="","",IF($B$4="R&amp;T Level 5 - Clinical Lecturers (Vet School)",SUMIF(Points_Lookup!$M:$M,$B90,Points_Lookup!Q:Q),IF($B$4="R&amp;T Level 6 - Clinical Associate Professors and Clinical Readers (Vet School)",SUMIF(Points_Lookup!$T:$T,$B90,Points_Lookup!X:X),"")))</f>
        <v/>
      </c>
      <c r="U90" s="32" t="str">
        <f t="shared" ca="1" si="11"/>
        <v/>
      </c>
    </row>
    <row r="91" spans="2:21" x14ac:dyDescent="0.25">
      <c r="B91" s="6" t="str">
        <f ca="1">IFERROR(INDEX(Points_Lookup!A:A,MATCH($Z93,Points_Lookup!$AE:$AE,0)),"")</f>
        <v/>
      </c>
      <c r="C91" s="27" t="str">
        <f ca="1">IF(B91="","",IF($B$4="Apprenticeship",SUMIF(Points_Lookup!AA:AA,B91,Points_Lookup!AC:AC),IF(AND(OR($B$4="New Consultant Contract"),$B91&lt;&gt;""),INDEX(Points_Lookup!K:K,MATCH($B91,Points_Lookup!$J:$J,0)),IF(AND(OR($B$4="Clinical Lecturer / Medical Research Fellow",$B$4="Clinical Consultant - Old Contract (GP)"),$B91&lt;&gt;""),INDEX(Points_Lookup!H:H,MATCH($B91,Points_Lookup!$G:$G,0)),IF(AND(OR($B$4="APM Level 7",$B$4="R&amp;T Level 7",$B$4="APM Level 8"),B91&lt;&gt;""),INDEX(Points_Lookup!E:E,MATCH($Z91,Points_Lookup!$AE:$AE,0)),IF($B$4="R&amp;T Level 5 - Clinical Lecturers (Vet School)",SUMIF(Points_Lookup!$M:$M,$B91,Points_Lookup!$P:$P),IF($B$4="R&amp;T Level 6 - Clinical Associate Professors and Clinical Readers (Vet School)",SUMIF(Points_Lookup!$T:$T,$B91,Points_Lookup!$W:$W),IFERROR(INDEX(Points_Lookup!B:B,MATCH($Z91,Points_Lookup!$AE:$AE,0)),""))))))))</f>
        <v/>
      </c>
      <c r="D91" s="45"/>
      <c r="E91" s="27" t="str">
        <f ca="1">IF($B91="","",IF($B$4="Apprenticeship","-",SUM(IF(SUM(C91/12)&lt;Thresholds_Rates!$C$7,(SUM(C91/12)-Thresholds_Rates!$C$5)*Thresholds_Rates!$C$9,(Thresholds_Rates!$C$7-Thresholds_Rates!$C$5)*Thresholds_Rates!$C$9),IF(SUM(C91/12)&gt;Thresholds_Rates!$C$7,((SUM(C91/12)-Thresholds_Rates!$C$7)*Thresholds_Rates!$C$10),0),SUM(Thresholds_Rates!$C$5-Thresholds_Rates!$C$4)*-Thresholds_Rates!$C$8)*12))</f>
        <v/>
      </c>
      <c r="F91" s="27" t="str">
        <f ca="1">IF($B91="","",IF(AND($B$4="Salary Points 1 to 57",B91&lt;$AA$2),"-",IF(SUMIF(Grades!$A:$A,$B$4,Grades!BO:BO)=0,"-",IF(AND($B$4="Salary Points 1 to 57",B91&gt;=$AA$2),$C91*$AD$1,IF(AND(OR($B$4="New Consultant Contract"),$B91&lt;&gt;""),$C91*$AD$1,IF(AND(OR($B$4="Clinical Lecturer / Medical Research Fellow",$B$4="Clinical Consultant - Old Contract (GP)"),$B91&lt;&gt;""),$C91*$AD$1,IF(AND(OR($B$4="APM Level 7",$B$4="R&amp;T Level 7"),E91&lt;&gt;""),$C91*$AD$1,IF(SUMIF(Grades!$A:$A,$B$4,Grades!BO:BO)=1,$C91*$AD$1,""))))))))</f>
        <v/>
      </c>
      <c r="G91" s="27" t="str">
        <f ca="1">IF(B91="","",IF($B$4="Salary Points 1 to 57","-",IF(SUMIF(Grades!$A:$A,$B$4,Grades!BP:BP)=0,"-",IF(AND(OR($B$4="New Consultant Contract"),$B91&lt;&gt;""),$C91*$AD$2,IF(AND(OR($B$4="Clinical Lecturer / Medical Research Fellow",$B$4="Clinical Consultant - Old Contract (GP)"),$B91&lt;&gt;""),$C91*$AD$2,IF(AND(OR($B$4="APM Level 7",$B$4="R&amp;T Level 7"),F91&lt;&gt;""),$C91*$AD$2,IF(SUMIF(Grades!$A:$A,$B$4,Grades!BP:BP)=1,$C91*$AD$2,"")))))))</f>
        <v/>
      </c>
      <c r="H91" s="27" t="str">
        <f ca="1">IF(B91="","",IF(SUMIF(Grades!$A:$A,$B$4,Grades!BQ:BQ)=0,"-",IF(AND($B$4="Salary Points 1 to 57",B91&gt;$AA$3),"-",IF(AND($B$4="Salary Points 1 to 57",B91&lt;=$AA$3),$C91*$AD$3,IF(AND(OR($B$4="New Consultant Contract"),$B91&lt;&gt;""),$C91*$AD$3,IF(AND(OR($B$4="Clinical Lecturer / Medical Research Fellow",$B$4="Clinical Consultant - Old Contract (GP)"),$B91&lt;&gt;""),$C91*$AD$3,IF(AND(OR($B$4="APM Level 7",$B$4="R&amp;T Level 7"),G91&lt;&gt;""),$C91*$AD$3,IF(SUMIF(Grades!$A:$A,$B$4,Grades!BQ:BQ)=1,$C91*$AD$3,""))))))))</f>
        <v/>
      </c>
      <c r="I91" s="27" t="str">
        <f ca="1">IF($B91="","",ROUND(($C91-(Thresholds_Rates!$C$5*12))*Thresholds_Rates!$C$10,0))</f>
        <v/>
      </c>
      <c r="J91" s="27" t="str">
        <f ca="1">IF(B91="","",IF(AND($B$4="Salary Points 1 to 57",B91&gt;$AA$3),"-",IF(SUMIF(Grades!$A:$A,$B$4,Grades!BR:BR)=0,"-",IF(AND($B$4="Salary Points 1 to 57",B91&lt;=$AA$3),$C91*$AD$4,IF(AND(OR($B$4="New Consultant Contract"),$B91&lt;&gt;""),$C91*$AD$4,IF(AND(OR($B$4="Clinical Lecturer / Medical Research Fellow",$B$4="Clinical Consultant - Old Contract (GP)"),$B91&lt;&gt;""),$C91*$AD$4,IF(AND(OR($B$4="APM Level 7",$B$4="R&amp;T Level 7"),I91&lt;&gt;""),$C91*$AD$4,IF(SUMIF(Grades!$A:$A,$B$4,Grades!BQ:BQ)=1,$C91*$AD$4,""))))))))</f>
        <v/>
      </c>
      <c r="K91" s="6"/>
      <c r="L91" s="27" t="str">
        <f t="shared" ca="1" si="6"/>
        <v/>
      </c>
      <c r="M91" s="27" t="str">
        <f t="shared" ca="1" si="7"/>
        <v/>
      </c>
      <c r="N91" s="27" t="str">
        <f t="shared" ca="1" si="8"/>
        <v/>
      </c>
      <c r="O91" s="27" t="str">
        <f t="shared" ca="1" si="9"/>
        <v/>
      </c>
      <c r="P91" s="27" t="str">
        <f t="shared" ca="1" si="10"/>
        <v/>
      </c>
      <c r="R91" s="31" t="str">
        <f ca="1">IF(B91="","",IF($B$4="R&amp;T Level 5 - Clinical Lecturers (Vet School)",SUMIF(Points_Lookup!$M:$M,$B91,Points_Lookup!N:N),IF($B$4="R&amp;T Level 6 - Clinical Associate Professors and Clinical Readers (Vet School)",SUMIF(Points_Lookup!$T:$T,$B91,Points_Lookup!U:U),"")))</f>
        <v/>
      </c>
      <c r="S91" s="32" t="str">
        <f ca="1">IF(B91="","",IF($B$4="R&amp;T Level 5 - Clinical Lecturers (Vet School)",$C91-SUMIF(Points_Lookup!$M:$M,$B91,Points_Lookup!$O:$O),IF($B$4="R&amp;T Level 6 - Clinical Associate Professors and Clinical Readers (Vet School)",$C91-SUMIF(Points_Lookup!$T:$T,$B91,Points_Lookup!$V:$V),"")))</f>
        <v/>
      </c>
      <c r="T91" s="31" t="str">
        <f ca="1">IF(B91="","",IF($B$4="R&amp;T Level 5 - Clinical Lecturers (Vet School)",SUMIF(Points_Lookup!$M:$M,$B91,Points_Lookup!Q:Q),IF($B$4="R&amp;T Level 6 - Clinical Associate Professors and Clinical Readers (Vet School)",SUMIF(Points_Lookup!$T:$T,$B91,Points_Lookup!X:X),"")))</f>
        <v/>
      </c>
      <c r="U91" s="32" t="str">
        <f t="shared" ca="1" si="11"/>
        <v/>
      </c>
    </row>
    <row r="92" spans="2:21" x14ac:dyDescent="0.25">
      <c r="B92" s="6" t="str">
        <f ca="1">IFERROR(INDEX(Points_Lookup!A:A,MATCH($Z94,Points_Lookup!$AE:$AE,0)),"")</f>
        <v/>
      </c>
      <c r="C92" s="27" t="str">
        <f ca="1">IF(B92="","",IF($B$4="Apprenticeship",SUMIF(Points_Lookup!AA:AA,B92,Points_Lookup!AC:AC),IF(AND(OR($B$4="New Consultant Contract"),$B92&lt;&gt;""),INDEX(Points_Lookup!K:K,MATCH($B92,Points_Lookup!$J:$J,0)),IF(AND(OR($B$4="Clinical Lecturer / Medical Research Fellow",$B$4="Clinical Consultant - Old Contract (GP)"),$B92&lt;&gt;""),INDEX(Points_Lookup!H:H,MATCH($B92,Points_Lookup!$G:$G,0)),IF(AND(OR($B$4="APM Level 7",$B$4="R&amp;T Level 7",$B$4="APM Level 8"),B92&lt;&gt;""),INDEX(Points_Lookup!E:E,MATCH($Z92,Points_Lookup!$AE:$AE,0)),IF($B$4="R&amp;T Level 5 - Clinical Lecturers (Vet School)",SUMIF(Points_Lookup!$M:$M,$B92,Points_Lookup!$P:$P),IF($B$4="R&amp;T Level 6 - Clinical Associate Professors and Clinical Readers (Vet School)",SUMIF(Points_Lookup!$T:$T,$B92,Points_Lookup!$W:$W),IFERROR(INDEX(Points_Lookup!B:B,MATCH($Z92,Points_Lookup!$AE:$AE,0)),""))))))))</f>
        <v/>
      </c>
      <c r="D92" s="45"/>
      <c r="E92" s="27" t="str">
        <f ca="1">IF($B92="","",IF($B$4="Apprenticeship","-",SUM(IF(SUM(C92/12)&lt;Thresholds_Rates!$C$7,(SUM(C92/12)-Thresholds_Rates!$C$5)*Thresholds_Rates!$C$9,(Thresholds_Rates!$C$7-Thresholds_Rates!$C$5)*Thresholds_Rates!$C$9),IF(SUM(C92/12)&gt;Thresholds_Rates!$C$7,((SUM(C92/12)-Thresholds_Rates!$C$7)*Thresholds_Rates!$C$10),0),SUM(Thresholds_Rates!$C$5-Thresholds_Rates!$C$4)*-Thresholds_Rates!$C$8)*12))</f>
        <v/>
      </c>
      <c r="F92" s="27" t="str">
        <f ca="1">IF($B92="","",IF(AND($B$4="Salary Points 1 to 57",B92&lt;$AA$2),"-",IF(SUMIF(Grades!$A:$A,$B$4,Grades!BO:BO)=0,"-",IF(AND($B$4="Salary Points 1 to 57",B92&gt;=$AA$2),$C92*$AD$1,IF(AND(OR($B$4="New Consultant Contract"),$B92&lt;&gt;""),$C92*$AD$1,IF(AND(OR($B$4="Clinical Lecturer / Medical Research Fellow",$B$4="Clinical Consultant - Old Contract (GP)"),$B92&lt;&gt;""),$C92*$AD$1,IF(AND(OR($B$4="APM Level 7",$B$4="R&amp;T Level 7"),E92&lt;&gt;""),$C92*$AD$1,IF(SUMIF(Grades!$A:$A,$B$4,Grades!BO:BO)=1,$C92*$AD$1,""))))))))</f>
        <v/>
      </c>
      <c r="G92" s="27" t="str">
        <f ca="1">IF(B92="","",IF($B$4="Salary Points 1 to 57","-",IF(SUMIF(Grades!$A:$A,$B$4,Grades!BP:BP)=0,"-",IF(AND(OR($B$4="New Consultant Contract"),$B92&lt;&gt;""),$C92*$AD$2,IF(AND(OR($B$4="Clinical Lecturer / Medical Research Fellow",$B$4="Clinical Consultant - Old Contract (GP)"),$B92&lt;&gt;""),$C92*$AD$2,IF(AND(OR($B$4="APM Level 7",$B$4="R&amp;T Level 7"),F92&lt;&gt;""),$C92*$AD$2,IF(SUMIF(Grades!$A:$A,$B$4,Grades!BP:BP)=1,$C92*$AD$2,"")))))))</f>
        <v/>
      </c>
      <c r="H92" s="27" t="str">
        <f ca="1">IF(B92="","",IF(SUMIF(Grades!$A:$A,$B$4,Grades!BQ:BQ)=0,"-",IF(AND($B$4="Salary Points 1 to 57",B92&gt;$AA$3),"-",IF(AND($B$4="Salary Points 1 to 57",B92&lt;=$AA$3),$C92*$AD$3,IF(AND(OR($B$4="New Consultant Contract"),$B92&lt;&gt;""),$C92*$AD$3,IF(AND(OR($B$4="Clinical Lecturer / Medical Research Fellow",$B$4="Clinical Consultant - Old Contract (GP)"),$B92&lt;&gt;""),$C92*$AD$3,IF(AND(OR($B$4="APM Level 7",$B$4="R&amp;T Level 7"),G92&lt;&gt;""),$C92*$AD$3,IF(SUMIF(Grades!$A:$A,$B$4,Grades!BQ:BQ)=1,$C92*$AD$3,""))))))))</f>
        <v/>
      </c>
      <c r="I92" s="27" t="str">
        <f ca="1">IF($B92="","",ROUND(($C92-(Thresholds_Rates!$C$5*12))*Thresholds_Rates!$C$10,0))</f>
        <v/>
      </c>
      <c r="J92" s="27" t="str">
        <f ca="1">IF(B92="","",IF(AND($B$4="Salary Points 1 to 57",B92&gt;$AA$3),"-",IF(SUMIF(Grades!$A:$A,$B$4,Grades!BR:BR)=0,"-",IF(AND($B$4="Salary Points 1 to 57",B92&lt;=$AA$3),$C92*$AD$4,IF(AND(OR($B$4="New Consultant Contract"),$B92&lt;&gt;""),$C92*$AD$4,IF(AND(OR($B$4="Clinical Lecturer / Medical Research Fellow",$B$4="Clinical Consultant - Old Contract (GP)"),$B92&lt;&gt;""),$C92*$AD$4,IF(AND(OR($B$4="APM Level 7",$B$4="R&amp;T Level 7"),I92&lt;&gt;""),$C92*$AD$4,IF(SUMIF(Grades!$A:$A,$B$4,Grades!BQ:BQ)=1,$C92*$AD$4,""))))))))</f>
        <v/>
      </c>
      <c r="K92" s="6"/>
      <c r="L92" s="27" t="str">
        <f t="shared" ca="1" si="6"/>
        <v/>
      </c>
      <c r="M92" s="27" t="str">
        <f t="shared" ca="1" si="7"/>
        <v/>
      </c>
      <c r="N92" s="27" t="str">
        <f t="shared" ca="1" si="8"/>
        <v/>
      </c>
      <c r="O92" s="27" t="str">
        <f t="shared" ca="1" si="9"/>
        <v/>
      </c>
      <c r="P92" s="27" t="str">
        <f t="shared" ca="1" si="10"/>
        <v/>
      </c>
      <c r="R92" s="31" t="str">
        <f ca="1">IF(B92="","",IF($B$4="R&amp;T Level 5 - Clinical Lecturers (Vet School)",SUMIF(Points_Lookup!$M:$M,$B92,Points_Lookup!N:N),IF($B$4="R&amp;T Level 6 - Clinical Associate Professors and Clinical Readers (Vet School)",SUMIF(Points_Lookup!$T:$T,$B92,Points_Lookup!U:U),"")))</f>
        <v/>
      </c>
      <c r="S92" s="32" t="str">
        <f ca="1">IF(B92="","",IF($B$4="R&amp;T Level 5 - Clinical Lecturers (Vet School)",$C92-SUMIF(Points_Lookup!$M:$M,$B92,Points_Lookup!$O:$O),IF($B$4="R&amp;T Level 6 - Clinical Associate Professors and Clinical Readers (Vet School)",$C92-SUMIF(Points_Lookup!$T:$T,$B92,Points_Lookup!$V:$V),"")))</f>
        <v/>
      </c>
      <c r="T92" s="31" t="str">
        <f ca="1">IF(B92="","",IF($B$4="R&amp;T Level 5 - Clinical Lecturers (Vet School)",SUMIF(Points_Lookup!$M:$M,$B92,Points_Lookup!Q:Q),IF($B$4="R&amp;T Level 6 - Clinical Associate Professors and Clinical Readers (Vet School)",SUMIF(Points_Lookup!$T:$T,$B92,Points_Lookup!X:X),"")))</f>
        <v/>
      </c>
      <c r="U92" s="32" t="str">
        <f t="shared" ca="1" si="11"/>
        <v/>
      </c>
    </row>
    <row r="93" spans="2:21" x14ac:dyDescent="0.25">
      <c r="B93" s="6" t="str">
        <f ca="1">IFERROR(INDEX(Points_Lookup!A:A,MATCH($Z95,Points_Lookup!$AE:$AE,0)),"")</f>
        <v/>
      </c>
      <c r="C93" s="27" t="str">
        <f ca="1">IF(B93="","",IF($B$4="Apprenticeship",SUMIF(Points_Lookup!AA:AA,B93,Points_Lookup!AC:AC),IF(AND(OR($B$4="New Consultant Contract"),$B93&lt;&gt;""),INDEX(Points_Lookup!K:K,MATCH($B93,Points_Lookup!$J:$J,0)),IF(AND(OR($B$4="Clinical Lecturer / Medical Research Fellow",$B$4="Clinical Consultant - Old Contract (GP)"),$B93&lt;&gt;""),INDEX(Points_Lookup!H:H,MATCH($B93,Points_Lookup!$G:$G,0)),IF(AND(OR($B$4="APM Level 7",$B$4="R&amp;T Level 7",$B$4="APM Level 8"),B93&lt;&gt;""),INDEX(Points_Lookup!E:E,MATCH($Z93,Points_Lookup!$AE:$AE,0)),IF($B$4="R&amp;T Level 5 - Clinical Lecturers (Vet School)",SUMIF(Points_Lookup!$M:$M,$B93,Points_Lookup!$P:$P),IF($B$4="R&amp;T Level 6 - Clinical Associate Professors and Clinical Readers (Vet School)",SUMIF(Points_Lookup!$T:$T,$B93,Points_Lookup!$W:$W),IFERROR(INDEX(Points_Lookup!B:B,MATCH($Z93,Points_Lookup!$AE:$AE,0)),""))))))))</f>
        <v/>
      </c>
      <c r="D93" s="45"/>
      <c r="E93" s="27" t="str">
        <f ca="1">IF($B93="","",IF($B$4="Apprenticeship","-",SUM(IF(SUM(C93/12)&lt;Thresholds_Rates!$C$7,(SUM(C93/12)-Thresholds_Rates!$C$5)*Thresholds_Rates!$C$9,(Thresholds_Rates!$C$7-Thresholds_Rates!$C$5)*Thresholds_Rates!$C$9),IF(SUM(C93/12)&gt;Thresholds_Rates!$C$7,((SUM(C93/12)-Thresholds_Rates!$C$7)*Thresholds_Rates!$C$10),0),SUM(Thresholds_Rates!$C$5-Thresholds_Rates!$C$4)*-Thresholds_Rates!$C$8)*12))</f>
        <v/>
      </c>
      <c r="F93" s="27" t="str">
        <f ca="1">IF($B93="","",IF(AND($B$4="Salary Points 1 to 57",B93&lt;$AA$2),"-",IF(SUMIF(Grades!$A:$A,$B$4,Grades!BO:BO)=0,"-",IF(AND($B$4="Salary Points 1 to 57",B93&gt;=$AA$2),$C93*$AD$1,IF(AND(OR($B$4="New Consultant Contract"),$B93&lt;&gt;""),$C93*$AD$1,IF(AND(OR($B$4="Clinical Lecturer / Medical Research Fellow",$B$4="Clinical Consultant - Old Contract (GP)"),$B93&lt;&gt;""),$C93*$AD$1,IF(AND(OR($B$4="APM Level 7",$B$4="R&amp;T Level 7"),E93&lt;&gt;""),$C93*$AD$1,IF(SUMIF(Grades!$A:$A,$B$4,Grades!BO:BO)=1,$C93*$AD$1,""))))))))</f>
        <v/>
      </c>
      <c r="G93" s="27" t="str">
        <f ca="1">IF(B93="","",IF($B$4="Salary Points 1 to 57","-",IF(SUMIF(Grades!$A:$A,$B$4,Grades!BP:BP)=0,"-",IF(AND(OR($B$4="New Consultant Contract"),$B93&lt;&gt;""),$C93*$AD$2,IF(AND(OR($B$4="Clinical Lecturer / Medical Research Fellow",$B$4="Clinical Consultant - Old Contract (GP)"),$B93&lt;&gt;""),$C93*$AD$2,IF(AND(OR($B$4="APM Level 7",$B$4="R&amp;T Level 7"),F93&lt;&gt;""),$C93*$AD$2,IF(SUMIF(Grades!$A:$A,$B$4,Grades!BP:BP)=1,$C93*$AD$2,"")))))))</f>
        <v/>
      </c>
      <c r="H93" s="27" t="str">
        <f ca="1">IF(B93="","",IF(SUMIF(Grades!$A:$A,$B$4,Grades!BQ:BQ)=0,"-",IF(AND($B$4="Salary Points 1 to 57",B93&gt;$AA$3),"-",IF(AND($B$4="Salary Points 1 to 57",B93&lt;=$AA$3),$C93*$AD$3,IF(AND(OR($B$4="New Consultant Contract"),$B93&lt;&gt;""),$C93*$AD$3,IF(AND(OR($B$4="Clinical Lecturer / Medical Research Fellow",$B$4="Clinical Consultant - Old Contract (GP)"),$B93&lt;&gt;""),$C93*$AD$3,IF(AND(OR($B$4="APM Level 7",$B$4="R&amp;T Level 7"),G93&lt;&gt;""),$C93*$AD$3,IF(SUMIF(Grades!$A:$A,$B$4,Grades!BQ:BQ)=1,$C93*$AD$3,""))))))))</f>
        <v/>
      </c>
      <c r="I93" s="27" t="str">
        <f ca="1">IF($B93="","",ROUND(($C93-(Thresholds_Rates!$C$5*12))*Thresholds_Rates!$C$10,0))</f>
        <v/>
      </c>
      <c r="J93" s="27" t="str">
        <f ca="1">IF(B93="","",IF(AND($B$4="Salary Points 1 to 57",B93&gt;$AA$3),"-",IF(SUMIF(Grades!$A:$A,$B$4,Grades!BR:BR)=0,"-",IF(AND($B$4="Salary Points 1 to 57",B93&lt;=$AA$3),$C93*$AD$4,IF(AND(OR($B$4="New Consultant Contract"),$B93&lt;&gt;""),$C93*$AD$4,IF(AND(OR($B$4="Clinical Lecturer / Medical Research Fellow",$B$4="Clinical Consultant - Old Contract (GP)"),$B93&lt;&gt;""),$C93*$AD$4,IF(AND(OR($B$4="APM Level 7",$B$4="R&amp;T Level 7"),I93&lt;&gt;""),$C93*$AD$4,IF(SUMIF(Grades!$A:$A,$B$4,Grades!BQ:BQ)=1,$C93*$AD$4,""))))))))</f>
        <v/>
      </c>
      <c r="K93" s="6"/>
      <c r="L93" s="27" t="str">
        <f t="shared" ca="1" si="6"/>
        <v/>
      </c>
      <c r="M93" s="27" t="str">
        <f t="shared" ca="1" si="7"/>
        <v/>
      </c>
      <c r="N93" s="27" t="str">
        <f t="shared" ca="1" si="8"/>
        <v/>
      </c>
      <c r="O93" s="27" t="str">
        <f t="shared" ca="1" si="9"/>
        <v/>
      </c>
      <c r="P93" s="27" t="str">
        <f t="shared" ca="1" si="10"/>
        <v/>
      </c>
      <c r="R93" s="31" t="str">
        <f ca="1">IF(B93="","",IF($B$4="R&amp;T Level 5 - Clinical Lecturers (Vet School)",SUMIF(Points_Lookup!$M:$M,$B93,Points_Lookup!N:N),IF($B$4="R&amp;T Level 6 - Clinical Associate Professors and Clinical Readers (Vet School)",SUMIF(Points_Lookup!$T:$T,$B93,Points_Lookup!U:U),"")))</f>
        <v/>
      </c>
      <c r="S93" s="32" t="str">
        <f ca="1">IF(B93="","",IF($B$4="R&amp;T Level 5 - Clinical Lecturers (Vet School)",$C93-SUMIF(Points_Lookup!$M:$M,$B93,Points_Lookup!$O:$O),IF($B$4="R&amp;T Level 6 - Clinical Associate Professors and Clinical Readers (Vet School)",$C93-SUMIF(Points_Lookup!$T:$T,$B93,Points_Lookup!$V:$V),"")))</f>
        <v/>
      </c>
      <c r="T93" s="31" t="str">
        <f ca="1">IF(B93="","",IF($B$4="R&amp;T Level 5 - Clinical Lecturers (Vet School)",SUMIF(Points_Lookup!$M:$M,$B93,Points_Lookup!Q:Q),IF($B$4="R&amp;T Level 6 - Clinical Associate Professors and Clinical Readers (Vet School)",SUMIF(Points_Lookup!$T:$T,$B93,Points_Lookup!X:X),"")))</f>
        <v/>
      </c>
      <c r="U93" s="32" t="str">
        <f t="shared" ca="1" si="11"/>
        <v/>
      </c>
    </row>
    <row r="94" spans="2:21" x14ac:dyDescent="0.25">
      <c r="B94" s="6" t="str">
        <f ca="1">IFERROR(INDEX(Points_Lookup!A:A,MATCH($Z96,Points_Lookup!$AE:$AE,0)),"")</f>
        <v/>
      </c>
      <c r="C94" s="27" t="str">
        <f ca="1">IF(B94="","",IF($B$4="Apprenticeship",SUMIF(Points_Lookup!AA:AA,B94,Points_Lookup!AC:AC),IF(AND(OR($B$4="New Consultant Contract"),$B94&lt;&gt;""),INDEX(Points_Lookup!K:K,MATCH($B94,Points_Lookup!$J:$J,0)),IF(AND(OR($B$4="Clinical Lecturer / Medical Research Fellow",$B$4="Clinical Consultant - Old Contract (GP)"),$B94&lt;&gt;""),INDEX(Points_Lookup!H:H,MATCH($B94,Points_Lookup!$G:$G,0)),IF(AND(OR($B$4="APM Level 7",$B$4="R&amp;T Level 7",$B$4="APM Level 8"),B94&lt;&gt;""),INDEX(Points_Lookup!E:E,MATCH($Z94,Points_Lookup!$AE:$AE,0)),IF($B$4="R&amp;T Level 5 - Clinical Lecturers (Vet School)",SUMIF(Points_Lookup!$M:$M,$B94,Points_Lookup!$P:$P),IF($B$4="R&amp;T Level 6 - Clinical Associate Professors and Clinical Readers (Vet School)",SUMIF(Points_Lookup!$T:$T,$B94,Points_Lookup!$W:$W),IFERROR(INDEX(Points_Lookup!B:B,MATCH($Z94,Points_Lookup!$AE:$AE,0)),""))))))))</f>
        <v/>
      </c>
      <c r="D94" s="45"/>
      <c r="E94" s="27" t="str">
        <f ca="1">IF($B94="","",IF($B$4="Apprenticeship","-",SUM(IF(SUM(C94/12)&lt;Thresholds_Rates!$C$7,(SUM(C94/12)-Thresholds_Rates!$C$5)*Thresholds_Rates!$C$9,(Thresholds_Rates!$C$7-Thresholds_Rates!$C$5)*Thresholds_Rates!$C$9),IF(SUM(C94/12)&gt;Thresholds_Rates!$C$7,((SUM(C94/12)-Thresholds_Rates!$C$7)*Thresholds_Rates!$C$10),0),SUM(Thresholds_Rates!$C$5-Thresholds_Rates!$C$4)*-Thresholds_Rates!$C$8)*12))</f>
        <v/>
      </c>
      <c r="F94" s="27" t="str">
        <f ca="1">IF($B94="","",IF(AND($B$4="Salary Points 1 to 57",B94&lt;$AA$2),"-",IF(SUMIF(Grades!$A:$A,$B$4,Grades!BO:BO)=0,"-",IF(AND($B$4="Salary Points 1 to 57",B94&gt;=$AA$2),$C94*$AD$1,IF(AND(OR($B$4="New Consultant Contract"),$B94&lt;&gt;""),$C94*$AD$1,IF(AND(OR($B$4="Clinical Lecturer / Medical Research Fellow",$B$4="Clinical Consultant - Old Contract (GP)"),$B94&lt;&gt;""),$C94*$AD$1,IF(AND(OR($B$4="APM Level 7",$B$4="R&amp;T Level 7"),E94&lt;&gt;""),$C94*$AD$1,IF(SUMIF(Grades!$A:$A,$B$4,Grades!BO:BO)=1,$C94*$AD$1,""))))))))</f>
        <v/>
      </c>
      <c r="G94" s="27" t="str">
        <f ca="1">IF(B94="","",IF($B$4="Salary Points 1 to 57","-",IF(SUMIF(Grades!$A:$A,$B$4,Grades!BP:BP)=0,"-",IF(AND(OR($B$4="New Consultant Contract"),$B94&lt;&gt;""),$C94*$AD$2,IF(AND(OR($B$4="Clinical Lecturer / Medical Research Fellow",$B$4="Clinical Consultant - Old Contract (GP)"),$B94&lt;&gt;""),$C94*$AD$2,IF(AND(OR($B$4="APM Level 7",$B$4="R&amp;T Level 7"),F94&lt;&gt;""),$C94*$AD$2,IF(SUMIF(Grades!$A:$A,$B$4,Grades!BP:BP)=1,$C94*$AD$2,"")))))))</f>
        <v/>
      </c>
      <c r="H94" s="27" t="str">
        <f ca="1">IF(B94="","",IF(SUMIF(Grades!$A:$A,$B$4,Grades!BQ:BQ)=0,"-",IF(AND($B$4="Salary Points 1 to 57",B94&gt;$AA$3),"-",IF(AND($B$4="Salary Points 1 to 57",B94&lt;=$AA$3),$C94*$AD$3,IF(AND(OR($B$4="New Consultant Contract"),$B94&lt;&gt;""),$C94*$AD$3,IF(AND(OR($B$4="Clinical Lecturer / Medical Research Fellow",$B$4="Clinical Consultant - Old Contract (GP)"),$B94&lt;&gt;""),$C94*$AD$3,IF(AND(OR($B$4="APM Level 7",$B$4="R&amp;T Level 7"),G94&lt;&gt;""),$C94*$AD$3,IF(SUMIF(Grades!$A:$A,$B$4,Grades!BQ:BQ)=1,$C94*$AD$3,""))))))))</f>
        <v/>
      </c>
      <c r="I94" s="27" t="str">
        <f ca="1">IF($B94="","",ROUND(($C94-(Thresholds_Rates!$C$5*12))*Thresholds_Rates!$C$10,0))</f>
        <v/>
      </c>
      <c r="J94" s="27" t="str">
        <f ca="1">IF(B94="","",IF(AND($B$4="Salary Points 1 to 57",B94&gt;$AA$3),"-",IF(SUMIF(Grades!$A:$A,$B$4,Grades!BR:BR)=0,"-",IF(AND($B$4="Salary Points 1 to 57",B94&lt;=$AA$3),$C94*$AD$4,IF(AND(OR($B$4="New Consultant Contract"),$B94&lt;&gt;""),$C94*$AD$4,IF(AND(OR($B$4="Clinical Lecturer / Medical Research Fellow",$B$4="Clinical Consultant - Old Contract (GP)"),$B94&lt;&gt;""),$C94*$AD$4,IF(AND(OR($B$4="APM Level 7",$B$4="R&amp;T Level 7"),I94&lt;&gt;""),$C94*$AD$4,IF(SUMIF(Grades!$A:$A,$B$4,Grades!BQ:BQ)=1,$C94*$AD$4,""))))))))</f>
        <v/>
      </c>
      <c r="K94" s="6"/>
      <c r="L94" s="27" t="str">
        <f t="shared" ca="1" si="6"/>
        <v/>
      </c>
      <c r="M94" s="27" t="str">
        <f t="shared" ca="1" si="7"/>
        <v/>
      </c>
      <c r="N94" s="27" t="str">
        <f t="shared" ca="1" si="8"/>
        <v/>
      </c>
      <c r="O94" s="27" t="str">
        <f t="shared" ca="1" si="9"/>
        <v/>
      </c>
      <c r="P94" s="27" t="str">
        <f t="shared" ca="1" si="10"/>
        <v/>
      </c>
      <c r="R94" s="31" t="str">
        <f ca="1">IF(B94="","",IF($B$4="R&amp;T Level 5 - Clinical Lecturers (Vet School)",SUMIF(Points_Lookup!$M:$M,$B94,Points_Lookup!N:N),IF($B$4="R&amp;T Level 6 - Clinical Associate Professors and Clinical Readers (Vet School)",SUMIF(Points_Lookup!$T:$T,$B94,Points_Lookup!U:U),"")))</f>
        <v/>
      </c>
      <c r="S94" s="32" t="str">
        <f ca="1">IF(B94="","",IF($B$4="R&amp;T Level 5 - Clinical Lecturers (Vet School)",$C94-SUMIF(Points_Lookup!$M:$M,$B94,Points_Lookup!$O:$O),IF($B$4="R&amp;T Level 6 - Clinical Associate Professors and Clinical Readers (Vet School)",$C94-SUMIF(Points_Lookup!$T:$T,$B94,Points_Lookup!$V:$V),"")))</f>
        <v/>
      </c>
      <c r="T94" s="31" t="str">
        <f ca="1">IF(B94="","",IF($B$4="R&amp;T Level 5 - Clinical Lecturers (Vet School)",SUMIF(Points_Lookup!$M:$M,$B94,Points_Lookup!Q:Q),IF($B$4="R&amp;T Level 6 - Clinical Associate Professors and Clinical Readers (Vet School)",SUMIF(Points_Lookup!$T:$T,$B94,Points_Lookup!X:X),"")))</f>
        <v/>
      </c>
      <c r="U94" s="32" t="str">
        <f t="shared" ca="1" si="11"/>
        <v/>
      </c>
    </row>
    <row r="95" spans="2:21" x14ac:dyDescent="0.25">
      <c r="B95" s="6" t="str">
        <f ca="1">IFERROR(INDEX(Points_Lookup!A:A,MATCH($Z97,Points_Lookup!$AE:$AE,0)),"")</f>
        <v/>
      </c>
      <c r="C95" s="27" t="str">
        <f ca="1">IF(B95="","",IF($B$4="Apprenticeship",SUMIF(Points_Lookup!AA:AA,B95,Points_Lookup!AC:AC),IF(AND(OR($B$4="New Consultant Contract"),$B95&lt;&gt;""),INDEX(Points_Lookup!K:K,MATCH($B95,Points_Lookup!$J:$J,0)),IF(AND(OR($B$4="Clinical Lecturer / Medical Research Fellow",$B$4="Clinical Consultant - Old Contract (GP)"),$B95&lt;&gt;""),INDEX(Points_Lookup!H:H,MATCH($B95,Points_Lookup!$G:$G,0)),IF(AND(OR($B$4="APM Level 7",$B$4="R&amp;T Level 7",$B$4="APM Level 8"),B95&lt;&gt;""),INDEX(Points_Lookup!E:E,MATCH($Z95,Points_Lookup!$AE:$AE,0)),IF($B$4="R&amp;T Level 5 - Clinical Lecturers (Vet School)",SUMIF(Points_Lookup!$M:$M,$B95,Points_Lookup!$P:$P),IF($B$4="R&amp;T Level 6 - Clinical Associate Professors and Clinical Readers (Vet School)",SUMIF(Points_Lookup!$T:$T,$B95,Points_Lookup!$W:$W),IFERROR(INDEX(Points_Lookup!B:B,MATCH($Z95,Points_Lookup!$AE:$AE,0)),""))))))))</f>
        <v/>
      </c>
      <c r="D95" s="45"/>
      <c r="E95" s="27" t="str">
        <f ca="1">IF($B95="","",IF($B$4="Apprenticeship","-",SUM(IF(SUM(C95/12)&lt;Thresholds_Rates!$C$7,(SUM(C95/12)-Thresholds_Rates!$C$5)*Thresholds_Rates!$C$9,(Thresholds_Rates!$C$7-Thresholds_Rates!$C$5)*Thresholds_Rates!$C$9),IF(SUM(C95/12)&gt;Thresholds_Rates!$C$7,((SUM(C95/12)-Thresholds_Rates!$C$7)*Thresholds_Rates!$C$10),0),SUM(Thresholds_Rates!$C$5-Thresholds_Rates!$C$4)*-Thresholds_Rates!$C$8)*12))</f>
        <v/>
      </c>
      <c r="F95" s="27" t="str">
        <f ca="1">IF($B95="","",IF(AND($B$4="Salary Points 1 to 57",B95&lt;$AA$2),"-",IF(SUMIF(Grades!$A:$A,$B$4,Grades!BO:BO)=0,"-",IF(AND($B$4="Salary Points 1 to 57",B95&gt;=$AA$2),$C95*$AD$1,IF(AND(OR($B$4="New Consultant Contract"),$B95&lt;&gt;""),$C95*$AD$1,IF(AND(OR($B$4="Clinical Lecturer / Medical Research Fellow",$B$4="Clinical Consultant - Old Contract (GP)"),$B95&lt;&gt;""),$C95*$AD$1,IF(AND(OR($B$4="APM Level 7",$B$4="R&amp;T Level 7"),E95&lt;&gt;""),$C95*$AD$1,IF(SUMIF(Grades!$A:$A,$B$4,Grades!BO:BO)=1,$C95*$AD$1,""))))))))</f>
        <v/>
      </c>
      <c r="G95" s="27" t="str">
        <f ca="1">IF(B95="","",IF($B$4="Salary Points 1 to 57","-",IF(SUMIF(Grades!$A:$A,$B$4,Grades!BP:BP)=0,"-",IF(AND(OR($B$4="New Consultant Contract"),$B95&lt;&gt;""),$C95*$AD$2,IF(AND(OR($B$4="Clinical Lecturer / Medical Research Fellow",$B$4="Clinical Consultant - Old Contract (GP)"),$B95&lt;&gt;""),$C95*$AD$2,IF(AND(OR($B$4="APM Level 7",$B$4="R&amp;T Level 7"),F95&lt;&gt;""),$C95*$AD$2,IF(SUMIF(Grades!$A:$A,$B$4,Grades!BP:BP)=1,$C95*$AD$2,"")))))))</f>
        <v/>
      </c>
      <c r="H95" s="27" t="str">
        <f ca="1">IF(B95="","",IF(SUMIF(Grades!$A:$A,$B$4,Grades!BQ:BQ)=0,"-",IF(AND($B$4="Salary Points 1 to 57",B95&gt;$AA$3),"-",IF(AND($B$4="Salary Points 1 to 57",B95&lt;=$AA$3),$C95*$AD$3,IF(AND(OR($B$4="New Consultant Contract"),$B95&lt;&gt;""),$C95*$AD$3,IF(AND(OR($B$4="Clinical Lecturer / Medical Research Fellow",$B$4="Clinical Consultant - Old Contract (GP)"),$B95&lt;&gt;""),$C95*$AD$3,IF(AND(OR($B$4="APM Level 7",$B$4="R&amp;T Level 7"),G95&lt;&gt;""),$C95*$AD$3,IF(SUMIF(Grades!$A:$A,$B$4,Grades!BQ:BQ)=1,$C95*$AD$3,""))))))))</f>
        <v/>
      </c>
      <c r="I95" s="27" t="str">
        <f ca="1">IF($B95="","",ROUND(($C95-(Thresholds_Rates!$C$5*12))*Thresholds_Rates!$C$10,0))</f>
        <v/>
      </c>
      <c r="J95" s="27" t="str">
        <f ca="1">IF(B95="","",IF(AND($B$4="Salary Points 1 to 57",B95&gt;$AA$3),"-",IF(SUMIF(Grades!$A:$A,$B$4,Grades!BR:BR)=0,"-",IF(AND($B$4="Salary Points 1 to 57",B95&lt;=$AA$3),$C95*$AD$4,IF(AND(OR($B$4="New Consultant Contract"),$B95&lt;&gt;""),$C95*$AD$4,IF(AND(OR($B$4="Clinical Lecturer / Medical Research Fellow",$B$4="Clinical Consultant - Old Contract (GP)"),$B95&lt;&gt;""),$C95*$AD$4,IF(AND(OR($B$4="APM Level 7",$B$4="R&amp;T Level 7"),I95&lt;&gt;""),$C95*$AD$4,IF(SUMIF(Grades!$A:$A,$B$4,Grades!BQ:BQ)=1,$C95*$AD$4,""))))))))</f>
        <v/>
      </c>
      <c r="K95" s="6"/>
      <c r="L95" s="27" t="str">
        <f t="shared" ca="1" si="6"/>
        <v/>
      </c>
      <c r="M95" s="27" t="str">
        <f t="shared" ca="1" si="7"/>
        <v/>
      </c>
      <c r="N95" s="27" t="str">
        <f t="shared" ca="1" si="8"/>
        <v/>
      </c>
      <c r="O95" s="27" t="str">
        <f t="shared" ca="1" si="9"/>
        <v/>
      </c>
      <c r="P95" s="27" t="str">
        <f t="shared" ca="1" si="10"/>
        <v/>
      </c>
      <c r="R95" s="31" t="str">
        <f ca="1">IF(B95="","",IF($B$4="R&amp;T Level 5 - Clinical Lecturers (Vet School)",SUMIF(Points_Lookup!$M:$M,$B95,Points_Lookup!N:N),IF($B$4="R&amp;T Level 6 - Clinical Associate Professors and Clinical Readers (Vet School)",SUMIF(Points_Lookup!$T:$T,$B95,Points_Lookup!U:U),"")))</f>
        <v/>
      </c>
      <c r="S95" s="32" t="str">
        <f ca="1">IF(B95="","",IF($B$4="R&amp;T Level 5 - Clinical Lecturers (Vet School)",$C95-SUMIF(Points_Lookup!$M:$M,$B95,Points_Lookup!$O:$O),IF($B$4="R&amp;T Level 6 - Clinical Associate Professors and Clinical Readers (Vet School)",$C95-SUMIF(Points_Lookup!$T:$T,$B95,Points_Lookup!$V:$V),"")))</f>
        <v/>
      </c>
      <c r="T95" s="31" t="str">
        <f ca="1">IF(B95="","",IF($B$4="R&amp;T Level 5 - Clinical Lecturers (Vet School)",SUMIF(Points_Lookup!$M:$M,$B95,Points_Lookup!Q:Q),IF($B$4="R&amp;T Level 6 - Clinical Associate Professors and Clinical Readers (Vet School)",SUMIF(Points_Lookup!$T:$T,$B95,Points_Lookup!X:X),"")))</f>
        <v/>
      </c>
      <c r="U95" s="32" t="str">
        <f t="shared" ca="1" si="11"/>
        <v/>
      </c>
    </row>
    <row r="96" spans="2:21" x14ac:dyDescent="0.25">
      <c r="B96" s="6" t="str">
        <f ca="1">IFERROR(INDEX(Points_Lookup!A:A,MATCH($Z98,Points_Lookup!$AE:$AE,0)),"")</f>
        <v/>
      </c>
      <c r="C96" s="27" t="str">
        <f ca="1">IF(B96="","",IF($B$4="Apprenticeship",SUMIF(Points_Lookup!AA:AA,B96,Points_Lookup!AC:AC),IF(AND(OR($B$4="New Consultant Contract"),$B96&lt;&gt;""),INDEX(Points_Lookup!K:K,MATCH($B96,Points_Lookup!$J:$J,0)),IF(AND(OR($B$4="Clinical Lecturer / Medical Research Fellow",$B$4="Clinical Consultant - Old Contract (GP)"),$B96&lt;&gt;""),INDEX(Points_Lookup!H:H,MATCH($B96,Points_Lookup!$G:$G,0)),IF(AND(OR($B$4="APM Level 7",$B$4="R&amp;T Level 7",$B$4="APM Level 8"),B96&lt;&gt;""),INDEX(Points_Lookup!E:E,MATCH($Z96,Points_Lookup!$AE:$AE,0)),IF($B$4="R&amp;T Level 5 - Clinical Lecturers (Vet School)",SUMIF(Points_Lookup!$M:$M,$B96,Points_Lookup!$P:$P),IF($B$4="R&amp;T Level 6 - Clinical Associate Professors and Clinical Readers (Vet School)",SUMIF(Points_Lookup!$T:$T,$B96,Points_Lookup!$W:$W),IFERROR(INDEX(Points_Lookup!B:B,MATCH($Z96,Points_Lookup!$AE:$AE,0)),""))))))))</f>
        <v/>
      </c>
      <c r="D96" s="45"/>
      <c r="E96" s="27" t="str">
        <f ca="1">IF($B96="","",IF($B$4="Apprenticeship","-",SUM(IF(SUM(C96/12)&lt;Thresholds_Rates!$C$7,(SUM(C96/12)-Thresholds_Rates!$C$5)*Thresholds_Rates!$C$9,(Thresholds_Rates!$C$7-Thresholds_Rates!$C$5)*Thresholds_Rates!$C$9),IF(SUM(C96/12)&gt;Thresholds_Rates!$C$7,((SUM(C96/12)-Thresholds_Rates!$C$7)*Thresholds_Rates!$C$10),0),SUM(Thresholds_Rates!$C$5-Thresholds_Rates!$C$4)*-Thresholds_Rates!$C$8)*12))</f>
        <v/>
      </c>
      <c r="F96" s="27" t="str">
        <f ca="1">IF($B96="","",IF(AND($B$4="Salary Points 1 to 57",B96&lt;$AA$2),"-",IF(SUMIF(Grades!$A:$A,$B$4,Grades!BO:BO)=0,"-",IF(AND($B$4="Salary Points 1 to 57",B96&gt;=$AA$2),$C96*$AD$1,IF(AND(OR($B$4="New Consultant Contract"),$B96&lt;&gt;""),$C96*$AD$1,IF(AND(OR($B$4="Clinical Lecturer / Medical Research Fellow",$B$4="Clinical Consultant - Old Contract (GP)"),$B96&lt;&gt;""),$C96*$AD$1,IF(AND(OR($B$4="APM Level 7",$B$4="R&amp;T Level 7"),E96&lt;&gt;""),$C96*$AD$1,IF(SUMIF(Grades!$A:$A,$B$4,Grades!BO:BO)=1,$C96*$AD$1,""))))))))</f>
        <v/>
      </c>
      <c r="G96" s="27" t="str">
        <f ca="1">IF(B96="","",IF($B$4="Salary Points 1 to 57","-",IF(SUMIF(Grades!$A:$A,$B$4,Grades!BP:BP)=0,"-",IF(AND(OR($B$4="New Consultant Contract"),$B96&lt;&gt;""),$C96*$AD$2,IF(AND(OR($B$4="Clinical Lecturer / Medical Research Fellow",$B$4="Clinical Consultant - Old Contract (GP)"),$B96&lt;&gt;""),$C96*$AD$2,IF(AND(OR($B$4="APM Level 7",$B$4="R&amp;T Level 7"),F96&lt;&gt;""),$C96*$AD$2,IF(SUMIF(Grades!$A:$A,$B$4,Grades!BP:BP)=1,$C96*$AD$2,"")))))))</f>
        <v/>
      </c>
      <c r="H96" s="27" t="str">
        <f ca="1">IF(B96="","",IF(SUMIF(Grades!$A:$A,$B$4,Grades!BQ:BQ)=0,"-",IF(AND($B$4="Salary Points 1 to 57",B96&gt;$AA$3),"-",IF(AND($B$4="Salary Points 1 to 57",B96&lt;=$AA$3),$C96*$AD$3,IF(AND(OR($B$4="New Consultant Contract"),$B96&lt;&gt;""),$C96*$AD$3,IF(AND(OR($B$4="Clinical Lecturer / Medical Research Fellow",$B$4="Clinical Consultant - Old Contract (GP)"),$B96&lt;&gt;""),$C96*$AD$3,IF(AND(OR($B$4="APM Level 7",$B$4="R&amp;T Level 7"),G96&lt;&gt;""),$C96*$AD$3,IF(SUMIF(Grades!$A:$A,$B$4,Grades!BQ:BQ)=1,$C96*$AD$3,""))))))))</f>
        <v/>
      </c>
      <c r="I96" s="27" t="str">
        <f ca="1">IF($B96="","",ROUND(($C96-(Thresholds_Rates!$C$5*12))*Thresholds_Rates!$C$10,0))</f>
        <v/>
      </c>
      <c r="J96" s="27" t="str">
        <f ca="1">IF(B96="","",IF(AND($B$4="Salary Points 1 to 57",B96&gt;$AA$3),"-",IF(SUMIF(Grades!$A:$A,$B$4,Grades!BR:BR)=0,"-",IF(AND($B$4="Salary Points 1 to 57",B96&lt;=$AA$3),$C96*$AD$4,IF(AND(OR($B$4="New Consultant Contract"),$B96&lt;&gt;""),$C96*$AD$4,IF(AND(OR($B$4="Clinical Lecturer / Medical Research Fellow",$B$4="Clinical Consultant - Old Contract (GP)"),$B96&lt;&gt;""),$C96*$AD$4,IF(AND(OR($B$4="APM Level 7",$B$4="R&amp;T Level 7"),I96&lt;&gt;""),$C96*$AD$4,IF(SUMIF(Grades!$A:$A,$B$4,Grades!BQ:BQ)=1,$C96*$AD$4,""))))))))</f>
        <v/>
      </c>
      <c r="K96" s="6"/>
      <c r="L96" s="27" t="str">
        <f t="shared" ca="1" si="6"/>
        <v/>
      </c>
      <c r="M96" s="27" t="str">
        <f t="shared" ca="1" si="7"/>
        <v/>
      </c>
      <c r="N96" s="27" t="str">
        <f t="shared" ca="1" si="8"/>
        <v/>
      </c>
      <c r="O96" s="27" t="str">
        <f t="shared" ca="1" si="9"/>
        <v/>
      </c>
      <c r="P96" s="27" t="str">
        <f t="shared" ca="1" si="10"/>
        <v/>
      </c>
      <c r="R96" s="31" t="str">
        <f ca="1">IF(B96="","",IF($B$4="R&amp;T Level 5 - Clinical Lecturers (Vet School)",SUMIF(Points_Lookup!$M:$M,$B96,Points_Lookup!N:N),IF($B$4="R&amp;T Level 6 - Clinical Associate Professors and Clinical Readers (Vet School)",SUMIF(Points_Lookup!$T:$T,$B96,Points_Lookup!U:U),"")))</f>
        <v/>
      </c>
      <c r="S96" s="32" t="str">
        <f ca="1">IF(B96="","",IF($B$4="R&amp;T Level 5 - Clinical Lecturers (Vet School)",$C96-SUMIF(Points_Lookup!$M:$M,$B96,Points_Lookup!$O:$O),IF($B$4="R&amp;T Level 6 - Clinical Associate Professors and Clinical Readers (Vet School)",$C96-SUMIF(Points_Lookup!$T:$T,$B96,Points_Lookup!$V:$V),"")))</f>
        <v/>
      </c>
      <c r="T96" s="31" t="str">
        <f ca="1">IF(B96="","",IF($B$4="R&amp;T Level 5 - Clinical Lecturers (Vet School)",SUMIF(Points_Lookup!$M:$M,$B96,Points_Lookup!Q:Q),IF($B$4="R&amp;T Level 6 - Clinical Associate Professors and Clinical Readers (Vet School)",SUMIF(Points_Lookup!$T:$T,$B96,Points_Lookup!X:X),"")))</f>
        <v/>
      </c>
      <c r="U96" s="32" t="str">
        <f t="shared" ca="1" si="11"/>
        <v/>
      </c>
    </row>
    <row r="97" spans="2:21" x14ac:dyDescent="0.25">
      <c r="B97" s="6" t="str">
        <f ca="1">IFERROR(INDEX(Points_Lookup!A:A,MATCH($Z99,Points_Lookup!$AE:$AE,0)),"")</f>
        <v/>
      </c>
      <c r="C97" s="27" t="str">
        <f ca="1">IF(B97="","",IF($B$4="Apprenticeship",SUMIF(Points_Lookup!AA:AA,B97,Points_Lookup!AC:AC),IF(AND(OR($B$4="New Consultant Contract"),$B97&lt;&gt;""),INDEX(Points_Lookup!K:K,MATCH($B97,Points_Lookup!$J:$J,0)),IF(AND(OR($B$4="Clinical Lecturer / Medical Research Fellow",$B$4="Clinical Consultant - Old Contract (GP)"),$B97&lt;&gt;""),INDEX(Points_Lookup!H:H,MATCH($B97,Points_Lookup!$G:$G,0)),IF(AND(OR($B$4="APM Level 7",$B$4="R&amp;T Level 7",$B$4="APM Level 8"),B97&lt;&gt;""),INDEX(Points_Lookup!E:E,MATCH($Z97,Points_Lookup!$AE:$AE,0)),IF($B$4="R&amp;T Level 5 - Clinical Lecturers (Vet School)",SUMIF(Points_Lookup!$M:$M,$B97,Points_Lookup!$P:$P),IF($B$4="R&amp;T Level 6 - Clinical Associate Professors and Clinical Readers (Vet School)",SUMIF(Points_Lookup!$T:$T,$B97,Points_Lookup!$W:$W),IFERROR(INDEX(Points_Lookup!B:B,MATCH($Z97,Points_Lookup!$AE:$AE,0)),""))))))))</f>
        <v/>
      </c>
      <c r="D97" s="45"/>
      <c r="E97" s="27" t="str">
        <f ca="1">IF($B97="","",IF($B$4="Apprenticeship","-",SUM(IF(SUM(C97/12)&lt;Thresholds_Rates!$C$7,(SUM(C97/12)-Thresholds_Rates!$C$5)*Thresholds_Rates!$C$9,(Thresholds_Rates!$C$7-Thresholds_Rates!$C$5)*Thresholds_Rates!$C$9),IF(SUM(C97/12)&gt;Thresholds_Rates!$C$7,((SUM(C97/12)-Thresholds_Rates!$C$7)*Thresholds_Rates!$C$10),0),SUM(Thresholds_Rates!$C$5-Thresholds_Rates!$C$4)*-Thresholds_Rates!$C$8)*12))</f>
        <v/>
      </c>
      <c r="F97" s="27" t="str">
        <f ca="1">IF($B97="","",IF(AND($B$4="Salary Points 1 to 57",B97&lt;$AA$2),"-",IF(SUMIF(Grades!$A:$A,$B$4,Grades!BO:BO)=0,"-",IF(AND($B$4="Salary Points 1 to 57",B97&gt;=$AA$2),$C97*$AD$1,IF(AND(OR($B$4="New Consultant Contract"),$B97&lt;&gt;""),$C97*$AD$1,IF(AND(OR($B$4="Clinical Lecturer / Medical Research Fellow",$B$4="Clinical Consultant - Old Contract (GP)"),$B97&lt;&gt;""),$C97*$AD$1,IF(AND(OR($B$4="APM Level 7",$B$4="R&amp;T Level 7"),E97&lt;&gt;""),$C97*$AD$1,IF(SUMIF(Grades!$A:$A,$B$4,Grades!BO:BO)=1,$C97*$AD$1,""))))))))</f>
        <v/>
      </c>
      <c r="G97" s="27" t="str">
        <f ca="1">IF(B97="","",IF($B$4="Salary Points 1 to 57","-",IF(SUMIF(Grades!$A:$A,$B$4,Grades!BP:BP)=0,"-",IF(AND(OR($B$4="New Consultant Contract"),$B97&lt;&gt;""),$C97*$AD$2,IF(AND(OR($B$4="Clinical Lecturer / Medical Research Fellow",$B$4="Clinical Consultant - Old Contract (GP)"),$B97&lt;&gt;""),$C97*$AD$2,IF(AND(OR($B$4="APM Level 7",$B$4="R&amp;T Level 7"),F97&lt;&gt;""),$C97*$AD$2,IF(SUMIF(Grades!$A:$A,$B$4,Grades!BP:BP)=1,$C97*$AD$2,"")))))))</f>
        <v/>
      </c>
      <c r="H97" s="27" t="str">
        <f ca="1">IF(B97="","",IF(SUMIF(Grades!$A:$A,$B$4,Grades!BQ:BQ)=0,"-",IF(AND($B$4="Salary Points 1 to 57",B97&gt;$AA$3),"-",IF(AND($B$4="Salary Points 1 to 57",B97&lt;=$AA$3),$C97*$AD$3,IF(AND(OR($B$4="New Consultant Contract"),$B97&lt;&gt;""),$C97*$AD$3,IF(AND(OR($B$4="Clinical Lecturer / Medical Research Fellow",$B$4="Clinical Consultant - Old Contract (GP)"),$B97&lt;&gt;""),$C97*$AD$3,IF(AND(OR($B$4="APM Level 7",$B$4="R&amp;T Level 7"),G97&lt;&gt;""),$C97*$AD$3,IF(SUMIF(Grades!$A:$A,$B$4,Grades!BQ:BQ)=1,$C97*$AD$3,""))))))))</f>
        <v/>
      </c>
      <c r="I97" s="27" t="str">
        <f ca="1">IF($B97="","",ROUND(($C97-(Thresholds_Rates!$C$5*12))*Thresholds_Rates!$C$10,0))</f>
        <v/>
      </c>
      <c r="J97" s="27" t="str">
        <f ca="1">IF(B97="","",IF(AND($B$4="Salary Points 1 to 57",B97&gt;$AA$3),"-",IF(SUMIF(Grades!$A:$A,$B$4,Grades!BR:BR)=0,"-",IF(AND($B$4="Salary Points 1 to 57",B97&lt;=$AA$3),$C97*$AD$4,IF(AND(OR($B$4="New Consultant Contract"),$B97&lt;&gt;""),$C97*$AD$4,IF(AND(OR($B$4="Clinical Lecturer / Medical Research Fellow",$B$4="Clinical Consultant - Old Contract (GP)"),$B97&lt;&gt;""),$C97*$AD$4,IF(AND(OR($B$4="APM Level 7",$B$4="R&amp;T Level 7"),I97&lt;&gt;""),$C97*$AD$4,IF(SUMIF(Grades!$A:$A,$B$4,Grades!BQ:BQ)=1,$C97*$AD$4,""))))))))</f>
        <v/>
      </c>
      <c r="K97" s="6"/>
      <c r="L97" s="27" t="str">
        <f t="shared" ca="1" si="6"/>
        <v/>
      </c>
      <c r="M97" s="27" t="str">
        <f t="shared" ca="1" si="7"/>
        <v/>
      </c>
      <c r="N97" s="27" t="str">
        <f t="shared" ca="1" si="8"/>
        <v/>
      </c>
      <c r="O97" s="27" t="str">
        <f t="shared" ca="1" si="9"/>
        <v/>
      </c>
      <c r="P97" s="27" t="str">
        <f t="shared" ca="1" si="10"/>
        <v/>
      </c>
      <c r="R97" s="31" t="str">
        <f ca="1">IF(B97="","",IF($B$4="R&amp;T Level 5 - Clinical Lecturers (Vet School)",SUMIF(Points_Lookup!$M:$M,$B97,Points_Lookup!N:N),IF($B$4="R&amp;T Level 6 - Clinical Associate Professors and Clinical Readers (Vet School)",SUMIF(Points_Lookup!$T:$T,$B97,Points_Lookup!U:U),"")))</f>
        <v/>
      </c>
      <c r="S97" s="32" t="str">
        <f ca="1">IF(B97="","",IF($B$4="R&amp;T Level 5 - Clinical Lecturers (Vet School)",$C97-SUMIF(Points_Lookup!$M:$M,$B97,Points_Lookup!$O:$O),IF($B$4="R&amp;T Level 6 - Clinical Associate Professors and Clinical Readers (Vet School)",$C97-SUMIF(Points_Lookup!$T:$T,$B97,Points_Lookup!$V:$V),"")))</f>
        <v/>
      </c>
      <c r="T97" s="31" t="str">
        <f ca="1">IF(B97="","",IF($B$4="R&amp;T Level 5 - Clinical Lecturers (Vet School)",SUMIF(Points_Lookup!$M:$M,$B97,Points_Lookup!Q:Q),IF($B$4="R&amp;T Level 6 - Clinical Associate Professors and Clinical Readers (Vet School)",SUMIF(Points_Lookup!$T:$T,$B97,Points_Lookup!X:X),"")))</f>
        <v/>
      </c>
      <c r="U97" s="32" t="str">
        <f t="shared" ca="1" si="11"/>
        <v/>
      </c>
    </row>
    <row r="98" spans="2:21" x14ac:dyDescent="0.25">
      <c r="B98" s="6" t="str">
        <f ca="1">IFERROR(INDEX(Points_Lookup!A:A,MATCH($Z100,Points_Lookup!$AE:$AE,0)),"")</f>
        <v/>
      </c>
      <c r="C98" s="27" t="str">
        <f ca="1">IF(B98="","",IF($B$4="Apprenticeship",SUMIF(Points_Lookup!AA:AA,B98,Points_Lookup!AC:AC),IF(AND(OR($B$4="New Consultant Contract"),$B98&lt;&gt;""),INDEX(Points_Lookup!K:K,MATCH($B98,Points_Lookup!$J:$J,0)),IF(AND(OR($B$4="Clinical Lecturer / Medical Research Fellow",$B$4="Clinical Consultant - Old Contract (GP)"),$B98&lt;&gt;""),INDEX(Points_Lookup!H:H,MATCH($B98,Points_Lookup!$G:$G,0)),IF(AND(OR($B$4="APM Level 7",$B$4="R&amp;T Level 7",$B$4="APM Level 8"),B98&lt;&gt;""),INDEX(Points_Lookup!E:E,MATCH($Z98,Points_Lookup!$AE:$AE,0)),IF($B$4="R&amp;T Level 5 - Clinical Lecturers (Vet School)",SUMIF(Points_Lookup!$M:$M,$B98,Points_Lookup!$P:$P),IF($B$4="R&amp;T Level 6 - Clinical Associate Professors and Clinical Readers (Vet School)",SUMIF(Points_Lookup!$T:$T,$B98,Points_Lookup!$W:$W),IFERROR(INDEX(Points_Lookup!B:B,MATCH($Z98,Points_Lookup!$AE:$AE,0)),""))))))))</f>
        <v/>
      </c>
      <c r="D98" s="45"/>
      <c r="E98" s="27" t="str">
        <f ca="1">IF($B98="","",IF($B$4="Apprenticeship","-",SUM(IF(SUM(C98/12)&lt;Thresholds_Rates!$C$7,(SUM(C98/12)-Thresholds_Rates!$C$5)*Thresholds_Rates!$C$9,(Thresholds_Rates!$C$7-Thresholds_Rates!$C$5)*Thresholds_Rates!$C$9),IF(SUM(C98/12)&gt;Thresholds_Rates!$C$7,((SUM(C98/12)-Thresholds_Rates!$C$7)*Thresholds_Rates!$C$10),0),SUM(Thresholds_Rates!$C$5-Thresholds_Rates!$C$4)*-Thresholds_Rates!$C$8)*12))</f>
        <v/>
      </c>
      <c r="F98" s="27" t="str">
        <f ca="1">IF($B98="","",IF(AND($B$4="Salary Points 1 to 57",B98&lt;$AA$2),"-",IF(SUMIF(Grades!$A:$A,$B$4,Grades!BO:BO)=0,"-",IF(AND($B$4="Salary Points 1 to 57",B98&gt;=$AA$2),$C98*$AD$1,IF(AND(OR($B$4="New Consultant Contract"),$B98&lt;&gt;""),$C98*$AD$1,IF(AND(OR($B$4="Clinical Lecturer / Medical Research Fellow",$B$4="Clinical Consultant - Old Contract (GP)"),$B98&lt;&gt;""),$C98*$AD$1,IF(AND(OR($B$4="APM Level 7",$B$4="R&amp;T Level 7"),E98&lt;&gt;""),$C98*$AD$1,IF(SUMIF(Grades!$A:$A,$B$4,Grades!BO:BO)=1,$C98*$AD$1,""))))))))</f>
        <v/>
      </c>
      <c r="G98" s="27" t="str">
        <f ca="1">IF(B98="","",IF($B$4="Salary Points 1 to 57","-",IF(SUMIF(Grades!$A:$A,$B$4,Grades!BP:BP)=0,"-",IF(AND(OR($B$4="New Consultant Contract"),$B98&lt;&gt;""),$C98*$AD$2,IF(AND(OR($B$4="Clinical Lecturer / Medical Research Fellow",$B$4="Clinical Consultant - Old Contract (GP)"),$B98&lt;&gt;""),$C98*$AD$2,IF(AND(OR($B$4="APM Level 7",$B$4="R&amp;T Level 7"),F98&lt;&gt;""),$C98*$AD$2,IF(SUMIF(Grades!$A:$A,$B$4,Grades!BP:BP)=1,$C98*$AD$2,"")))))))</f>
        <v/>
      </c>
      <c r="H98" s="27" t="str">
        <f ca="1">IF(B98="","",IF(SUMIF(Grades!$A:$A,$B$4,Grades!BQ:BQ)=0,"-",IF(AND($B$4="Salary Points 1 to 57",B98&gt;$AA$3),"-",IF(AND($B$4="Salary Points 1 to 57",B98&lt;=$AA$3),$C98*$AD$3,IF(AND(OR($B$4="New Consultant Contract"),$B98&lt;&gt;""),$C98*$AD$3,IF(AND(OR($B$4="Clinical Lecturer / Medical Research Fellow",$B$4="Clinical Consultant - Old Contract (GP)"),$B98&lt;&gt;""),$C98*$AD$3,IF(AND(OR($B$4="APM Level 7",$B$4="R&amp;T Level 7"),G98&lt;&gt;""),$C98*$AD$3,IF(SUMIF(Grades!$A:$A,$B$4,Grades!BQ:BQ)=1,$C98*$AD$3,""))))))))</f>
        <v/>
      </c>
      <c r="I98" s="27" t="str">
        <f ca="1">IF($B98="","",ROUND(($C98-(Thresholds_Rates!$C$5*12))*Thresholds_Rates!$C$10,0))</f>
        <v/>
      </c>
      <c r="J98" s="27" t="str">
        <f ca="1">IF(B98="","",IF(AND($B$4="Salary Points 1 to 57",B98&gt;$AA$3),"-",IF(SUMIF(Grades!$A:$A,$B$4,Grades!BR:BR)=0,"-",IF(AND($B$4="Salary Points 1 to 57",B98&lt;=$AA$3),$C98*$AD$4,IF(AND(OR($B$4="New Consultant Contract"),$B98&lt;&gt;""),$C98*$AD$4,IF(AND(OR($B$4="Clinical Lecturer / Medical Research Fellow",$B$4="Clinical Consultant - Old Contract (GP)"),$B98&lt;&gt;""),$C98*$AD$4,IF(AND(OR($B$4="APM Level 7",$B$4="R&amp;T Level 7"),I98&lt;&gt;""),$C98*$AD$4,IF(SUMIF(Grades!$A:$A,$B$4,Grades!BQ:BQ)=1,$C98*$AD$4,""))))))))</f>
        <v/>
      </c>
      <c r="K98" s="6"/>
      <c r="L98" s="27" t="str">
        <f t="shared" ca="1" si="6"/>
        <v/>
      </c>
      <c r="M98" s="27" t="str">
        <f t="shared" ca="1" si="7"/>
        <v/>
      </c>
      <c r="N98" s="27" t="str">
        <f t="shared" ca="1" si="8"/>
        <v/>
      </c>
      <c r="O98" s="27" t="str">
        <f t="shared" ca="1" si="9"/>
        <v/>
      </c>
      <c r="P98" s="27" t="str">
        <f t="shared" ca="1" si="10"/>
        <v/>
      </c>
      <c r="R98" s="31" t="str">
        <f ca="1">IF(B98="","",IF($B$4="R&amp;T Level 5 - Clinical Lecturers (Vet School)",SUMIF(Points_Lookup!$M:$M,$B98,Points_Lookup!N:N),IF($B$4="R&amp;T Level 6 - Clinical Associate Professors and Clinical Readers (Vet School)",SUMIF(Points_Lookup!$T:$T,$B98,Points_Lookup!U:U),"")))</f>
        <v/>
      </c>
      <c r="S98" s="32" t="str">
        <f ca="1">IF(B98="","",IF($B$4="R&amp;T Level 5 - Clinical Lecturers (Vet School)",$C98-SUMIF(Points_Lookup!$M:$M,$B98,Points_Lookup!$O:$O),IF($B$4="R&amp;T Level 6 - Clinical Associate Professors and Clinical Readers (Vet School)",$C98-SUMIF(Points_Lookup!$T:$T,$B98,Points_Lookup!$V:$V),"")))</f>
        <v/>
      </c>
      <c r="T98" s="31" t="str">
        <f ca="1">IF(B98="","",IF($B$4="R&amp;T Level 5 - Clinical Lecturers (Vet School)",SUMIF(Points_Lookup!$M:$M,$B98,Points_Lookup!Q:Q),IF($B$4="R&amp;T Level 6 - Clinical Associate Professors and Clinical Readers (Vet School)",SUMIF(Points_Lookup!$T:$T,$B98,Points_Lookup!X:X),"")))</f>
        <v/>
      </c>
      <c r="U98" s="32" t="str">
        <f t="shared" ca="1" si="11"/>
        <v/>
      </c>
    </row>
    <row r="99" spans="2:21" x14ac:dyDescent="0.25">
      <c r="B99" s="6" t="str">
        <f ca="1">IFERROR(INDEX(Points_Lookup!A:A,MATCH($Z101,Points_Lookup!$AE:$AE,0)),"")</f>
        <v/>
      </c>
      <c r="C99" s="27" t="str">
        <f ca="1">IF(B99="","",IF($B$4="Apprenticeship",SUMIF(Points_Lookup!AA:AA,B99,Points_Lookup!AC:AC),IF(AND(OR($B$4="New Consultant Contract"),$B99&lt;&gt;""),INDEX(Points_Lookup!K:K,MATCH($B99,Points_Lookup!$J:$J,0)),IF(AND(OR($B$4="Clinical Lecturer / Medical Research Fellow",$B$4="Clinical Consultant - Old Contract (GP)"),$B99&lt;&gt;""),INDEX(Points_Lookup!H:H,MATCH($B99,Points_Lookup!$G:$G,0)),IF(AND(OR($B$4="APM Level 7",$B$4="R&amp;T Level 7",$B$4="APM Level 8"),B99&lt;&gt;""),INDEX(Points_Lookup!E:E,MATCH($Z99,Points_Lookup!$AE:$AE,0)),IF($B$4="R&amp;T Level 5 - Clinical Lecturers (Vet School)",SUMIF(Points_Lookup!$M:$M,$B99,Points_Lookup!$P:$P),IF($B$4="R&amp;T Level 6 - Clinical Associate Professors and Clinical Readers (Vet School)",SUMIF(Points_Lookup!$T:$T,$B99,Points_Lookup!$W:$W),IFERROR(INDEX(Points_Lookup!B:B,MATCH($Z99,Points_Lookup!$AE:$AE,0)),""))))))))</f>
        <v/>
      </c>
      <c r="D99" s="45"/>
      <c r="E99" s="27" t="str">
        <f ca="1">IF($B99="","",IF($B$4="Apprenticeship","-",SUM(IF(SUM(C99/12)&lt;Thresholds_Rates!$C$7,(SUM(C99/12)-Thresholds_Rates!$C$5)*Thresholds_Rates!$C$9,(Thresholds_Rates!$C$7-Thresholds_Rates!$C$5)*Thresholds_Rates!$C$9),IF(SUM(C99/12)&gt;Thresholds_Rates!$C$7,((SUM(C99/12)-Thresholds_Rates!$C$7)*Thresholds_Rates!$C$10),0),SUM(Thresholds_Rates!$C$5-Thresholds_Rates!$C$4)*-Thresholds_Rates!$C$8)*12))</f>
        <v/>
      </c>
      <c r="F99" s="27" t="str">
        <f ca="1">IF($B99="","",IF(AND($B$4="Salary Points 1 to 57",B99&lt;$AA$2),"-",IF(SUMIF(Grades!$A:$A,$B$4,Grades!BO:BO)=0,"-",IF(AND($B$4="Salary Points 1 to 57",B99&gt;=$AA$2),$C99*$AD$1,IF(AND(OR($B$4="New Consultant Contract"),$B99&lt;&gt;""),$C99*$AD$1,IF(AND(OR($B$4="Clinical Lecturer / Medical Research Fellow",$B$4="Clinical Consultant - Old Contract (GP)"),$B99&lt;&gt;""),$C99*$AD$1,IF(AND(OR($B$4="APM Level 7",$B$4="R&amp;T Level 7"),E99&lt;&gt;""),$C99*$AD$1,IF(SUMIF(Grades!$A:$A,$B$4,Grades!BO:BO)=1,$C99*$AD$1,""))))))))</f>
        <v/>
      </c>
      <c r="G99" s="27" t="str">
        <f ca="1">IF(B99="","",IF($B$4="Salary Points 1 to 57","-",IF(SUMIF(Grades!$A:$A,$B$4,Grades!BP:BP)=0,"-",IF(AND(OR($B$4="New Consultant Contract"),$B99&lt;&gt;""),$C99*$AD$2,IF(AND(OR($B$4="Clinical Lecturer / Medical Research Fellow",$B$4="Clinical Consultant - Old Contract (GP)"),$B99&lt;&gt;""),$C99*$AD$2,IF(AND(OR($B$4="APM Level 7",$B$4="R&amp;T Level 7"),F99&lt;&gt;""),$C99*$AD$2,IF(SUMIF(Grades!$A:$A,$B$4,Grades!BP:BP)=1,$C99*$AD$2,"")))))))</f>
        <v/>
      </c>
      <c r="H99" s="27" t="str">
        <f ca="1">IF(B99="","",IF(SUMIF(Grades!$A:$A,$B$4,Grades!BQ:BQ)=0,"-",IF(AND($B$4="Salary Points 1 to 57",B99&gt;$AA$3),"-",IF(AND($B$4="Salary Points 1 to 57",B99&lt;=$AA$3),$C99*$AD$3,IF(AND(OR($B$4="New Consultant Contract"),$B99&lt;&gt;""),$C99*$AD$3,IF(AND(OR($B$4="Clinical Lecturer / Medical Research Fellow",$B$4="Clinical Consultant - Old Contract (GP)"),$B99&lt;&gt;""),$C99*$AD$3,IF(AND(OR($B$4="APM Level 7",$B$4="R&amp;T Level 7"),G99&lt;&gt;""),$C99*$AD$3,IF(SUMIF(Grades!$A:$A,$B$4,Grades!BQ:BQ)=1,$C99*$AD$3,""))))))))</f>
        <v/>
      </c>
      <c r="I99" s="27" t="str">
        <f ca="1">IF($B99="","",ROUND(($C99-(Thresholds_Rates!$C$5*12))*Thresholds_Rates!$C$10,0))</f>
        <v/>
      </c>
      <c r="J99" s="27" t="str">
        <f ca="1">IF(B99="","",IF(AND($B$4="Salary Points 1 to 57",B99&gt;$AA$3),"-",IF(SUMIF(Grades!$A:$A,$B$4,Grades!BR:BR)=0,"-",IF(AND($B$4="Salary Points 1 to 57",B99&lt;=$AA$3),$C99*$AD$4,IF(AND(OR($B$4="New Consultant Contract"),$B99&lt;&gt;""),$C99*$AD$4,IF(AND(OR($B$4="Clinical Lecturer / Medical Research Fellow",$B$4="Clinical Consultant - Old Contract (GP)"),$B99&lt;&gt;""),$C99*$AD$4,IF(AND(OR($B$4="APM Level 7",$B$4="R&amp;T Level 7"),I99&lt;&gt;""),$C99*$AD$4,IF(SUMIF(Grades!$A:$A,$B$4,Grades!BQ:BQ)=1,$C99*$AD$4,""))))))))</f>
        <v/>
      </c>
      <c r="K99" s="6"/>
      <c r="L99" s="27" t="str">
        <f t="shared" ca="1" si="6"/>
        <v/>
      </c>
      <c r="M99" s="27" t="str">
        <f t="shared" ca="1" si="7"/>
        <v/>
      </c>
      <c r="N99" s="27" t="str">
        <f t="shared" ca="1" si="8"/>
        <v/>
      </c>
      <c r="O99" s="27" t="str">
        <f t="shared" ca="1" si="9"/>
        <v/>
      </c>
      <c r="P99" s="27" t="str">
        <f t="shared" ca="1" si="10"/>
        <v/>
      </c>
      <c r="R99" s="31" t="str">
        <f ca="1">IF(B99="","",IF($B$4="R&amp;T Level 5 - Clinical Lecturers (Vet School)",SUMIF(Points_Lookup!$M:$M,$B99,Points_Lookup!N:N),IF($B$4="R&amp;T Level 6 - Clinical Associate Professors and Clinical Readers (Vet School)",SUMIF(Points_Lookup!$T:$T,$B99,Points_Lookup!U:U),"")))</f>
        <v/>
      </c>
      <c r="S99" s="32" t="str">
        <f ca="1">IF(B99="","",IF($B$4="R&amp;T Level 5 - Clinical Lecturers (Vet School)",$C99-SUMIF(Points_Lookup!$M:$M,$B99,Points_Lookup!$O:$O),IF($B$4="R&amp;T Level 6 - Clinical Associate Professors and Clinical Readers (Vet School)",$C99-SUMIF(Points_Lookup!$T:$T,$B99,Points_Lookup!$V:$V),"")))</f>
        <v/>
      </c>
      <c r="T99" s="31" t="str">
        <f ca="1">IF(B99="","",IF($B$4="R&amp;T Level 5 - Clinical Lecturers (Vet School)",SUMIF(Points_Lookup!$M:$M,$B99,Points_Lookup!Q:Q),IF($B$4="R&amp;T Level 6 - Clinical Associate Professors and Clinical Readers (Vet School)",SUMIF(Points_Lookup!$T:$T,$B99,Points_Lookup!X:X),"")))</f>
        <v/>
      </c>
      <c r="U99" s="32" t="str">
        <f t="shared" ca="1" si="11"/>
        <v/>
      </c>
    </row>
    <row r="100" spans="2:21" x14ac:dyDescent="0.25">
      <c r="B100" s="6" t="str">
        <f ca="1">IFERROR(INDEX(Points_Lookup!A:A,MATCH($Z102,Points_Lookup!$AE:$AE,0)),"")</f>
        <v/>
      </c>
      <c r="C100" s="27" t="str">
        <f ca="1">IF(B100="","",IF($B$4="Apprenticeship",SUMIF(Points_Lookup!AA:AA,B100,Points_Lookup!AC:AC),IF(AND(OR($B$4="New Consultant Contract"),$B100&lt;&gt;""),INDEX(Points_Lookup!K:K,MATCH($B100,Points_Lookup!$J:$J,0)),IF(AND(OR($B$4="Clinical Lecturer / Medical Research Fellow",$B$4="Clinical Consultant - Old Contract (GP)"),$B100&lt;&gt;""),INDEX(Points_Lookup!H:H,MATCH($B100,Points_Lookup!$G:$G,0)),IF(AND(OR($B$4="APM Level 7",$B$4="R&amp;T Level 7",$B$4="APM Level 8"),B100&lt;&gt;""),INDEX(Points_Lookup!E:E,MATCH($Z100,Points_Lookup!$AE:$AE,0)),IF($B$4="R&amp;T Level 5 - Clinical Lecturers (Vet School)",SUMIF(Points_Lookup!$M:$M,$B100,Points_Lookup!$P:$P),IF($B$4="R&amp;T Level 6 - Clinical Associate Professors and Clinical Readers (Vet School)",SUMIF(Points_Lookup!$T:$T,$B100,Points_Lookup!$W:$W),IFERROR(INDEX(Points_Lookup!B:B,MATCH($Z100,Points_Lookup!$AE:$AE,0)),""))))))))</f>
        <v/>
      </c>
      <c r="D100" s="45"/>
      <c r="E100" s="27" t="str">
        <f ca="1">IF($B100="","",IF($B$4="Apprenticeship","-",SUM(IF(SUM(C100/12)&lt;Thresholds_Rates!$C$7,(SUM(C100/12)-Thresholds_Rates!$C$5)*Thresholds_Rates!$C$9,(Thresholds_Rates!$C$7-Thresholds_Rates!$C$5)*Thresholds_Rates!$C$9),IF(SUM(C100/12)&gt;Thresholds_Rates!$C$7,((SUM(C100/12)-Thresholds_Rates!$C$7)*Thresholds_Rates!$C$10),0),SUM(Thresholds_Rates!$C$5-Thresholds_Rates!$C$4)*-Thresholds_Rates!$C$8)*12))</f>
        <v/>
      </c>
      <c r="F100" s="27" t="str">
        <f ca="1">IF($B100="","",IF(AND($B$4="Salary Points 1 to 57",B100&lt;$AA$2),"-",IF(SUMIF(Grades!$A:$A,$B$4,Grades!BO:BO)=0,"-",IF(AND($B$4="Salary Points 1 to 57",B100&gt;=$AA$2),$C100*$AD$1,IF(AND(OR($B$4="New Consultant Contract"),$B100&lt;&gt;""),$C100*$AD$1,IF(AND(OR($B$4="Clinical Lecturer / Medical Research Fellow",$B$4="Clinical Consultant - Old Contract (GP)"),$B100&lt;&gt;""),$C100*$AD$1,IF(AND(OR($B$4="APM Level 7",$B$4="R&amp;T Level 7"),E100&lt;&gt;""),$C100*$AD$1,IF(SUMIF(Grades!$A:$A,$B$4,Grades!BO:BO)=1,$C100*$AD$1,""))))))))</f>
        <v/>
      </c>
      <c r="G100" s="27" t="str">
        <f ca="1">IF(B100="","",IF($B$4="Salary Points 1 to 57","-",IF(SUMIF(Grades!$A:$A,$B$4,Grades!BP:BP)=0,"-",IF(AND(OR($B$4="New Consultant Contract"),$B100&lt;&gt;""),$C100*$AD$2,IF(AND(OR($B$4="Clinical Lecturer / Medical Research Fellow",$B$4="Clinical Consultant - Old Contract (GP)"),$B100&lt;&gt;""),$C100*$AD$2,IF(AND(OR($B$4="APM Level 7",$B$4="R&amp;T Level 7"),F100&lt;&gt;""),$C100*$AD$2,IF(SUMIF(Grades!$A:$A,$B$4,Grades!BP:BP)=1,$C100*$AD$2,"")))))))</f>
        <v/>
      </c>
      <c r="H100" s="27" t="str">
        <f ca="1">IF(B100="","",IF(SUMIF(Grades!$A:$A,$B$4,Grades!BQ:BQ)=0,"-",IF(AND($B$4="Salary Points 1 to 57",B100&gt;$AA$3),"-",IF(AND($B$4="Salary Points 1 to 57",B100&lt;=$AA$3),$C100*$AD$3,IF(AND(OR($B$4="New Consultant Contract"),$B100&lt;&gt;""),$C100*$AD$3,IF(AND(OR($B$4="Clinical Lecturer / Medical Research Fellow",$B$4="Clinical Consultant - Old Contract (GP)"),$B100&lt;&gt;""),$C100*$AD$3,IF(AND(OR($B$4="APM Level 7",$B$4="R&amp;T Level 7"),G100&lt;&gt;""),$C100*$AD$3,IF(SUMIF(Grades!$A:$A,$B$4,Grades!BQ:BQ)=1,$C100*$AD$3,""))))))))</f>
        <v/>
      </c>
      <c r="I100" s="27" t="str">
        <f ca="1">IF($B100="","",ROUND(($C100-(Thresholds_Rates!$C$5*12))*Thresholds_Rates!$C$10,0))</f>
        <v/>
      </c>
      <c r="J100" s="27" t="str">
        <f ca="1">IF(B100="","",IF(AND($B$4="Salary Points 1 to 57",B100&gt;$AA$3),"-",IF(SUMIF(Grades!$A:$A,$B$4,Grades!BR:BR)=0,"-",IF(AND($B$4="Salary Points 1 to 57",B100&lt;=$AA$3),$C100*$AD$4,IF(AND(OR($B$4="New Consultant Contract"),$B100&lt;&gt;""),$C100*$AD$4,IF(AND(OR($B$4="Clinical Lecturer / Medical Research Fellow",$B$4="Clinical Consultant - Old Contract (GP)"),$B100&lt;&gt;""),$C100*$AD$4,IF(AND(OR($B$4="APM Level 7",$B$4="R&amp;T Level 7"),I100&lt;&gt;""),$C100*$AD$4,IF(SUMIF(Grades!$A:$A,$B$4,Grades!BQ:BQ)=1,$C100*$AD$4,""))))))))</f>
        <v/>
      </c>
      <c r="K100" s="6"/>
      <c r="L100" s="27" t="str">
        <f t="shared" ca="1" si="6"/>
        <v/>
      </c>
      <c r="M100" s="27" t="str">
        <f t="shared" ca="1" si="7"/>
        <v/>
      </c>
      <c r="N100" s="27" t="str">
        <f t="shared" ca="1" si="8"/>
        <v/>
      </c>
      <c r="O100" s="27" t="str">
        <f t="shared" ca="1" si="9"/>
        <v/>
      </c>
      <c r="P100" s="27" t="str">
        <f t="shared" ca="1" si="10"/>
        <v/>
      </c>
      <c r="R100" s="31" t="str">
        <f ca="1">IF(B100="","",IF($B$4="R&amp;T Level 5 - Clinical Lecturers (Vet School)",SUMIF(Points_Lookup!$M:$M,$B100,Points_Lookup!N:N),IF($B$4="R&amp;T Level 6 - Clinical Associate Professors and Clinical Readers (Vet School)",SUMIF(Points_Lookup!$T:$T,$B100,Points_Lookup!U:U),"")))</f>
        <v/>
      </c>
      <c r="S100" s="32" t="str">
        <f ca="1">IF(B100="","",IF($B$4="R&amp;T Level 5 - Clinical Lecturers (Vet School)",$C100-SUMIF(Points_Lookup!$M:$M,$B100,Points_Lookup!$O:$O),IF($B$4="R&amp;T Level 6 - Clinical Associate Professors and Clinical Readers (Vet School)",$C100-SUMIF(Points_Lookup!$T:$T,$B100,Points_Lookup!$V:$V),"")))</f>
        <v/>
      </c>
      <c r="T100" s="31" t="str">
        <f ca="1">IF(B100="","",IF($B$4="R&amp;T Level 5 - Clinical Lecturers (Vet School)",SUMIF(Points_Lookup!$M:$M,$B100,Points_Lookup!Q:Q),IF($B$4="R&amp;T Level 6 - Clinical Associate Professors and Clinical Readers (Vet School)",SUMIF(Points_Lookup!$T:$T,$B100,Points_Lookup!X:X),"")))</f>
        <v/>
      </c>
      <c r="U100" s="32" t="str">
        <f t="shared" ca="1" si="11"/>
        <v/>
      </c>
    </row>
    <row r="101" spans="2:21" x14ac:dyDescent="0.25">
      <c r="B101" s="6" t="str">
        <f ca="1">IFERROR(INDEX(Points_Lookup!A:A,MATCH($Z103,Points_Lookup!$AE:$AE,0)),"")</f>
        <v/>
      </c>
      <c r="C101" s="27" t="str">
        <f ca="1">IF(B101="","",IF($B$4="Apprenticeship",SUMIF(Points_Lookup!AA:AA,B101,Points_Lookup!AC:AC),IF(AND(OR($B$4="New Consultant Contract"),$B101&lt;&gt;""),INDEX(Points_Lookup!K:K,MATCH($B101,Points_Lookup!$J:$J,0)),IF(AND(OR($B$4="Clinical Lecturer / Medical Research Fellow",$B$4="Clinical Consultant - Old Contract (GP)"),$B101&lt;&gt;""),INDEX(Points_Lookup!H:H,MATCH($B101,Points_Lookup!$G:$G,0)),IF(AND(OR($B$4="APM Level 7",$B$4="R&amp;T Level 7",$B$4="APM Level 8"),B101&lt;&gt;""),INDEX(Points_Lookup!E:E,MATCH($Z101,Points_Lookup!$AE:$AE,0)),IF($B$4="R&amp;T Level 5 - Clinical Lecturers (Vet School)",SUMIF(Points_Lookup!$M:$M,$B101,Points_Lookup!$P:$P),IF($B$4="R&amp;T Level 6 - Clinical Associate Professors and Clinical Readers (Vet School)",SUMIF(Points_Lookup!$T:$T,$B101,Points_Lookup!$W:$W),IFERROR(INDEX(Points_Lookup!B:B,MATCH($Z101,Points_Lookup!$AE:$AE,0)),""))))))))</f>
        <v/>
      </c>
      <c r="D101" s="45"/>
      <c r="E101" s="27" t="str">
        <f ca="1">IF($B101="","",IF($B$4="Apprenticeship","-",SUM(IF(SUM(C101/12)&lt;Thresholds_Rates!$C$7,(SUM(C101/12)-Thresholds_Rates!$C$5)*Thresholds_Rates!$C$9,(Thresholds_Rates!$C$7-Thresholds_Rates!$C$5)*Thresholds_Rates!$C$9),IF(SUM(C101/12)&gt;Thresholds_Rates!$C$7,((SUM(C101/12)-Thresholds_Rates!$C$7)*Thresholds_Rates!$C$10),0),SUM(Thresholds_Rates!$C$5-Thresholds_Rates!$C$4)*-Thresholds_Rates!$C$8)*12))</f>
        <v/>
      </c>
      <c r="F101" s="27" t="str">
        <f ca="1">IF($B101="","",IF(AND($B$4="Salary Points 1 to 57",B101&lt;$AA$2),"-",IF(SUMIF(Grades!$A:$A,$B$4,Grades!BO:BO)=0,"-",IF(AND($B$4="Salary Points 1 to 57",B101&gt;=$AA$2),$C101*$AD$1,IF(AND(OR($B$4="New Consultant Contract"),$B101&lt;&gt;""),$C101*$AD$1,IF(AND(OR($B$4="Clinical Lecturer / Medical Research Fellow",$B$4="Clinical Consultant - Old Contract (GP)"),$B101&lt;&gt;""),$C101*$AD$1,IF(AND(OR($B$4="APM Level 7",$B$4="R&amp;T Level 7"),E101&lt;&gt;""),$C101*$AD$1,IF(SUMIF(Grades!$A:$A,$B$4,Grades!BO:BO)=1,$C101*$AD$1,""))))))))</f>
        <v/>
      </c>
      <c r="G101" s="27" t="str">
        <f ca="1">IF(B101="","",IF($B$4="Salary Points 1 to 57","-",IF(SUMIF(Grades!$A:$A,$B$4,Grades!BP:BP)=0,"-",IF(AND(OR($B$4="New Consultant Contract"),$B101&lt;&gt;""),$C101*$AD$2,IF(AND(OR($B$4="Clinical Lecturer / Medical Research Fellow",$B$4="Clinical Consultant - Old Contract (GP)"),$B101&lt;&gt;""),$C101*$AD$2,IF(AND(OR($B$4="APM Level 7",$B$4="R&amp;T Level 7"),F101&lt;&gt;""),$C101*$AD$2,IF(SUMIF(Grades!$A:$A,$B$4,Grades!BP:BP)=1,$C101*$AD$2,"")))))))</f>
        <v/>
      </c>
      <c r="H101" s="27" t="str">
        <f ca="1">IF(B101="","",IF(SUMIF(Grades!$A:$A,$B$4,Grades!BQ:BQ)=0,"-",IF(AND($B$4="Salary Points 1 to 57",B101&gt;$AA$3),"-",IF(AND($B$4="Salary Points 1 to 57",B101&lt;=$AA$3),$C101*$AD$3,IF(AND(OR($B$4="New Consultant Contract"),$B101&lt;&gt;""),$C101*$AD$3,IF(AND(OR($B$4="Clinical Lecturer / Medical Research Fellow",$B$4="Clinical Consultant - Old Contract (GP)"),$B101&lt;&gt;""),$C101*$AD$3,IF(AND(OR($B$4="APM Level 7",$B$4="R&amp;T Level 7"),G101&lt;&gt;""),$C101*$AD$3,IF(SUMIF(Grades!$A:$A,$B$4,Grades!BQ:BQ)=1,$C101*$AD$3,""))))))))</f>
        <v/>
      </c>
      <c r="I101" s="27" t="str">
        <f ca="1">IF($B101="","",ROUND(($C101-(Thresholds_Rates!$C$5*12))*Thresholds_Rates!$C$10,0))</f>
        <v/>
      </c>
      <c r="J101" s="27" t="str">
        <f ca="1">IF(B101="","",IF(AND($B$4="Salary Points 1 to 57",B101&gt;$AA$3),"-",IF(SUMIF(Grades!$A:$A,$B$4,Grades!BR:BR)=0,"-",IF(AND($B$4="Salary Points 1 to 57",B101&lt;=$AA$3),$C101*$AD$4,IF(AND(OR($B$4="New Consultant Contract"),$B101&lt;&gt;""),$C101*$AD$4,IF(AND(OR($B$4="Clinical Lecturer / Medical Research Fellow",$B$4="Clinical Consultant - Old Contract (GP)"),$B101&lt;&gt;""),$C101*$AD$4,IF(AND(OR($B$4="APM Level 7",$B$4="R&amp;T Level 7"),I101&lt;&gt;""),$C101*$AD$4,IF(SUMIF(Grades!$A:$A,$B$4,Grades!BQ:BQ)=1,$C101*$AD$4,""))))))))</f>
        <v/>
      </c>
      <c r="K101" s="6"/>
      <c r="L101" s="27" t="str">
        <f t="shared" ca="1" si="6"/>
        <v/>
      </c>
      <c r="M101" s="27" t="str">
        <f t="shared" ca="1" si="7"/>
        <v/>
      </c>
      <c r="N101" s="27" t="str">
        <f t="shared" ca="1" si="8"/>
        <v/>
      </c>
      <c r="O101" s="27" t="str">
        <f t="shared" ca="1" si="9"/>
        <v/>
      </c>
      <c r="P101" s="27" t="str">
        <f t="shared" ca="1" si="10"/>
        <v/>
      </c>
      <c r="R101" s="31" t="str">
        <f ca="1">IF(B101="","",IF($B$4="R&amp;T Level 5 - Clinical Lecturers (Vet School)",SUMIF(Points_Lookup!$M:$M,$B101,Points_Lookup!N:N),IF($B$4="R&amp;T Level 6 - Clinical Associate Professors and Clinical Readers (Vet School)",SUMIF(Points_Lookup!$T:$T,$B101,Points_Lookup!U:U),"")))</f>
        <v/>
      </c>
      <c r="S101" s="32" t="str">
        <f ca="1">IF(B101="","",IF($B$4="R&amp;T Level 5 - Clinical Lecturers (Vet School)",$C101-SUMIF(Points_Lookup!$M:$M,$B101,Points_Lookup!$O:$O),IF($B$4="R&amp;T Level 6 - Clinical Associate Professors and Clinical Readers (Vet School)",$C101-SUMIF(Points_Lookup!$T:$T,$B101,Points_Lookup!$V:$V),"")))</f>
        <v/>
      </c>
      <c r="T101" s="31" t="str">
        <f ca="1">IF(B101="","",IF($B$4="R&amp;T Level 5 - Clinical Lecturers (Vet School)",SUMIF(Points_Lookup!$M:$M,$B101,Points_Lookup!Q:Q),IF($B$4="R&amp;T Level 6 - Clinical Associate Professors and Clinical Readers (Vet School)",SUMIF(Points_Lookup!$T:$T,$B101,Points_Lookup!X:X),"")))</f>
        <v/>
      </c>
      <c r="U101" s="32" t="str">
        <f t="shared" ca="1" si="11"/>
        <v/>
      </c>
    </row>
    <row r="102" spans="2:21" x14ac:dyDescent="0.25">
      <c r="B102" s="6" t="str">
        <f ca="1">IFERROR(INDEX(Points_Lookup!A:A,MATCH($Z104,Points_Lookup!$AE:$AE,0)),"")</f>
        <v/>
      </c>
      <c r="C102" s="27" t="str">
        <f ca="1">IF(B102="","",IF($B$4="Apprenticeship",SUMIF(Points_Lookup!AA:AA,B102,Points_Lookup!AC:AC),IF(AND(OR($B$4="New Consultant Contract"),$B102&lt;&gt;""),INDEX(Points_Lookup!K:K,MATCH($B102,Points_Lookup!$J:$J,0)),IF(AND(OR($B$4="Clinical Lecturer / Medical Research Fellow",$B$4="Clinical Consultant - Old Contract (GP)"),$B102&lt;&gt;""),INDEX(Points_Lookup!H:H,MATCH($B102,Points_Lookup!$G:$G,0)),IF(AND(OR($B$4="APM Level 7",$B$4="R&amp;T Level 7",$B$4="APM Level 8"),B102&lt;&gt;""),INDEX(Points_Lookup!E:E,MATCH($Z102,Points_Lookup!$AE:$AE,0)),IF($B$4="R&amp;T Level 5 - Clinical Lecturers (Vet School)",SUMIF(Points_Lookup!$M:$M,$B102,Points_Lookup!$P:$P),IF($B$4="R&amp;T Level 6 - Clinical Associate Professors and Clinical Readers (Vet School)",SUMIF(Points_Lookup!$T:$T,$B102,Points_Lookup!$W:$W),IFERROR(INDEX(Points_Lookup!B:B,MATCH($Z102,Points_Lookup!$AE:$AE,0)),""))))))))</f>
        <v/>
      </c>
      <c r="D102" s="45"/>
      <c r="E102" s="27" t="str">
        <f ca="1">IF($B102="","",IF($B$4="Apprenticeship","-",SUM(IF(SUM(C102/12)&lt;Thresholds_Rates!$C$7,(SUM(C102/12)-Thresholds_Rates!$C$5)*Thresholds_Rates!$C$9,(Thresholds_Rates!$C$7-Thresholds_Rates!$C$5)*Thresholds_Rates!$C$9),IF(SUM(C102/12)&gt;Thresholds_Rates!$C$7,((SUM(C102/12)-Thresholds_Rates!$C$7)*Thresholds_Rates!$C$10),0),SUM(Thresholds_Rates!$C$5-Thresholds_Rates!$C$4)*-Thresholds_Rates!$C$8)*12))</f>
        <v/>
      </c>
      <c r="F102" s="27" t="str">
        <f ca="1">IF($B102="","",IF(AND($B$4="Salary Points 1 to 57",B102&lt;$AA$2),"-",IF(SUMIF(Grades!$A:$A,$B$4,Grades!BO:BO)=0,"-",IF(AND($B$4="Salary Points 1 to 57",B102&gt;=$AA$2),$C102*$AD$1,IF(AND(OR($B$4="New Consultant Contract"),$B102&lt;&gt;""),$C102*$AD$1,IF(AND(OR($B$4="Clinical Lecturer / Medical Research Fellow",$B$4="Clinical Consultant - Old Contract (GP)"),$B102&lt;&gt;""),$C102*$AD$1,IF(AND(OR($B$4="APM Level 7",$B$4="R&amp;T Level 7"),E102&lt;&gt;""),$C102*$AD$1,IF(SUMIF(Grades!$A:$A,$B$4,Grades!BO:BO)=1,$C102*$AD$1,""))))))))</f>
        <v/>
      </c>
      <c r="G102" s="27" t="str">
        <f ca="1">IF(B102="","",IF($B$4="Salary Points 1 to 57","-",IF(SUMIF(Grades!$A:$A,$B$4,Grades!BP:BP)=0,"-",IF(AND(OR($B$4="New Consultant Contract"),$B102&lt;&gt;""),$C102*$AD$2,IF(AND(OR($B$4="Clinical Lecturer / Medical Research Fellow",$B$4="Clinical Consultant - Old Contract (GP)"),$B102&lt;&gt;""),$C102*$AD$2,IF(AND(OR($B$4="APM Level 7",$B$4="R&amp;T Level 7"),F102&lt;&gt;""),$C102*$AD$2,IF(SUMIF(Grades!$A:$A,$B$4,Grades!BP:BP)=1,$C102*$AD$2,"")))))))</f>
        <v/>
      </c>
      <c r="H102" s="27" t="str">
        <f ca="1">IF(B102="","",IF(SUMIF(Grades!$A:$A,$B$4,Grades!BQ:BQ)=0,"-",IF(AND($B$4="Salary Points 1 to 57",B102&gt;$AA$3),"-",IF(AND($B$4="Salary Points 1 to 57",B102&lt;=$AA$3),$C102*$AD$3,IF(AND(OR($B$4="New Consultant Contract"),$B102&lt;&gt;""),$C102*$AD$3,IF(AND(OR($B$4="Clinical Lecturer / Medical Research Fellow",$B$4="Clinical Consultant - Old Contract (GP)"),$B102&lt;&gt;""),$C102*$AD$3,IF(AND(OR($B$4="APM Level 7",$B$4="R&amp;T Level 7"),G102&lt;&gt;""),$C102*$AD$3,IF(SUMIF(Grades!$A:$A,$B$4,Grades!BQ:BQ)=1,$C102*$AD$3,""))))))))</f>
        <v/>
      </c>
      <c r="I102" s="27" t="str">
        <f ca="1">IF($B102="","",ROUND(($C102-(Thresholds_Rates!$C$5*12))*Thresholds_Rates!$C$10,0))</f>
        <v/>
      </c>
      <c r="J102" s="27" t="str">
        <f ca="1">IF(B102="","",IF(AND($B$4="Salary Points 1 to 57",B102&gt;$AA$3),"-",IF(SUMIF(Grades!$A:$A,$B$4,Grades!BR:BR)=0,"-",IF(AND($B$4="Salary Points 1 to 57",B102&lt;=$AA$3),$C102*$AD$4,IF(AND(OR($B$4="New Consultant Contract"),$B102&lt;&gt;""),$C102*$AD$4,IF(AND(OR($B$4="Clinical Lecturer / Medical Research Fellow",$B$4="Clinical Consultant - Old Contract (GP)"),$B102&lt;&gt;""),$C102*$AD$4,IF(AND(OR($B$4="APM Level 7",$B$4="R&amp;T Level 7"),I102&lt;&gt;""),$C102*$AD$4,IF(SUMIF(Grades!$A:$A,$B$4,Grades!BQ:BQ)=1,$C102*$AD$4,""))))))))</f>
        <v/>
      </c>
      <c r="K102" s="6"/>
      <c r="L102" s="27" t="str">
        <f t="shared" ca="1" si="6"/>
        <v/>
      </c>
      <c r="M102" s="27" t="str">
        <f t="shared" ca="1" si="7"/>
        <v/>
      </c>
      <c r="N102" s="27" t="str">
        <f t="shared" ca="1" si="8"/>
        <v/>
      </c>
      <c r="O102" s="27" t="str">
        <f t="shared" ca="1" si="9"/>
        <v/>
      </c>
      <c r="P102" s="27" t="str">
        <f t="shared" ca="1" si="10"/>
        <v/>
      </c>
      <c r="R102" s="31" t="str">
        <f ca="1">IF(B102="","",IF($B$4="R&amp;T Level 5 - Clinical Lecturers (Vet School)",SUMIF(Points_Lookup!$M:$M,$B102,Points_Lookup!N:N),IF($B$4="R&amp;T Level 6 - Clinical Associate Professors and Clinical Readers (Vet School)",SUMIF(Points_Lookup!$T:$T,$B102,Points_Lookup!U:U),"")))</f>
        <v/>
      </c>
      <c r="S102" s="32" t="str">
        <f ca="1">IF(B102="","",IF($B$4="R&amp;T Level 5 - Clinical Lecturers (Vet School)",$C102-SUMIF(Points_Lookup!$M:$M,$B102,Points_Lookup!$O:$O),IF($B$4="R&amp;T Level 6 - Clinical Associate Professors and Clinical Readers (Vet School)",$C102-SUMIF(Points_Lookup!$T:$T,$B102,Points_Lookup!$V:$V),"")))</f>
        <v/>
      </c>
      <c r="T102" s="31" t="str">
        <f ca="1">IF(B102="","",IF($B$4="R&amp;T Level 5 - Clinical Lecturers (Vet School)",SUMIF(Points_Lookup!$M:$M,$B102,Points_Lookup!Q:Q),IF($B$4="R&amp;T Level 6 - Clinical Associate Professors and Clinical Readers (Vet School)",SUMIF(Points_Lookup!$T:$T,$B102,Points_Lookup!X:X),"")))</f>
        <v/>
      </c>
      <c r="U102" s="32" t="str">
        <f t="shared" ca="1" si="11"/>
        <v/>
      </c>
    </row>
    <row r="103" spans="2:21" x14ac:dyDescent="0.25">
      <c r="B103" s="6" t="str">
        <f ca="1">IFERROR(INDEX(Points_Lookup!A:A,MATCH($Z105,Points_Lookup!$AE:$AE,0)),"")</f>
        <v/>
      </c>
      <c r="C103" s="27" t="str">
        <f ca="1">IF(B103="","",IF($B$4="Apprenticeship",SUMIF(Points_Lookup!AA:AA,B103,Points_Lookup!AC:AC),IF(AND(OR($B$4="New Consultant Contract"),$B103&lt;&gt;""),INDEX(Points_Lookup!K:K,MATCH($B103,Points_Lookup!$J:$J,0)),IF(AND(OR($B$4="Clinical Lecturer / Medical Research Fellow",$B$4="Clinical Consultant - Old Contract (GP)"),$B103&lt;&gt;""),INDEX(Points_Lookup!H:H,MATCH($B103,Points_Lookup!$G:$G,0)),IF(AND(OR($B$4="APM Level 7",$B$4="R&amp;T Level 7",$B$4="APM Level 8"),B103&lt;&gt;""),INDEX(Points_Lookup!E:E,MATCH($Z103,Points_Lookup!$AE:$AE,0)),IF($B$4="R&amp;T Level 5 - Clinical Lecturers (Vet School)",SUMIF(Points_Lookup!$M:$M,$B103,Points_Lookup!$P:$P),IF($B$4="R&amp;T Level 6 - Clinical Associate Professors and Clinical Readers (Vet School)",SUMIF(Points_Lookup!$T:$T,$B103,Points_Lookup!$W:$W),IFERROR(INDEX(Points_Lookup!B:B,MATCH($Z103,Points_Lookup!$AE:$AE,0)),""))))))))</f>
        <v/>
      </c>
      <c r="D103" s="45"/>
      <c r="E103" s="27" t="str">
        <f ca="1">IF($B103="","",IF($B$4="Apprenticeship","-",SUM(IF(SUM(C103/12)&lt;Thresholds_Rates!$C$7,(SUM(C103/12)-Thresholds_Rates!$C$5)*Thresholds_Rates!$C$9,(Thresholds_Rates!$C$7-Thresholds_Rates!$C$5)*Thresholds_Rates!$C$9),IF(SUM(C103/12)&gt;Thresholds_Rates!$C$7,((SUM(C103/12)-Thresholds_Rates!$C$7)*Thresholds_Rates!$C$10),0),SUM(Thresholds_Rates!$C$5-Thresholds_Rates!$C$4)*-Thresholds_Rates!$C$8)*12))</f>
        <v/>
      </c>
      <c r="F103" s="27" t="str">
        <f ca="1">IF($B103="","",IF(AND($B$4="Salary Points 1 to 57",B103&lt;$AA$2),"-",IF(SUMIF(Grades!$A:$A,$B$4,Grades!BO:BO)=0,"-",IF(AND($B$4="Salary Points 1 to 57",B103&gt;=$AA$2),$C103*$AD$1,IF(AND(OR($B$4="New Consultant Contract"),$B103&lt;&gt;""),$C103*$AD$1,IF(AND(OR($B$4="Clinical Lecturer / Medical Research Fellow",$B$4="Clinical Consultant - Old Contract (GP)"),$B103&lt;&gt;""),$C103*$AD$1,IF(AND(OR($B$4="APM Level 7",$B$4="R&amp;T Level 7"),E103&lt;&gt;""),$C103*$AD$1,IF(SUMIF(Grades!$A:$A,$B$4,Grades!BO:BO)=1,$C103*$AD$1,""))))))))</f>
        <v/>
      </c>
      <c r="G103" s="27" t="str">
        <f ca="1">IF(B103="","",IF($B$4="Salary Points 1 to 57","-",IF(SUMIF(Grades!$A:$A,$B$4,Grades!BP:BP)=0,"-",IF(AND(OR($B$4="New Consultant Contract"),$B103&lt;&gt;""),$C103*$AD$2,IF(AND(OR($B$4="Clinical Lecturer / Medical Research Fellow",$B$4="Clinical Consultant - Old Contract (GP)"),$B103&lt;&gt;""),$C103*$AD$2,IF(AND(OR($B$4="APM Level 7",$B$4="R&amp;T Level 7"),F103&lt;&gt;""),$C103*$AD$2,IF(SUMIF(Grades!$A:$A,$B$4,Grades!BP:BP)=1,$C103*$AD$2,"")))))))</f>
        <v/>
      </c>
      <c r="H103" s="27" t="str">
        <f ca="1">IF(B103="","",IF(SUMIF(Grades!$A:$A,$B$4,Grades!BQ:BQ)=0,"-",IF(AND($B$4="Salary Points 1 to 57",B103&gt;$AA$3),"-",IF(AND($B$4="Salary Points 1 to 57",B103&lt;=$AA$3),$C103*$AD$3,IF(AND(OR($B$4="New Consultant Contract"),$B103&lt;&gt;""),$C103*$AD$3,IF(AND(OR($B$4="Clinical Lecturer / Medical Research Fellow",$B$4="Clinical Consultant - Old Contract (GP)"),$B103&lt;&gt;""),$C103*$AD$3,IF(AND(OR($B$4="APM Level 7",$B$4="R&amp;T Level 7"),G103&lt;&gt;""),$C103*$AD$3,IF(SUMIF(Grades!$A:$A,$B$4,Grades!BQ:BQ)=1,$C103*$AD$3,""))))))))</f>
        <v/>
      </c>
      <c r="I103" s="27"/>
      <c r="J103" s="27"/>
      <c r="K103" s="6"/>
      <c r="L103" s="27"/>
      <c r="M103" s="27"/>
      <c r="N103" s="27"/>
      <c r="O103" s="27"/>
      <c r="P103" s="27"/>
      <c r="R103" s="31"/>
      <c r="S103" s="32"/>
      <c r="T103" s="31"/>
      <c r="U103" s="32"/>
    </row>
    <row r="104" spans="2:21" x14ac:dyDescent="0.25">
      <c r="B104" s="6" t="str">
        <f ca="1">IFERROR(INDEX(Points_Lookup!A:A,MATCH($Z106,Points_Lookup!$AE:$AE,0)),"")</f>
        <v/>
      </c>
      <c r="C104" s="27" t="str">
        <f ca="1">IF(B104="","",IF($B$4="Apprenticeship",SUMIF(Points_Lookup!AA:AA,B104,Points_Lookup!AC:AC),IF(AND(OR($B$4="New Consultant Contract"),$B104&lt;&gt;""),INDEX(Points_Lookup!K:K,MATCH($B104,Points_Lookup!$J:$J,0)),IF(AND(OR($B$4="Clinical Lecturer / Medical Research Fellow",$B$4="Clinical Consultant - Old Contract (GP)"),$B104&lt;&gt;""),INDEX(Points_Lookup!H:H,MATCH($B104,Points_Lookup!$G:$G,0)),IF(AND(OR($B$4="APM Level 7",$B$4="R&amp;T Level 7",$B$4="APM Level 8"),B104&lt;&gt;""),INDEX(Points_Lookup!E:E,MATCH($Z104,Points_Lookup!$AE:$AE,0)),IF($B$4="R&amp;T Level 5 - Clinical Lecturers (Vet School)",SUMIF(Points_Lookup!$M:$M,$B104,Points_Lookup!$P:$P),IF($B$4="R&amp;T Level 6 - Clinical Associate Professors and Clinical Readers (Vet School)",SUMIF(Points_Lookup!$T:$T,$B104,Points_Lookup!$W:$W),IFERROR(INDEX(Points_Lookup!B:B,MATCH($Z104,Points_Lookup!$AE:$AE,0)),""))))))))</f>
        <v/>
      </c>
      <c r="D104" s="45"/>
      <c r="E104" s="27" t="str">
        <f ca="1">IF($B104="","",IF($B$4="Apprenticeship","-",SUM(IF(SUM(C104/12)&lt;Thresholds_Rates!$C$7,(SUM(C104/12)-Thresholds_Rates!$C$5)*Thresholds_Rates!$C$9,(Thresholds_Rates!$C$7-Thresholds_Rates!$C$5)*Thresholds_Rates!$C$9),IF(SUM(C104/12)&gt;Thresholds_Rates!$C$7,((SUM(C104/12)-Thresholds_Rates!$C$7)*Thresholds_Rates!$C$10),0),SUM(Thresholds_Rates!$C$5-Thresholds_Rates!$C$4)*-Thresholds_Rates!$C$8)*12))</f>
        <v/>
      </c>
      <c r="F104" s="27" t="str">
        <f ca="1">IF($B104="","",IF(AND($B$4="Salary Points 1 to 57",B104&lt;$AA$2),"-",IF(SUMIF(Grades!$A:$A,$B$4,Grades!BO:BO)=0,"-",IF(AND($B$4="Salary Points 1 to 57",B104&gt;=$AA$2),$C104*$AD$1,IF(AND(OR($B$4="New Consultant Contract"),$B104&lt;&gt;""),$C104*$AD$1,IF(AND(OR($B$4="Clinical Lecturer / Medical Research Fellow",$B$4="Clinical Consultant - Old Contract (GP)"),$B104&lt;&gt;""),$C104*$AD$1,IF(AND(OR($B$4="APM Level 7",$B$4="R&amp;T Level 7"),E104&lt;&gt;""),$C104*$AD$1,IF(SUMIF(Grades!$A:$A,$B$4,Grades!BO:BO)=1,$C104*$AD$1,""))))))))</f>
        <v/>
      </c>
      <c r="G104" s="27" t="str">
        <f ca="1">IF(B104="","",IF($B$4="Salary Points 1 to 57","-",IF(SUMIF(Grades!$A:$A,$B$4,Grades!BP:BP)=0,"-",IF(AND(OR($B$4="New Consultant Contract"),$B104&lt;&gt;""),$C104*$AD$2,IF(AND(OR($B$4="Clinical Lecturer / Medical Research Fellow",$B$4="Clinical Consultant - Old Contract (GP)"),$B104&lt;&gt;""),$C104*$AD$2,IF(AND(OR($B$4="APM Level 7",$B$4="R&amp;T Level 7"),F104&lt;&gt;""),$C104*$AD$2,IF(SUMIF(Grades!$A:$A,$B$4,Grades!BP:BP)=1,$C104*$AD$2,"")))))))</f>
        <v/>
      </c>
      <c r="H104" s="27" t="str">
        <f ca="1">IF(B104="","",IF(SUMIF(Grades!$A:$A,$B$4,Grades!BQ:BQ)=0,"-",IF(AND($B$4="Salary Points 1 to 57",B104&gt;$AA$3),"-",IF(AND($B$4="Salary Points 1 to 57",B104&lt;=$AA$3),$C104*$AD$3,IF(AND(OR($B$4="New Consultant Contract"),$B104&lt;&gt;""),$C104*$AD$3,IF(AND(OR($B$4="Clinical Lecturer / Medical Research Fellow",$B$4="Clinical Consultant - Old Contract (GP)"),$B104&lt;&gt;""),$C104*$AD$3,IF(AND(OR($B$4="APM Level 7",$B$4="R&amp;T Level 7"),G104&lt;&gt;""),$C104*$AD$3,IF(SUMIF(Grades!$A:$A,$B$4,Grades!BQ:BQ)=1,$C104*$AD$3,""))))))))</f>
        <v/>
      </c>
      <c r="I104" s="27"/>
      <c r="J104" s="27"/>
      <c r="K104" s="6"/>
      <c r="L104" s="27"/>
      <c r="M104" s="27"/>
      <c r="N104" s="27"/>
      <c r="O104" s="27"/>
      <c r="P104" s="27"/>
      <c r="R104" s="31"/>
      <c r="S104" s="32"/>
      <c r="T104" s="31"/>
      <c r="U104" s="32"/>
    </row>
    <row r="105" spans="2:21" x14ac:dyDescent="0.25">
      <c r="B105" s="6" t="str">
        <f ca="1">IFERROR(INDEX(Points_Lookup!A:A,MATCH($Z107,Points_Lookup!$AE:$AE,0)),"")</f>
        <v/>
      </c>
      <c r="C105" s="27" t="str">
        <f ca="1">IF(B105="","",IF($B$4="Apprenticeship",SUMIF(Points_Lookup!AA:AA,B105,Points_Lookup!AC:AC),IF(AND(OR($B$4="New Consultant Contract"),$B105&lt;&gt;""),INDEX(Points_Lookup!K:K,MATCH($B105,Points_Lookup!$J:$J,0)),IF(AND(OR($B$4="Clinical Lecturer / Medical Research Fellow",$B$4="Clinical Consultant - Old Contract (GP)"),$B105&lt;&gt;""),INDEX(Points_Lookup!H:H,MATCH($B105,Points_Lookup!$G:$G,0)),IF(AND(OR($B$4="APM Level 7",$B$4="R&amp;T Level 7",$B$4="APM Level 8"),B105&lt;&gt;""),INDEX(Points_Lookup!E:E,MATCH($Z105,Points_Lookup!$AE:$AE,0)),IF($B$4="R&amp;T Level 5 - Clinical Lecturers (Vet School)",SUMIF(Points_Lookup!$M:$M,$B105,Points_Lookup!$P:$P),IF($B$4="R&amp;T Level 6 - Clinical Associate Professors and Clinical Readers (Vet School)",SUMIF(Points_Lookup!$T:$T,$B105,Points_Lookup!$W:$W),IFERROR(INDEX(Points_Lookup!B:B,MATCH($Z105,Points_Lookup!$AE:$AE,0)),""))))))))</f>
        <v/>
      </c>
      <c r="D105" s="45"/>
      <c r="E105" s="27" t="str">
        <f ca="1">IF($B105="","",IF($B$4="Apprenticeship","-",SUM(IF(SUM(C105/12)&lt;Thresholds_Rates!$C$7,(SUM(C105/12)-Thresholds_Rates!$C$5)*Thresholds_Rates!$C$9,(Thresholds_Rates!$C$7-Thresholds_Rates!$C$5)*Thresholds_Rates!$C$9),IF(SUM(C105/12)&gt;Thresholds_Rates!$C$7,((SUM(C105/12)-Thresholds_Rates!$C$7)*Thresholds_Rates!$C$10),0),SUM(Thresholds_Rates!$C$5-Thresholds_Rates!$C$4)*-Thresholds_Rates!$C$8)*12))</f>
        <v/>
      </c>
      <c r="F105" s="27" t="str">
        <f ca="1">IF($B105="","",IF(AND($B$4="Salary Points 1 to 57",B105&lt;$AA$2),"-",IF(SUMIF(Grades!$A:$A,$B$4,Grades!BO:BO)=0,"-",IF(AND($B$4="Salary Points 1 to 57",B105&gt;=$AA$2),$C105*$AD$1,IF(AND(OR($B$4="New Consultant Contract"),$B105&lt;&gt;""),$C105*$AD$1,IF(AND(OR($B$4="Clinical Lecturer / Medical Research Fellow",$B$4="Clinical Consultant - Old Contract (GP)"),$B105&lt;&gt;""),$C105*$AD$1,IF(AND(OR($B$4="APM Level 7",$B$4="R&amp;T Level 7"),E105&lt;&gt;""),$C105*$AD$1,IF(SUMIF(Grades!$A:$A,$B$4,Grades!BO:BO)=1,$C105*$AD$1,""))))))))</f>
        <v/>
      </c>
      <c r="G105" s="27" t="str">
        <f ca="1">IF(B105="","",IF($B$4="Salary Points 1 to 57","-",IF(SUMIF(Grades!$A:$A,$B$4,Grades!BP:BP)=0,"-",IF(AND(OR($B$4="New Consultant Contract"),$B105&lt;&gt;""),$C105*$AD$2,IF(AND(OR($B$4="Clinical Lecturer / Medical Research Fellow",$B$4="Clinical Consultant - Old Contract (GP)"),$B105&lt;&gt;""),$C105*$AD$2,IF(AND(OR($B$4="APM Level 7",$B$4="R&amp;T Level 7"),F105&lt;&gt;""),$C105*$AD$2,IF(SUMIF(Grades!$A:$A,$B$4,Grades!BP:BP)=1,$C105*$AD$2,"")))))))</f>
        <v/>
      </c>
      <c r="H105" s="27" t="str">
        <f ca="1">IF(B105="","",IF(SUMIF(Grades!$A:$A,$B$4,Grades!BQ:BQ)=0,"-",IF(AND($B$4="Salary Points 1 to 57",B105&gt;$AA$3),"-",IF(AND($B$4="Salary Points 1 to 57",B105&lt;=$AA$3),$C105*$AD$3,IF(AND(OR($B$4="New Consultant Contract"),$B105&lt;&gt;""),$C105*$AD$3,IF(AND(OR($B$4="Clinical Lecturer / Medical Research Fellow",$B$4="Clinical Consultant - Old Contract (GP)"),$B105&lt;&gt;""),$C105*$AD$3,IF(AND(OR($B$4="APM Level 7",$B$4="R&amp;T Level 7"),G105&lt;&gt;""),$C105*$AD$3,IF(SUMIF(Grades!$A:$A,$B$4,Grades!BQ:BQ)=1,$C105*$AD$3,""))))))))</f>
        <v/>
      </c>
      <c r="I105" s="27"/>
      <c r="J105" s="27"/>
      <c r="K105" s="6"/>
      <c r="L105" s="27"/>
      <c r="M105" s="27"/>
      <c r="N105" s="27"/>
      <c r="O105" s="27"/>
      <c r="P105" s="27"/>
      <c r="R105" s="31"/>
      <c r="S105" s="32"/>
      <c r="T105" s="31"/>
      <c r="U105" s="32"/>
    </row>
    <row r="106" spans="2:21" x14ac:dyDescent="0.25">
      <c r="B106" s="6" t="str">
        <f ca="1">IFERROR(INDEX(Points_Lookup!A:A,MATCH($Z108,Points_Lookup!$AE:$AE,0)),"")</f>
        <v/>
      </c>
      <c r="C106" s="27" t="str">
        <f ca="1">IF(B106="","",IF($B$4="Apprenticeship",SUMIF(Points_Lookup!AA:AA,B106,Points_Lookup!AC:AC),IF(AND(OR($B$4="New Consultant Contract"),$B106&lt;&gt;""),INDEX(Points_Lookup!K:K,MATCH($B106,Points_Lookup!$J:$J,0)),IF(AND(OR($B$4="Clinical Lecturer / Medical Research Fellow",$B$4="Clinical Consultant - Old Contract (GP)"),$B106&lt;&gt;""),INDEX(Points_Lookup!H:H,MATCH($B106,Points_Lookup!$G:$G,0)),IF(AND(OR($B$4="APM Level 7",$B$4="R&amp;T Level 7",$B$4="APM Level 8"),B106&lt;&gt;""),INDEX(Points_Lookup!E:E,MATCH($Z106,Points_Lookup!$AE:$AE,0)),IF($B$4="R&amp;T Level 5 - Clinical Lecturers (Vet School)",SUMIF(Points_Lookup!$M:$M,$B106,Points_Lookup!$P:$P),IF($B$4="R&amp;T Level 6 - Clinical Associate Professors and Clinical Readers (Vet School)",SUMIF(Points_Lookup!$T:$T,$B106,Points_Lookup!$W:$W),IFERROR(INDEX(Points_Lookup!B:B,MATCH($Z106,Points_Lookup!$AE:$AE,0)),""))))))))</f>
        <v/>
      </c>
      <c r="D106" s="45"/>
      <c r="E106" s="27" t="str">
        <f ca="1">IF($B106="","",IF($B$4="Apprenticeship","-",SUM(IF(SUM(C106/12)&lt;Thresholds_Rates!$C$7,(SUM(C106/12)-Thresholds_Rates!$C$5)*Thresholds_Rates!$C$9,(Thresholds_Rates!$C$7-Thresholds_Rates!$C$5)*Thresholds_Rates!$C$9),IF(SUM(C106/12)&gt;Thresholds_Rates!$C$7,((SUM(C106/12)-Thresholds_Rates!$C$7)*Thresholds_Rates!$C$10),0),SUM(Thresholds_Rates!$C$5-Thresholds_Rates!$C$4)*-Thresholds_Rates!$C$8)*12))</f>
        <v/>
      </c>
      <c r="F106" s="27" t="str">
        <f ca="1">IF($B106="","",IF(AND($B$4="Salary Points 1 to 57",B106&lt;$AA$2),"-",IF(SUMIF(Grades!$A:$A,$B$4,Grades!BO:BO)=0,"-",IF(AND($B$4="Salary Points 1 to 57",B106&gt;=$AA$2),$C106*$AD$1,IF(AND(OR($B$4="New Consultant Contract"),$B106&lt;&gt;""),$C106*$AD$1,IF(AND(OR($B$4="Clinical Lecturer / Medical Research Fellow",$B$4="Clinical Consultant - Old Contract (GP)"),$B106&lt;&gt;""),$C106*$AD$1,IF(AND(OR($B$4="APM Level 7",$B$4="R&amp;T Level 7"),E106&lt;&gt;""),$C106*$AD$1,IF(SUMIF(Grades!$A:$A,$B$4,Grades!BO:BO)=1,$C106*$AD$1,""))))))))</f>
        <v/>
      </c>
      <c r="G106" s="27" t="str">
        <f ca="1">IF(B106="","",IF($B$4="Salary Points 1 to 57","-",IF(SUMIF(Grades!$A:$A,$B$4,Grades!BP:BP)=0,"-",IF(AND(OR($B$4="New Consultant Contract"),$B106&lt;&gt;""),$C106*$AD$2,IF(AND(OR($B$4="Clinical Lecturer / Medical Research Fellow",$B$4="Clinical Consultant - Old Contract (GP)"),$B106&lt;&gt;""),$C106*$AD$2,IF(AND(OR($B$4="APM Level 7",$B$4="R&amp;T Level 7"),F106&lt;&gt;""),$C106*$AD$2,IF(SUMIF(Grades!$A:$A,$B$4,Grades!BP:BP)=1,$C106*$AD$2,"")))))))</f>
        <v/>
      </c>
      <c r="H106" s="27" t="str">
        <f ca="1">IF(B106="","",IF(SUMIF(Grades!$A:$A,$B$4,Grades!BQ:BQ)=0,"-",IF(AND($B$4="Salary Points 1 to 57",B106&gt;$AA$3),"-",IF(AND($B$4="Salary Points 1 to 57",B106&lt;=$AA$3),$C106*$AD$3,IF(AND(OR($B$4="New Consultant Contract"),$B106&lt;&gt;""),$C106*$AD$3,IF(AND(OR($B$4="Clinical Lecturer / Medical Research Fellow",$B$4="Clinical Consultant - Old Contract (GP)"),$B106&lt;&gt;""),$C106*$AD$3,IF(AND(OR($B$4="APM Level 7",$B$4="R&amp;T Level 7"),G106&lt;&gt;""),$C106*$AD$3,IF(SUMIF(Grades!$A:$A,$B$4,Grades!BQ:BQ)=1,$C106*$AD$3,""))))))))</f>
        <v/>
      </c>
      <c r="I106" s="27"/>
      <c r="J106" s="27"/>
      <c r="K106" s="6"/>
      <c r="L106" s="27"/>
      <c r="M106" s="27"/>
      <c r="N106" s="27"/>
      <c r="O106" s="27"/>
      <c r="P106" s="27"/>
      <c r="R106" s="31"/>
      <c r="S106" s="32"/>
      <c r="T106" s="31"/>
      <c r="U106" s="32"/>
    </row>
    <row r="107" spans="2:21" x14ac:dyDescent="0.25">
      <c r="B107" s="6" t="str">
        <f ca="1">IFERROR(INDEX(Points_Lookup!A:A,MATCH($Z109,Points_Lookup!$AE:$AE,0)),"")</f>
        <v/>
      </c>
      <c r="C107" s="27" t="str">
        <f ca="1">IF(B107="","",IF($B$4="Apprenticeship",SUMIF(Points_Lookup!AA:AA,B107,Points_Lookup!AC:AC),IF(AND(OR($B$4="New Consultant Contract"),$B107&lt;&gt;""),INDEX(Points_Lookup!K:K,MATCH($B107,Points_Lookup!$J:$J,0)),IF(AND(OR($B$4="Clinical Lecturer / Medical Research Fellow",$B$4="Clinical Consultant - Old Contract (GP)"),$B107&lt;&gt;""),INDEX(Points_Lookup!H:H,MATCH($B107,Points_Lookup!$G:$G,0)),IF(AND(OR($B$4="APM Level 7",$B$4="R&amp;T Level 7",$B$4="APM Level 8"),B107&lt;&gt;""),INDEX(Points_Lookup!E:E,MATCH($Z107,Points_Lookup!$AE:$AE,0)),IF($B$4="R&amp;T Level 5 - Clinical Lecturers (Vet School)",SUMIF(Points_Lookup!$M:$M,$B107,Points_Lookup!$P:$P),IF($B$4="R&amp;T Level 6 - Clinical Associate Professors and Clinical Readers (Vet School)",SUMIF(Points_Lookup!$T:$T,$B107,Points_Lookup!$W:$W),IFERROR(INDEX(Points_Lookup!B:B,MATCH($Z107,Points_Lookup!$AE:$AE,0)),""))))))))</f>
        <v/>
      </c>
      <c r="D107" s="45"/>
      <c r="E107" s="27" t="str">
        <f ca="1">IF($B107="","",IF($B$4="Apprenticeship","-",SUM(IF(SUM(C107/12)&lt;Thresholds_Rates!$C$7,(SUM(C107/12)-Thresholds_Rates!$C$5)*Thresholds_Rates!$C$9,(Thresholds_Rates!$C$7-Thresholds_Rates!$C$5)*Thresholds_Rates!$C$9),IF(SUM(C107/12)&gt;Thresholds_Rates!$C$7,((SUM(C107/12)-Thresholds_Rates!$C$7)*Thresholds_Rates!$C$10),0),SUM(Thresholds_Rates!$C$5-Thresholds_Rates!$C$4)*-Thresholds_Rates!$C$8)*12))</f>
        <v/>
      </c>
      <c r="F107" s="27" t="str">
        <f ca="1">IF($B107="","",IF(AND($B$4="Salary Points 1 to 57",B107&lt;$AA$2),"-",IF(SUMIF(Grades!$A:$A,$B$4,Grades!BO:BO)=0,"-",IF(AND($B$4="Salary Points 1 to 57",B107&gt;=$AA$2),$C107*$AD$1,IF(AND(OR($B$4="New Consultant Contract"),$B107&lt;&gt;""),$C107*$AD$1,IF(AND(OR($B$4="Clinical Lecturer / Medical Research Fellow",$B$4="Clinical Consultant - Old Contract (GP)"),$B107&lt;&gt;""),$C107*$AD$1,IF(AND(OR($B$4="APM Level 7",$B$4="R&amp;T Level 7"),E107&lt;&gt;""),$C107*$AD$1,IF(SUMIF(Grades!$A:$A,$B$4,Grades!BO:BO)=1,$C107*$AD$1,""))))))))</f>
        <v/>
      </c>
      <c r="G107" s="27" t="str">
        <f ca="1">IF(B107="","",IF($B$4="Salary Points 1 to 57","-",IF(SUMIF(Grades!$A:$A,$B$4,Grades!BP:BP)=0,"-",IF(AND(OR($B$4="New Consultant Contract"),$B107&lt;&gt;""),$C107*$AD$2,IF(AND(OR($B$4="Clinical Lecturer / Medical Research Fellow",$B$4="Clinical Consultant - Old Contract (GP)"),$B107&lt;&gt;""),$C107*$AD$2,IF(AND(OR($B$4="APM Level 7",$B$4="R&amp;T Level 7"),F107&lt;&gt;""),$C107*$AD$2,IF(SUMIF(Grades!$A:$A,$B$4,Grades!BP:BP)=1,$C107*$AD$2,"")))))))</f>
        <v/>
      </c>
      <c r="H107" s="27" t="str">
        <f ca="1">IF(B107="","",IF(SUMIF(Grades!$A:$A,$B$4,Grades!BQ:BQ)=0,"-",IF(AND($B$4="Salary Points 1 to 57",B107&gt;$AA$3),"-",IF(AND($B$4="Salary Points 1 to 57",B107&lt;=$AA$3),$C107*$AD$3,IF(AND(OR($B$4="New Consultant Contract"),$B107&lt;&gt;""),$C107*$AD$3,IF(AND(OR($B$4="Clinical Lecturer / Medical Research Fellow",$B$4="Clinical Consultant - Old Contract (GP)"),$B107&lt;&gt;""),$C107*$AD$3,IF(AND(OR($B$4="APM Level 7",$B$4="R&amp;T Level 7"),G107&lt;&gt;""),$C107*$AD$3,IF(SUMIF(Grades!$A:$A,$B$4,Grades!BQ:BQ)=1,$C107*$AD$3,""))))))))</f>
        <v/>
      </c>
      <c r="I107" s="27"/>
      <c r="J107" s="27"/>
      <c r="K107" s="6"/>
      <c r="L107" s="27"/>
      <c r="M107" s="27"/>
      <c r="N107" s="27"/>
      <c r="O107" s="27"/>
      <c r="P107" s="27"/>
      <c r="R107" s="31"/>
      <c r="S107" s="32"/>
      <c r="T107" s="31"/>
      <c r="U107" s="32"/>
    </row>
    <row r="108" spans="2:21" x14ac:dyDescent="0.25">
      <c r="B108" s="6" t="str">
        <f ca="1">IFERROR(INDEX(Points_Lookup!A:A,MATCH($Z110,Points_Lookup!$AE:$AE,0)),"")</f>
        <v/>
      </c>
      <c r="C108" s="27" t="str">
        <f ca="1">IF(B108="","",IF($B$4="Apprenticeship",SUMIF(Points_Lookup!AA:AA,B108,Points_Lookup!AC:AC),IF(AND(OR($B$4="New Consultant Contract"),$B108&lt;&gt;""),INDEX(Points_Lookup!K:K,MATCH($B108,Points_Lookup!$J:$J,0)),IF(AND(OR($B$4="Clinical Lecturer / Medical Research Fellow",$B$4="Clinical Consultant - Old Contract (GP)"),$B108&lt;&gt;""),INDEX(Points_Lookup!H:H,MATCH($B108,Points_Lookup!$G:$G,0)),IF(AND(OR($B$4="APM Level 7",$B$4="R&amp;T Level 7",$B$4="APM Level 8"),B108&lt;&gt;""),INDEX(Points_Lookup!E:E,MATCH($Z108,Points_Lookup!$AE:$AE,0)),IF($B$4="R&amp;T Level 5 - Clinical Lecturers (Vet School)",SUMIF(Points_Lookup!$M:$M,$B108,Points_Lookup!$P:$P),IF($B$4="R&amp;T Level 6 - Clinical Associate Professors and Clinical Readers (Vet School)",SUMIF(Points_Lookup!$T:$T,$B108,Points_Lookup!$W:$W),IFERROR(INDEX(Points_Lookup!B:B,MATCH($Z108,Points_Lookup!$AE:$AE,0)),""))))))))</f>
        <v/>
      </c>
      <c r="D108" s="45"/>
      <c r="E108" s="27" t="str">
        <f ca="1">IF($B108="","",IF($B$4="Apprenticeship","-",SUM(IF(SUM(C108/12)&lt;Thresholds_Rates!$C$7,(SUM(C108/12)-Thresholds_Rates!$C$5)*Thresholds_Rates!$C$9,(Thresholds_Rates!$C$7-Thresholds_Rates!$C$5)*Thresholds_Rates!$C$9),IF(SUM(C108/12)&gt;Thresholds_Rates!$C$7,((SUM(C108/12)-Thresholds_Rates!$C$7)*Thresholds_Rates!$C$10),0),SUM(Thresholds_Rates!$C$5-Thresholds_Rates!$C$4)*-Thresholds_Rates!$C$8)*12))</f>
        <v/>
      </c>
      <c r="F108" s="27" t="str">
        <f ca="1">IF($B108="","",IF(AND($B$4="Salary Points 1 to 57",B108&lt;$AA$2),"-",IF(SUMIF(Grades!$A:$A,$B$4,Grades!BO:BO)=0,"-",IF(AND($B$4="Salary Points 1 to 57",B108&gt;=$AA$2),$C108*$AD$1,IF(AND(OR($B$4="New Consultant Contract"),$B108&lt;&gt;""),$C108*$AD$1,IF(AND(OR($B$4="Clinical Lecturer / Medical Research Fellow",$B$4="Clinical Consultant - Old Contract (GP)"),$B108&lt;&gt;""),$C108*$AD$1,IF(AND(OR($B$4="APM Level 7",$B$4="R&amp;T Level 7"),E108&lt;&gt;""),$C108*$AD$1,IF(SUMIF(Grades!$A:$A,$B$4,Grades!BO:BO)=1,$C108*$AD$1,""))))))))</f>
        <v/>
      </c>
      <c r="G108" s="27" t="str">
        <f ca="1">IF(B108="","",IF($B$4="Salary Points 1 to 57","-",IF(SUMIF(Grades!$A:$A,$B$4,Grades!BP:BP)=0,"-",IF(AND(OR($B$4="New Consultant Contract"),$B108&lt;&gt;""),$C108*$AD$2,IF(AND(OR($B$4="Clinical Lecturer / Medical Research Fellow",$B$4="Clinical Consultant - Old Contract (GP)"),$B108&lt;&gt;""),$C108*$AD$2,IF(AND(OR($B$4="APM Level 7",$B$4="R&amp;T Level 7"),F108&lt;&gt;""),$C108*$AD$2,IF(SUMIF(Grades!$A:$A,$B$4,Grades!BP:BP)=1,$C108*$AD$2,"")))))))</f>
        <v/>
      </c>
      <c r="H108" s="27" t="str">
        <f ca="1">IF(B108="","",IF(SUMIF(Grades!$A:$A,$B$4,Grades!BQ:BQ)=0,"-",IF(AND($B$4="Salary Points 1 to 57",B108&gt;$AA$3),"-",IF(AND($B$4="Salary Points 1 to 57",B108&lt;=$AA$3),$C108*$AD$3,IF(AND(OR($B$4="New Consultant Contract"),$B108&lt;&gt;""),$C108*$AD$3,IF(AND(OR($B$4="Clinical Lecturer / Medical Research Fellow",$B$4="Clinical Consultant - Old Contract (GP)"),$B108&lt;&gt;""),$C108*$AD$3,IF(AND(OR($B$4="APM Level 7",$B$4="R&amp;T Level 7"),G108&lt;&gt;""),$C108*$AD$3,IF(SUMIF(Grades!$A:$A,$B$4,Grades!BQ:BQ)=1,$C108*$AD$3,""))))))))</f>
        <v/>
      </c>
      <c r="I108" s="27"/>
      <c r="J108" s="27"/>
      <c r="K108" s="6"/>
      <c r="L108" s="27"/>
      <c r="M108" s="27"/>
      <c r="N108" s="27"/>
      <c r="O108" s="27"/>
      <c r="P108" s="27"/>
      <c r="R108" s="31"/>
      <c r="S108" s="32"/>
      <c r="T108" s="31"/>
      <c r="U108" s="32"/>
    </row>
    <row r="109" spans="2:21" x14ac:dyDescent="0.25">
      <c r="B109" s="6" t="str">
        <f ca="1">IFERROR(INDEX(Points_Lookup!A:A,MATCH($Z111,Points_Lookup!$AE:$AE,0)),"")</f>
        <v/>
      </c>
      <c r="C109" s="27" t="str">
        <f ca="1">IF(B109="","",IF($B$4="Apprenticeship",SUMIF(Points_Lookup!AA:AA,B109,Points_Lookup!AC:AC),IF(AND(OR($B$4="New Consultant Contract"),$B109&lt;&gt;""),INDEX(Points_Lookup!K:K,MATCH($B109,Points_Lookup!$J:$J,0)),IF(AND(OR($B$4="Clinical Lecturer / Medical Research Fellow",$B$4="Clinical Consultant - Old Contract (GP)"),$B109&lt;&gt;""),INDEX(Points_Lookup!H:H,MATCH($B109,Points_Lookup!$G:$G,0)),IF(AND(OR($B$4="APM Level 7",$B$4="R&amp;T Level 7",$B$4="APM Level 8"),B109&lt;&gt;""),INDEX(Points_Lookup!E:E,MATCH($Z109,Points_Lookup!$AE:$AE,0)),IF($B$4="R&amp;T Level 5 - Clinical Lecturers (Vet School)",SUMIF(Points_Lookup!$M:$M,$B109,Points_Lookup!$P:$P),IF($B$4="R&amp;T Level 6 - Clinical Associate Professors and Clinical Readers (Vet School)",SUMIF(Points_Lookup!$T:$T,$B109,Points_Lookup!$W:$W),IFERROR(INDEX(Points_Lookup!B:B,MATCH($Z109,Points_Lookup!$AE:$AE,0)),""))))))))</f>
        <v/>
      </c>
      <c r="D109" s="45"/>
      <c r="E109" s="27" t="str">
        <f ca="1">IF($B109="","",IF($B$4="Apprenticeship","-",SUM(IF(SUM(C109/12)&lt;Thresholds_Rates!$C$7,(SUM(C109/12)-Thresholds_Rates!$C$5)*Thresholds_Rates!$C$9,(Thresholds_Rates!$C$7-Thresholds_Rates!$C$5)*Thresholds_Rates!$C$9),IF(SUM(C109/12)&gt;Thresholds_Rates!$C$7,((SUM(C109/12)-Thresholds_Rates!$C$7)*Thresholds_Rates!$C$10),0),SUM(Thresholds_Rates!$C$5-Thresholds_Rates!$C$4)*-Thresholds_Rates!$C$8)*12))</f>
        <v/>
      </c>
      <c r="F109" s="27" t="str">
        <f ca="1">IF($B109="","",IF(AND($B$4="Salary Points 1 to 57",B109&lt;$AA$2),"-",IF(SUMIF(Grades!$A:$A,$B$4,Grades!BO:BO)=0,"-",IF(AND($B$4="Salary Points 1 to 57",B109&gt;=$AA$2),$C109*$AD$1,IF(AND(OR($B$4="New Consultant Contract"),$B109&lt;&gt;""),$C109*$AD$1,IF(AND(OR($B$4="Clinical Lecturer / Medical Research Fellow",$B$4="Clinical Consultant - Old Contract (GP)"),$B109&lt;&gt;""),$C109*$AD$1,IF(AND(OR($B$4="APM Level 7",$B$4="R&amp;T Level 7"),E109&lt;&gt;""),$C109*$AD$1,IF(SUMIF(Grades!$A:$A,$B$4,Grades!BO:BO)=1,$C109*$AD$1,""))))))))</f>
        <v/>
      </c>
      <c r="G109" s="27" t="str">
        <f ca="1">IF(B109="","",IF($B$4="Salary Points 1 to 57","-",IF(SUMIF(Grades!$A:$A,$B$4,Grades!BP:BP)=0,"-",IF(AND(OR($B$4="New Consultant Contract"),$B109&lt;&gt;""),$C109*$AD$2,IF(AND(OR($B$4="Clinical Lecturer / Medical Research Fellow",$B$4="Clinical Consultant - Old Contract (GP)"),$B109&lt;&gt;""),$C109*$AD$2,IF(AND(OR($B$4="APM Level 7",$B$4="R&amp;T Level 7"),F109&lt;&gt;""),$C109*$AD$2,IF(SUMIF(Grades!$A:$A,$B$4,Grades!BP:BP)=1,$C109*$AD$2,"")))))))</f>
        <v/>
      </c>
      <c r="H109" s="27" t="str">
        <f ca="1">IF(B109="","",IF(SUMIF(Grades!$A:$A,$B$4,Grades!BQ:BQ)=0,"-",IF(AND($B$4="Salary Points 1 to 57",B109&gt;$AA$3),"-",IF(AND($B$4="Salary Points 1 to 57",B109&lt;=$AA$3),$C109*$AD$3,IF(AND(OR($B$4="New Consultant Contract"),$B109&lt;&gt;""),$C109*$AD$3,IF(AND(OR($B$4="Clinical Lecturer / Medical Research Fellow",$B$4="Clinical Consultant - Old Contract (GP)"),$B109&lt;&gt;""),$C109*$AD$3,IF(AND(OR($B$4="APM Level 7",$B$4="R&amp;T Level 7"),G109&lt;&gt;""),$C109*$AD$3,IF(SUMIF(Grades!$A:$A,$B$4,Grades!BQ:BQ)=1,$C109*$AD$3,""))))))))</f>
        <v/>
      </c>
      <c r="I109" s="27"/>
      <c r="J109" s="27"/>
      <c r="K109" s="6"/>
      <c r="L109" s="27"/>
      <c r="M109" s="27"/>
      <c r="N109" s="27"/>
      <c r="O109" s="27"/>
      <c r="P109" s="27"/>
      <c r="R109" s="31"/>
      <c r="S109" s="32"/>
      <c r="T109" s="31"/>
      <c r="U109" s="32"/>
    </row>
    <row r="110" spans="2:21" x14ac:dyDescent="0.25">
      <c r="B110" s="6" t="str">
        <f ca="1">IFERROR(INDEX(Points_Lookup!A:A,MATCH($Z112,Points_Lookup!$AE:$AE,0)),"")</f>
        <v/>
      </c>
      <c r="C110" s="27" t="str">
        <f ca="1">IF(B110="","",IF($B$4="Apprenticeship",SUMIF(Points_Lookup!AA:AA,B110,Points_Lookup!AC:AC),IF(AND(OR($B$4="New Consultant Contract"),$B110&lt;&gt;""),INDEX(Points_Lookup!K:K,MATCH($B110,Points_Lookup!$J:$J,0)),IF(AND(OR($B$4="Clinical Lecturer / Medical Research Fellow",$B$4="Clinical Consultant - Old Contract (GP)"),$B110&lt;&gt;""),INDEX(Points_Lookup!H:H,MATCH($B110,Points_Lookup!$G:$G,0)),IF(AND(OR($B$4="APM Level 7",$B$4="R&amp;T Level 7",$B$4="APM Level 8"),B110&lt;&gt;""),INDEX(Points_Lookup!E:E,MATCH($Z110,Points_Lookup!$AE:$AE,0)),IF($B$4="R&amp;T Level 5 - Clinical Lecturers (Vet School)",SUMIF(Points_Lookup!$M:$M,$B110,Points_Lookup!$P:$P),IF($B$4="R&amp;T Level 6 - Clinical Associate Professors and Clinical Readers (Vet School)",SUMIF(Points_Lookup!$T:$T,$B110,Points_Lookup!$W:$W),IFERROR(INDEX(Points_Lookup!B:B,MATCH($Z110,Points_Lookup!$AE:$AE,0)),""))))))))</f>
        <v/>
      </c>
      <c r="D110" s="45"/>
      <c r="E110" s="27" t="str">
        <f ca="1">IF($B110="","",IF($B$4="Apprenticeship","-",SUM(IF(SUM(C110/12)&lt;Thresholds_Rates!$C$7,(SUM(C110/12)-Thresholds_Rates!$C$5)*Thresholds_Rates!$C$9,(Thresholds_Rates!$C$7-Thresholds_Rates!$C$5)*Thresholds_Rates!$C$9),IF(SUM(C110/12)&gt;Thresholds_Rates!$C$7,((SUM(C110/12)-Thresholds_Rates!$C$7)*Thresholds_Rates!$C$10),0),SUM(Thresholds_Rates!$C$5-Thresholds_Rates!$C$4)*-Thresholds_Rates!$C$8)*12))</f>
        <v/>
      </c>
      <c r="F110" s="27" t="str">
        <f ca="1">IF($B110="","",IF(AND($B$4="Salary Points 1 to 57",B110&lt;$AA$2),"-",IF(SUMIF(Grades!$A:$A,$B$4,Grades!BO:BO)=0,"-",IF(AND($B$4="Salary Points 1 to 57",B110&gt;=$AA$2),$C110*$AD$1,IF(AND(OR($B$4="New Consultant Contract"),$B110&lt;&gt;""),$C110*$AD$1,IF(AND(OR($B$4="Clinical Lecturer / Medical Research Fellow",$B$4="Clinical Consultant - Old Contract (GP)"),$B110&lt;&gt;""),$C110*$AD$1,IF(AND(OR($B$4="APM Level 7",$B$4="R&amp;T Level 7"),E110&lt;&gt;""),$C110*$AD$1,IF(SUMIF(Grades!$A:$A,$B$4,Grades!BO:BO)=1,$C110*$AD$1,""))))))))</f>
        <v/>
      </c>
      <c r="G110" s="27" t="str">
        <f ca="1">IF(B110="","",IF($B$4="Salary Points 1 to 57","-",IF(SUMIF(Grades!$A:$A,$B$4,Grades!BP:BP)=0,"-",IF(AND(OR($B$4="New Consultant Contract"),$B110&lt;&gt;""),$C110*$AD$2,IF(AND(OR($B$4="Clinical Lecturer / Medical Research Fellow",$B$4="Clinical Consultant - Old Contract (GP)"),$B110&lt;&gt;""),$C110*$AD$2,IF(AND(OR($B$4="APM Level 7",$B$4="R&amp;T Level 7"),F110&lt;&gt;""),$C110*$AD$2,IF(SUMIF(Grades!$A:$A,$B$4,Grades!BP:BP)=1,$C110*$AD$2,"")))))))</f>
        <v/>
      </c>
      <c r="H110" s="27" t="str">
        <f ca="1">IF(B110="","",IF(SUMIF(Grades!$A:$A,$B$4,Grades!BQ:BQ)=0,"-",IF(AND($B$4="Salary Points 1 to 57",B110&gt;$AA$3),"-",IF(AND($B$4="Salary Points 1 to 57",B110&lt;=$AA$3),$C110*$AD$3,IF(AND(OR($B$4="New Consultant Contract"),$B110&lt;&gt;""),$C110*$AD$3,IF(AND(OR($B$4="Clinical Lecturer / Medical Research Fellow",$B$4="Clinical Consultant - Old Contract (GP)"),$B110&lt;&gt;""),$C110*$AD$3,IF(AND(OR($B$4="APM Level 7",$B$4="R&amp;T Level 7"),G110&lt;&gt;""),$C110*$AD$3,IF(SUMIF(Grades!$A:$A,$B$4,Grades!BQ:BQ)=1,$C110*$AD$3,""))))))))</f>
        <v/>
      </c>
      <c r="I110" s="27"/>
      <c r="J110" s="27"/>
      <c r="K110" s="6"/>
      <c r="L110" s="27"/>
      <c r="M110" s="27"/>
      <c r="N110" s="27"/>
      <c r="O110" s="27"/>
      <c r="P110" s="27"/>
      <c r="R110" s="31"/>
      <c r="S110" s="32"/>
      <c r="T110" s="31"/>
      <c r="U110" s="32"/>
    </row>
    <row r="111" spans="2:21" x14ac:dyDescent="0.25">
      <c r="B111" s="6" t="str">
        <f ca="1">IFERROR(INDEX(Points_Lookup!A:A,MATCH($Z113,Points_Lookup!$AE:$AE,0)),"")</f>
        <v/>
      </c>
      <c r="C111" s="27" t="str">
        <f ca="1">IF(B111="","",IF($B$4="Apprenticeship",SUMIF(Points_Lookup!AA:AA,B111,Points_Lookup!AC:AC),IF(AND(OR($B$4="New Consultant Contract"),$B111&lt;&gt;""),INDEX(Points_Lookup!K:K,MATCH($B111,Points_Lookup!$J:$J,0)),IF(AND(OR($B$4="Clinical Lecturer / Medical Research Fellow",$B$4="Clinical Consultant - Old Contract (GP)"),$B111&lt;&gt;""),INDEX(Points_Lookup!H:H,MATCH($B111,Points_Lookup!$G:$G,0)),IF(AND(OR($B$4="APM Level 7",$B$4="R&amp;T Level 7",$B$4="APM Level 8"),B111&lt;&gt;""),INDEX(Points_Lookup!E:E,MATCH($Z111,Points_Lookup!$AE:$AE,0)),IF($B$4="R&amp;T Level 5 - Clinical Lecturers (Vet School)",SUMIF(Points_Lookup!$M:$M,$B111,Points_Lookup!$P:$P),IF($B$4="R&amp;T Level 6 - Clinical Associate Professors and Clinical Readers (Vet School)",SUMIF(Points_Lookup!$T:$T,$B111,Points_Lookup!$W:$W),IFERROR(INDEX(Points_Lookup!B:B,MATCH($Z111,Points_Lookup!$AE:$AE,0)),""))))))))</f>
        <v/>
      </c>
      <c r="D111" s="45"/>
      <c r="E111" s="27" t="str">
        <f ca="1">IF($B111="","",IF($B$4="Apprenticeship","-",SUM(IF(SUM(C111/12)&lt;Thresholds_Rates!$C$7,(SUM(C111/12)-Thresholds_Rates!$C$5)*Thresholds_Rates!$C$9,(Thresholds_Rates!$C$7-Thresholds_Rates!$C$5)*Thresholds_Rates!$C$9),IF(SUM(C111/12)&gt;Thresholds_Rates!$C$7,((SUM(C111/12)-Thresholds_Rates!$C$7)*Thresholds_Rates!$C$10),0),SUM(Thresholds_Rates!$C$5-Thresholds_Rates!$C$4)*-Thresholds_Rates!$C$8)*12))</f>
        <v/>
      </c>
      <c r="F111" s="27" t="str">
        <f ca="1">IF($B111="","",IF(AND($B$4="Salary Points 1 to 57",B111&lt;$AA$2),"-",IF(SUMIF(Grades!$A:$A,$B$4,Grades!BO:BO)=0,"-",IF(AND($B$4="Salary Points 1 to 57",B111&gt;=$AA$2),$C111*$AD$1,IF(AND(OR($B$4="New Consultant Contract"),$B111&lt;&gt;""),$C111*$AD$1,IF(AND(OR($B$4="Clinical Lecturer / Medical Research Fellow",$B$4="Clinical Consultant - Old Contract (GP)"),$B111&lt;&gt;""),$C111*$AD$1,IF(AND(OR($B$4="APM Level 7",$B$4="R&amp;T Level 7"),E111&lt;&gt;""),$C111*$AD$1,IF(SUMIF(Grades!$A:$A,$B$4,Grades!BO:BO)=1,$C111*$AD$1,""))))))))</f>
        <v/>
      </c>
      <c r="G111" s="27" t="str">
        <f ca="1">IF(B111="","",IF($B$4="Salary Points 1 to 57","-",IF(SUMIF(Grades!$A:$A,$B$4,Grades!BP:BP)=0,"-",IF(AND(OR($B$4="New Consultant Contract"),$B111&lt;&gt;""),$C111*$AD$2,IF(AND(OR($B$4="Clinical Lecturer / Medical Research Fellow",$B$4="Clinical Consultant - Old Contract (GP)"),$B111&lt;&gt;""),$C111*$AD$2,IF(AND(OR($B$4="APM Level 7",$B$4="R&amp;T Level 7"),F111&lt;&gt;""),$C111*$AD$2,IF(SUMIF(Grades!$A:$A,$B$4,Grades!BP:BP)=1,$C111*$AD$2,"")))))))</f>
        <v/>
      </c>
      <c r="H111" s="27" t="str">
        <f ca="1">IF(B111="","",IF(SUMIF(Grades!$A:$A,$B$4,Grades!BQ:BQ)=0,"-",IF(AND($B$4="Salary Points 1 to 57",B111&gt;$AA$3),"-",IF(AND($B$4="Salary Points 1 to 57",B111&lt;=$AA$3),$C111*$AD$3,IF(AND(OR($B$4="New Consultant Contract"),$B111&lt;&gt;""),$C111*$AD$3,IF(AND(OR($B$4="Clinical Lecturer / Medical Research Fellow",$B$4="Clinical Consultant - Old Contract (GP)"),$B111&lt;&gt;""),$C111*$AD$3,IF(AND(OR($B$4="APM Level 7",$B$4="R&amp;T Level 7"),G111&lt;&gt;""),$C111*$AD$3,IF(SUMIF(Grades!$A:$A,$B$4,Grades!BQ:BQ)=1,$C111*$AD$3,""))))))))</f>
        <v/>
      </c>
      <c r="I111" s="27"/>
      <c r="J111" s="27"/>
      <c r="K111" s="6"/>
      <c r="L111" s="27"/>
      <c r="M111" s="27"/>
      <c r="N111" s="27"/>
      <c r="O111" s="27"/>
      <c r="P111" s="27"/>
      <c r="R111" s="31"/>
      <c r="S111" s="32"/>
      <c r="T111" s="31"/>
      <c r="U111" s="32"/>
    </row>
    <row r="112" spans="2:21" x14ac:dyDescent="0.25">
      <c r="B112" s="6" t="str">
        <f ca="1">IFERROR(INDEX(Points_Lookup!A:A,MATCH($Z114,Points_Lookup!$AE:$AE,0)),"")</f>
        <v/>
      </c>
      <c r="C112" s="27" t="str">
        <f ca="1">IF(B112="","",IF($B$4="Apprenticeship",SUMIF(Points_Lookup!AA:AA,B112,Points_Lookup!AC:AC),IF(AND(OR($B$4="New Consultant Contract"),$B112&lt;&gt;""),INDEX(Points_Lookup!K:K,MATCH($B112,Points_Lookup!$J:$J,0)),IF(AND(OR($B$4="Clinical Lecturer / Medical Research Fellow",$B$4="Clinical Consultant - Old Contract (GP)"),$B112&lt;&gt;""),INDEX(Points_Lookup!H:H,MATCH($B112,Points_Lookup!$G:$G,0)),IF(AND(OR($B$4="APM Level 7",$B$4="R&amp;T Level 7",$B$4="APM Level 8"),B112&lt;&gt;""),INDEX(Points_Lookup!E:E,MATCH($Z112,Points_Lookup!$AE:$AE,0)),IF($B$4="R&amp;T Level 5 - Clinical Lecturers (Vet School)",SUMIF(Points_Lookup!$M:$M,$B112,Points_Lookup!$P:$P),IF($B$4="R&amp;T Level 6 - Clinical Associate Professors and Clinical Readers (Vet School)",SUMIF(Points_Lookup!$T:$T,$B112,Points_Lookup!$W:$W),IFERROR(INDEX(Points_Lookup!B:B,MATCH($Z112,Points_Lookup!$AE:$AE,0)),""))))))))</f>
        <v/>
      </c>
      <c r="D112" s="45"/>
      <c r="E112" s="27" t="str">
        <f ca="1">IF($B112="","",IF($B$4="Apprenticeship","-",SUM(IF(SUM(C112/12)&lt;Thresholds_Rates!$C$7,(SUM(C112/12)-Thresholds_Rates!$C$5)*Thresholds_Rates!$C$9,(Thresholds_Rates!$C$7-Thresholds_Rates!$C$5)*Thresholds_Rates!$C$9),IF(SUM(C112/12)&gt;Thresholds_Rates!$C$7,((SUM(C112/12)-Thresholds_Rates!$C$7)*Thresholds_Rates!$C$10),0),SUM(Thresholds_Rates!$C$5-Thresholds_Rates!$C$4)*-Thresholds_Rates!$C$8)*12))</f>
        <v/>
      </c>
      <c r="F112" s="27" t="str">
        <f ca="1">IF($B112="","",IF(AND($B$4="Salary Points 1 to 57",B112&lt;$AA$2),"-",IF(SUMIF(Grades!$A:$A,$B$4,Grades!BO:BO)=0,"-",IF(AND($B$4="Salary Points 1 to 57",B112&gt;=$AA$2),$C112*$AD$1,IF(AND(OR($B$4="New Consultant Contract"),$B112&lt;&gt;""),$C112*$AD$1,IF(AND(OR($B$4="Clinical Lecturer / Medical Research Fellow",$B$4="Clinical Consultant - Old Contract (GP)"),$B112&lt;&gt;""),$C112*$AD$1,IF(AND(OR($B$4="APM Level 7",$B$4="R&amp;T Level 7"),E112&lt;&gt;""),$C112*$AD$1,IF(SUMIF(Grades!$A:$A,$B$4,Grades!BO:BO)=1,$C112*$AD$1,""))))))))</f>
        <v/>
      </c>
      <c r="G112" s="27" t="str">
        <f ca="1">IF(B112="","",IF($B$4="Salary Points 1 to 57","-",IF(SUMIF(Grades!$A:$A,$B$4,Grades!BP:BP)=0,"-",IF(AND(OR($B$4="New Consultant Contract"),$B112&lt;&gt;""),$C112*$AD$2,IF(AND(OR($B$4="Clinical Lecturer / Medical Research Fellow",$B$4="Clinical Consultant - Old Contract (GP)"),$B112&lt;&gt;""),$C112*$AD$2,IF(AND(OR($B$4="APM Level 7",$B$4="R&amp;T Level 7"),F112&lt;&gt;""),$C112*$AD$2,IF(SUMIF(Grades!$A:$A,$B$4,Grades!BP:BP)=1,$C112*$AD$2,"")))))))</f>
        <v/>
      </c>
      <c r="H112" s="27" t="str">
        <f ca="1">IF(B112="","",IF(SUMIF(Grades!$A:$A,$B$4,Grades!BQ:BQ)=0,"-",IF(AND($B$4="Salary Points 1 to 57",B112&gt;$AA$3),"-",IF(AND($B$4="Salary Points 1 to 57",B112&lt;=$AA$3),$C112*$AD$3,IF(AND(OR($B$4="New Consultant Contract"),$B112&lt;&gt;""),$C112*$AD$3,IF(AND(OR($B$4="Clinical Lecturer / Medical Research Fellow",$B$4="Clinical Consultant - Old Contract (GP)"),$B112&lt;&gt;""),$C112*$AD$3,IF(AND(OR($B$4="APM Level 7",$B$4="R&amp;T Level 7"),G112&lt;&gt;""),$C112*$AD$3,IF(SUMIF(Grades!$A:$A,$B$4,Grades!BQ:BQ)=1,$C112*$AD$3,""))))))))</f>
        <v/>
      </c>
      <c r="I112" s="27"/>
      <c r="J112" s="27"/>
      <c r="K112" s="6"/>
      <c r="L112" s="27"/>
      <c r="M112" s="27"/>
      <c r="N112" s="27"/>
      <c r="O112" s="27"/>
      <c r="P112" s="27"/>
      <c r="R112" s="31"/>
      <c r="S112" s="32"/>
      <c r="T112" s="31"/>
      <c r="U112" s="32"/>
    </row>
    <row r="113" spans="2:21" x14ac:dyDescent="0.25">
      <c r="B113" s="6" t="str">
        <f ca="1">IFERROR(INDEX(Points_Lookup!A:A,MATCH($Z115,Points_Lookup!$AE:$AE,0)),"")</f>
        <v/>
      </c>
      <c r="C113" s="27" t="str">
        <f ca="1">IF(B113="","",IF($B$4="Apprenticeship",SUMIF(Points_Lookup!AA:AA,B113,Points_Lookup!AC:AC),IF(AND(OR($B$4="New Consultant Contract"),$B113&lt;&gt;""),INDEX(Points_Lookup!K:K,MATCH($B113,Points_Lookup!$J:$J,0)),IF(AND(OR($B$4="Clinical Lecturer / Medical Research Fellow",$B$4="Clinical Consultant - Old Contract (GP)"),$B113&lt;&gt;""),INDEX(Points_Lookup!H:H,MATCH($B113,Points_Lookup!$G:$G,0)),IF(AND(OR($B$4="APM Level 7",$B$4="R&amp;T Level 7",$B$4="APM Level 8"),B113&lt;&gt;""),INDEX(Points_Lookup!E:E,MATCH($Z113,Points_Lookup!$AE:$AE,0)),IF($B$4="R&amp;T Level 5 - Clinical Lecturers (Vet School)",SUMIF(Points_Lookup!$M:$M,$B113,Points_Lookup!$P:$P),IF($B$4="R&amp;T Level 6 - Clinical Associate Professors and Clinical Readers (Vet School)",SUMIF(Points_Lookup!$T:$T,$B113,Points_Lookup!$W:$W),IFERROR(INDEX(Points_Lookup!B:B,MATCH($Z113,Points_Lookup!$AE:$AE,0)),""))))))))</f>
        <v/>
      </c>
      <c r="D113" s="45"/>
      <c r="E113" s="27" t="str">
        <f ca="1">IF($B113="","",IF($B$4="Apprenticeship","-",SUM(IF(SUM(C113/12)&lt;Thresholds_Rates!$C$7,(SUM(C113/12)-Thresholds_Rates!$C$5)*Thresholds_Rates!$C$9,(Thresholds_Rates!$C$7-Thresholds_Rates!$C$5)*Thresholds_Rates!$C$9),IF(SUM(C113/12)&gt;Thresholds_Rates!$C$7,((SUM(C113/12)-Thresholds_Rates!$C$7)*Thresholds_Rates!$C$10),0),SUM(Thresholds_Rates!$C$5-Thresholds_Rates!$C$4)*-Thresholds_Rates!$C$8)*12))</f>
        <v/>
      </c>
      <c r="F113" s="27" t="str">
        <f ca="1">IF($B113="","",IF(AND($B$4="Salary Points 1 to 57",B113&lt;$AA$2),"-",IF(SUMIF(Grades!$A:$A,$B$4,Grades!BO:BO)=0,"-",IF(AND($B$4="Salary Points 1 to 57",B113&gt;=$AA$2),$C113*$AD$1,IF(AND(OR($B$4="New Consultant Contract"),$B113&lt;&gt;""),$C113*$AD$1,IF(AND(OR($B$4="Clinical Lecturer / Medical Research Fellow",$B$4="Clinical Consultant - Old Contract (GP)"),$B113&lt;&gt;""),$C113*$AD$1,IF(AND(OR($B$4="APM Level 7",$B$4="R&amp;T Level 7"),E113&lt;&gt;""),$C113*$AD$1,IF(SUMIF(Grades!$A:$A,$B$4,Grades!BO:BO)=1,$C113*$AD$1,""))))))))</f>
        <v/>
      </c>
      <c r="G113" s="27" t="str">
        <f ca="1">IF(B113="","",IF($B$4="Salary Points 1 to 57","-",IF(SUMIF(Grades!$A:$A,$B$4,Grades!BP:BP)=0,"-",IF(AND(OR($B$4="New Consultant Contract"),$B113&lt;&gt;""),$C113*$AD$2,IF(AND(OR($B$4="Clinical Lecturer / Medical Research Fellow",$B$4="Clinical Consultant - Old Contract (GP)"),$B113&lt;&gt;""),$C113*$AD$2,IF(AND(OR($B$4="APM Level 7",$B$4="R&amp;T Level 7"),F113&lt;&gt;""),$C113*$AD$2,IF(SUMIF(Grades!$A:$A,$B$4,Grades!BP:BP)=1,$C113*$AD$2,"")))))))</f>
        <v/>
      </c>
      <c r="H113" s="27" t="str">
        <f ca="1">IF(B113="","",IF(SUMIF(Grades!$A:$A,$B$4,Grades!BQ:BQ)=0,"-",IF(AND($B$4="Salary Points 1 to 57",B113&gt;$AA$3),"-",IF(AND($B$4="Salary Points 1 to 57",B113&lt;=$AA$3),$C113*$AD$3,IF(AND(OR($B$4="New Consultant Contract"),$B113&lt;&gt;""),$C113*$AD$3,IF(AND(OR($B$4="Clinical Lecturer / Medical Research Fellow",$B$4="Clinical Consultant - Old Contract (GP)"),$B113&lt;&gt;""),$C113*$AD$3,IF(AND(OR($B$4="APM Level 7",$B$4="R&amp;T Level 7"),G113&lt;&gt;""),$C113*$AD$3,IF(SUMIF(Grades!$A:$A,$B$4,Grades!BQ:BQ)=1,$C113*$AD$3,""))))))))</f>
        <v/>
      </c>
      <c r="I113" s="27"/>
      <c r="J113" s="27"/>
      <c r="K113" s="6"/>
      <c r="L113" s="27"/>
      <c r="M113" s="27"/>
      <c r="N113" s="27"/>
      <c r="O113" s="27"/>
      <c r="P113" s="27"/>
      <c r="R113" s="31"/>
      <c r="S113" s="32"/>
      <c r="T113" s="31"/>
      <c r="U113" s="32"/>
    </row>
    <row r="114" spans="2:21" x14ac:dyDescent="0.25">
      <c r="B114" s="6" t="str">
        <f ca="1">IFERROR(INDEX(Points_Lookup!A:A,MATCH($Z116,Points_Lookup!$AE:$AE,0)),"")</f>
        <v/>
      </c>
      <c r="C114" s="27" t="str">
        <f ca="1">IF(B114="","",IF($B$4="Apprenticeship",SUMIF(Points_Lookup!AA:AA,B114,Points_Lookup!AC:AC),IF(AND(OR($B$4="New Consultant Contract"),$B114&lt;&gt;""),INDEX(Points_Lookup!K:K,MATCH($B114,Points_Lookup!$J:$J,0)),IF(AND(OR($B$4="Clinical Lecturer / Medical Research Fellow",$B$4="Clinical Consultant - Old Contract (GP)"),$B114&lt;&gt;""),INDEX(Points_Lookup!H:H,MATCH($B114,Points_Lookup!$G:$G,0)),IF(AND(OR($B$4="APM Level 7",$B$4="R&amp;T Level 7",$B$4="APM Level 8"),B114&lt;&gt;""),INDEX(Points_Lookup!E:E,MATCH($Z114,Points_Lookup!$AE:$AE,0)),IF($B$4="R&amp;T Level 5 - Clinical Lecturers (Vet School)",SUMIF(Points_Lookup!$M:$M,$B114,Points_Lookup!$P:$P),IF($B$4="R&amp;T Level 6 - Clinical Associate Professors and Clinical Readers (Vet School)",SUMIF(Points_Lookup!$T:$T,$B114,Points_Lookup!$W:$W),IFERROR(INDEX(Points_Lookup!B:B,MATCH($Z114,Points_Lookup!$AE:$AE,0)),""))))))))</f>
        <v/>
      </c>
      <c r="D114" s="45"/>
      <c r="E114" s="27" t="str">
        <f ca="1">IF($B114="","",IF($B$4="Apprenticeship","-",SUM(IF(SUM(C114/12)&lt;Thresholds_Rates!$C$7,(SUM(C114/12)-Thresholds_Rates!$C$5)*Thresholds_Rates!$C$9,(Thresholds_Rates!$C$7-Thresholds_Rates!$C$5)*Thresholds_Rates!$C$9),IF(SUM(C114/12)&gt;Thresholds_Rates!$C$7,((SUM(C114/12)-Thresholds_Rates!$C$7)*Thresholds_Rates!$C$10),0),SUM(Thresholds_Rates!$C$5-Thresholds_Rates!$C$4)*-Thresholds_Rates!$C$8)*12))</f>
        <v/>
      </c>
      <c r="F114" s="27" t="str">
        <f ca="1">IF($B114="","",IF(AND($B$4="Salary Points 1 to 57",B114&lt;$AA$2),"-",IF(SUMIF(Grades!$A:$A,$B$4,Grades!BO:BO)=0,"-",IF(AND($B$4="Salary Points 1 to 57",B114&gt;=$AA$2),$C114*$AD$1,IF(AND(OR($B$4="New Consultant Contract"),$B114&lt;&gt;""),$C114*$AD$1,IF(AND(OR($B$4="Clinical Lecturer / Medical Research Fellow",$B$4="Clinical Consultant - Old Contract (GP)"),$B114&lt;&gt;""),$C114*$AD$1,IF(AND(OR($B$4="APM Level 7",$B$4="R&amp;T Level 7"),E114&lt;&gt;""),$C114*$AD$1,IF(SUMIF(Grades!$A:$A,$B$4,Grades!BO:BO)=1,$C114*$AD$1,""))))))))</f>
        <v/>
      </c>
      <c r="G114" s="27" t="str">
        <f ca="1">IF(B114="","",IF($B$4="Salary Points 1 to 57","-",IF(SUMIF(Grades!$A:$A,$B$4,Grades!BP:BP)=0,"-",IF(AND(OR($B$4="New Consultant Contract"),$B114&lt;&gt;""),$C114*$AD$2,IF(AND(OR($B$4="Clinical Lecturer / Medical Research Fellow",$B$4="Clinical Consultant - Old Contract (GP)"),$B114&lt;&gt;""),$C114*$AD$2,IF(AND(OR($B$4="APM Level 7",$B$4="R&amp;T Level 7"),F114&lt;&gt;""),$C114*$AD$2,IF(SUMIF(Grades!$A:$A,$B$4,Grades!BP:BP)=1,$C114*$AD$2,"")))))))</f>
        <v/>
      </c>
      <c r="H114" s="27" t="str">
        <f ca="1">IF(B114="","",IF(SUMIF(Grades!$A:$A,$B$4,Grades!BQ:BQ)=0,"-",IF(AND($B$4="Salary Points 1 to 57",B114&gt;$AA$3),"-",IF(AND($B$4="Salary Points 1 to 57",B114&lt;=$AA$3),$C114*$AD$3,IF(AND(OR($B$4="New Consultant Contract"),$B114&lt;&gt;""),$C114*$AD$3,IF(AND(OR($B$4="Clinical Lecturer / Medical Research Fellow",$B$4="Clinical Consultant - Old Contract (GP)"),$B114&lt;&gt;""),$C114*$AD$3,IF(AND(OR($B$4="APM Level 7",$B$4="R&amp;T Level 7"),G114&lt;&gt;""),$C114*$AD$3,IF(SUMIF(Grades!$A:$A,$B$4,Grades!BQ:BQ)=1,$C114*$AD$3,""))))))))</f>
        <v/>
      </c>
      <c r="I114" s="27"/>
      <c r="J114" s="27"/>
      <c r="K114" s="6"/>
      <c r="L114" s="27"/>
      <c r="M114" s="27"/>
      <c r="N114" s="27"/>
      <c r="O114" s="27"/>
      <c r="P114" s="27"/>
      <c r="R114" s="31"/>
      <c r="S114" s="32"/>
      <c r="T114" s="31"/>
      <c r="U114" s="32"/>
    </row>
    <row r="115" spans="2:21" x14ac:dyDescent="0.25">
      <c r="B115" s="6" t="str">
        <f ca="1">IFERROR(INDEX(Points_Lookup!A:A,MATCH($Z117,Points_Lookup!$AE:$AE,0)),"")</f>
        <v/>
      </c>
      <c r="C115" s="27" t="str">
        <f ca="1">IF(B115="","",IF($B$4="Apprenticeship",SUMIF(Points_Lookup!AA:AA,B115,Points_Lookup!AC:AC),IF(AND(OR($B$4="New Consultant Contract"),$B115&lt;&gt;""),INDEX(Points_Lookup!K:K,MATCH($B115,Points_Lookup!$J:$J,0)),IF(AND(OR($B$4="Clinical Lecturer / Medical Research Fellow",$B$4="Clinical Consultant - Old Contract (GP)"),$B115&lt;&gt;""),INDEX(Points_Lookup!H:H,MATCH($B115,Points_Lookup!$G:$G,0)),IF(AND(OR($B$4="APM Level 7",$B$4="R&amp;T Level 7",$B$4="APM Level 8"),B115&lt;&gt;""),INDEX(Points_Lookup!E:E,MATCH($Z115,Points_Lookup!$AE:$AE,0)),IF($B$4="R&amp;T Level 5 - Clinical Lecturers (Vet School)",SUMIF(Points_Lookup!$M:$M,$B115,Points_Lookup!$P:$P),IF($B$4="R&amp;T Level 6 - Clinical Associate Professors and Clinical Readers (Vet School)",SUMIF(Points_Lookup!$T:$T,$B115,Points_Lookup!$W:$W),IFERROR(INDEX(Points_Lookup!B:B,MATCH($Z115,Points_Lookup!$AE:$AE,0)),""))))))))</f>
        <v/>
      </c>
      <c r="D115" s="45"/>
      <c r="E115" s="27" t="str">
        <f ca="1">IF($B115="","",IF($B$4="Apprenticeship","-",SUM(IF(SUM(C115/12)&lt;Thresholds_Rates!$C$7,(SUM(C115/12)-Thresholds_Rates!$C$5)*Thresholds_Rates!$C$9,(Thresholds_Rates!$C$7-Thresholds_Rates!$C$5)*Thresholds_Rates!$C$9),IF(SUM(C115/12)&gt;Thresholds_Rates!$C$7,((SUM(C115/12)-Thresholds_Rates!$C$7)*Thresholds_Rates!$C$10),0),SUM(Thresholds_Rates!$C$5-Thresholds_Rates!$C$4)*-Thresholds_Rates!$C$8)*12))</f>
        <v/>
      </c>
      <c r="F115" s="27" t="str">
        <f ca="1">IF($B115="","",IF(AND($B$4="Salary Points 1 to 57",B115&lt;$AA$2),"-",IF(SUMIF(Grades!$A:$A,$B$4,Grades!BO:BO)=0,"-",IF(AND($B$4="Salary Points 1 to 57",B115&gt;=$AA$2),$C115*$AD$1,IF(AND(OR($B$4="New Consultant Contract"),$B115&lt;&gt;""),$C115*$AD$1,IF(AND(OR($B$4="Clinical Lecturer / Medical Research Fellow",$B$4="Clinical Consultant - Old Contract (GP)"),$B115&lt;&gt;""),$C115*$AD$1,IF(AND(OR($B$4="APM Level 7",$B$4="R&amp;T Level 7"),E115&lt;&gt;""),$C115*$AD$1,IF(SUMIF(Grades!$A:$A,$B$4,Grades!BO:BO)=1,$C115*$AD$1,""))))))))</f>
        <v/>
      </c>
      <c r="G115" s="27" t="str">
        <f ca="1">IF(B115="","",IF($B$4="Salary Points 1 to 57","-",IF(SUMIF(Grades!$A:$A,$B$4,Grades!BP:BP)=0,"-",IF(AND(OR($B$4="New Consultant Contract"),$B115&lt;&gt;""),$C115*$AD$2,IF(AND(OR($B$4="Clinical Lecturer / Medical Research Fellow",$B$4="Clinical Consultant - Old Contract (GP)"),$B115&lt;&gt;""),$C115*$AD$2,IF(AND(OR($B$4="APM Level 7",$B$4="R&amp;T Level 7"),F115&lt;&gt;""),$C115*$AD$2,IF(SUMIF(Grades!$A:$A,$B$4,Grades!BP:BP)=1,$C115*$AD$2,"")))))))</f>
        <v/>
      </c>
      <c r="H115" s="27" t="str">
        <f ca="1">IF(B115="","",IF(SUMIF(Grades!$A:$A,$B$4,Grades!BQ:BQ)=0,"-",IF(AND($B$4="Salary Points 1 to 57",B115&gt;$AA$3),"-",IF(AND($B$4="Salary Points 1 to 57",B115&lt;=$AA$3),$C115*$AD$3,IF(AND(OR($B$4="New Consultant Contract"),$B115&lt;&gt;""),$C115*$AD$3,IF(AND(OR($B$4="Clinical Lecturer / Medical Research Fellow",$B$4="Clinical Consultant - Old Contract (GP)"),$B115&lt;&gt;""),$C115*$AD$3,IF(AND(OR($B$4="APM Level 7",$B$4="R&amp;T Level 7"),G115&lt;&gt;""),$C115*$AD$3,IF(SUMIF(Grades!$A:$A,$B$4,Grades!BQ:BQ)=1,$C115*$AD$3,""))))))))</f>
        <v/>
      </c>
      <c r="I115" s="27"/>
      <c r="J115" s="27"/>
      <c r="K115" s="6"/>
      <c r="L115" s="27"/>
      <c r="M115" s="27"/>
      <c r="N115" s="27"/>
      <c r="O115" s="27"/>
      <c r="P115" s="27"/>
      <c r="R115" s="31"/>
      <c r="S115" s="32"/>
      <c r="T115" s="31"/>
      <c r="U115" s="32"/>
    </row>
    <row r="116" spans="2:21" x14ac:dyDescent="0.25">
      <c r="B116" s="6" t="str">
        <f ca="1">IFERROR(INDEX(Points_Lookup!A:A,MATCH($Z118,Points_Lookup!$AE:$AE,0)),"")</f>
        <v/>
      </c>
      <c r="C116" s="27" t="str">
        <f ca="1">IF(B116="","",IF($B$4="Apprenticeship",SUMIF(Points_Lookup!AA:AA,B116,Points_Lookup!AC:AC),IF(AND(OR($B$4="New Consultant Contract"),$B116&lt;&gt;""),INDEX(Points_Lookup!K:K,MATCH($B116,Points_Lookup!$J:$J,0)),IF(AND(OR($B$4="Clinical Lecturer / Medical Research Fellow",$B$4="Clinical Consultant - Old Contract (GP)"),$B116&lt;&gt;""),INDEX(Points_Lookup!H:H,MATCH($B116,Points_Lookup!$G:$G,0)),IF(AND(OR($B$4="APM Level 7",$B$4="R&amp;T Level 7",$B$4="APM Level 8"),B116&lt;&gt;""),INDEX(Points_Lookup!E:E,MATCH($Z116,Points_Lookup!$AE:$AE,0)),IF($B$4="R&amp;T Level 5 - Clinical Lecturers (Vet School)",SUMIF(Points_Lookup!$M:$M,$B116,Points_Lookup!$P:$P),IF($B$4="R&amp;T Level 6 - Clinical Associate Professors and Clinical Readers (Vet School)",SUMIF(Points_Lookup!$T:$T,$B116,Points_Lookup!$W:$W),IFERROR(INDEX(Points_Lookup!B:B,MATCH($Z116,Points_Lookup!$AE:$AE,0)),""))))))))</f>
        <v/>
      </c>
      <c r="D116" s="45"/>
      <c r="E116" s="27" t="str">
        <f ca="1">IF($B116="","",IF($B$4="Apprenticeship","-",SUM(IF(SUM(C116/12)&lt;Thresholds_Rates!$C$7,(SUM(C116/12)-Thresholds_Rates!$C$5)*Thresholds_Rates!$C$9,(Thresholds_Rates!$C$7-Thresholds_Rates!$C$5)*Thresholds_Rates!$C$9),IF(SUM(C116/12)&gt;Thresholds_Rates!$C$7,((SUM(C116/12)-Thresholds_Rates!$C$7)*Thresholds_Rates!$C$10),0),SUM(Thresholds_Rates!$C$5-Thresholds_Rates!$C$4)*-Thresholds_Rates!$C$8)*12))</f>
        <v/>
      </c>
      <c r="F116" s="27" t="str">
        <f ca="1">IF($B116="","",IF(AND($B$4="Salary Points 1 to 57",B116&lt;$AA$2),"-",IF(SUMIF(Grades!$A:$A,$B$4,Grades!BO:BO)=0,"-",IF(AND($B$4="Salary Points 1 to 57",B116&gt;=$AA$2),$C116*$AD$1,IF(AND(OR($B$4="New Consultant Contract"),$B116&lt;&gt;""),$C116*$AD$1,IF(AND(OR($B$4="Clinical Lecturer / Medical Research Fellow",$B$4="Clinical Consultant - Old Contract (GP)"),$B116&lt;&gt;""),$C116*$AD$1,IF(AND(OR($B$4="APM Level 7",$B$4="R&amp;T Level 7"),E116&lt;&gt;""),$C116*$AD$1,IF(SUMIF(Grades!$A:$A,$B$4,Grades!BO:BO)=1,$C116*$AD$1,""))))))))</f>
        <v/>
      </c>
      <c r="G116" s="27" t="str">
        <f ca="1">IF(B116="","",IF($B$4="Salary Points 1 to 57","-",IF(SUMIF(Grades!$A:$A,$B$4,Grades!BP:BP)=0,"-",IF(AND(OR($B$4="New Consultant Contract"),$B116&lt;&gt;""),$C116*$AD$2,IF(AND(OR($B$4="Clinical Lecturer / Medical Research Fellow",$B$4="Clinical Consultant - Old Contract (GP)"),$B116&lt;&gt;""),$C116*$AD$2,IF(AND(OR($B$4="APM Level 7",$B$4="R&amp;T Level 7"),F116&lt;&gt;""),$C116*$AD$2,IF(SUMIF(Grades!$A:$A,$B$4,Grades!BP:BP)=1,$C116*$AD$2,"")))))))</f>
        <v/>
      </c>
      <c r="H116" s="27" t="str">
        <f ca="1">IF(B116="","",IF(SUMIF(Grades!$A:$A,$B$4,Grades!BQ:BQ)=0,"-",IF(AND($B$4="Salary Points 1 to 57",B116&gt;$AA$3),"-",IF(AND($B$4="Salary Points 1 to 57",B116&lt;=$AA$3),$C116*$AD$3,IF(AND(OR($B$4="New Consultant Contract"),$B116&lt;&gt;""),$C116*$AD$3,IF(AND(OR($B$4="Clinical Lecturer / Medical Research Fellow",$B$4="Clinical Consultant - Old Contract (GP)"),$B116&lt;&gt;""),$C116*$AD$3,IF(AND(OR($B$4="APM Level 7",$B$4="R&amp;T Level 7"),G116&lt;&gt;""),$C116*$AD$3,IF(SUMIF(Grades!$A:$A,$B$4,Grades!BQ:BQ)=1,$C116*$AD$3,""))))))))</f>
        <v/>
      </c>
      <c r="I116" s="27"/>
      <c r="J116" s="27"/>
      <c r="K116" s="6"/>
      <c r="L116" s="27"/>
      <c r="M116" s="27"/>
      <c r="N116" s="27"/>
      <c r="O116" s="27"/>
      <c r="P116" s="27"/>
      <c r="R116" s="31"/>
      <c r="S116" s="32"/>
      <c r="T116" s="31"/>
      <c r="U116" s="32"/>
    </row>
    <row r="117" spans="2:21" x14ac:dyDescent="0.25">
      <c r="B117" s="6" t="str">
        <f ca="1">IFERROR(INDEX(Points_Lookup!A:A,MATCH($Z119,Points_Lookup!$AE:$AE,0)),"")</f>
        <v/>
      </c>
      <c r="C117" s="27" t="str">
        <f ca="1">IF(B117="","",IF($B$4="Apprenticeship",SUMIF(Points_Lookup!AA:AA,B117,Points_Lookup!AC:AC),IF(AND(OR($B$4="New Consultant Contract"),$B117&lt;&gt;""),INDEX(Points_Lookup!K:K,MATCH($B117,Points_Lookup!$J:$J,0)),IF(AND(OR($B$4="Clinical Lecturer / Medical Research Fellow",$B$4="Clinical Consultant - Old Contract (GP)"),$B117&lt;&gt;""),INDEX(Points_Lookup!H:H,MATCH($B117,Points_Lookup!$G:$G,0)),IF(AND(OR($B$4="APM Level 7",$B$4="R&amp;T Level 7",$B$4="APM Level 8"),B117&lt;&gt;""),INDEX(Points_Lookup!E:E,MATCH($Z117,Points_Lookup!$AE:$AE,0)),IF($B$4="R&amp;T Level 5 - Clinical Lecturers (Vet School)",SUMIF(Points_Lookup!$M:$M,$B117,Points_Lookup!$P:$P),IF($B$4="R&amp;T Level 6 - Clinical Associate Professors and Clinical Readers (Vet School)",SUMIF(Points_Lookup!$T:$T,$B117,Points_Lookup!$W:$W),IFERROR(INDEX(Points_Lookup!B:B,MATCH($Z117,Points_Lookup!$AE:$AE,0)),""))))))))</f>
        <v/>
      </c>
      <c r="D117" s="45"/>
      <c r="E117" s="27" t="str">
        <f ca="1">IF($B117="","",IF($B$4="Apprenticeship","-",SUM(IF(SUM(C117/12)&lt;Thresholds_Rates!$C$7,(SUM(C117/12)-Thresholds_Rates!$C$5)*Thresholds_Rates!$C$9,(Thresholds_Rates!$C$7-Thresholds_Rates!$C$5)*Thresholds_Rates!$C$9),IF(SUM(C117/12)&gt;Thresholds_Rates!$C$7,((SUM(C117/12)-Thresholds_Rates!$C$7)*Thresholds_Rates!$C$10),0),SUM(Thresholds_Rates!$C$5-Thresholds_Rates!$C$4)*-Thresholds_Rates!$C$8)*12))</f>
        <v/>
      </c>
      <c r="F117" s="27" t="str">
        <f ca="1">IF($B117="","",IF(AND($B$4="Salary Points 1 to 57",B117&lt;$AA$2),"-",IF(SUMIF(Grades!$A:$A,$B$4,Grades!BO:BO)=0,"-",IF(AND($B$4="Salary Points 1 to 57",B117&gt;=$AA$2),$C117*$AD$1,IF(AND(OR($B$4="New Consultant Contract"),$B117&lt;&gt;""),$C117*$AD$1,IF(AND(OR($B$4="Clinical Lecturer / Medical Research Fellow",$B$4="Clinical Consultant - Old Contract (GP)"),$B117&lt;&gt;""),$C117*$AD$1,IF(AND(OR($B$4="APM Level 7",$B$4="R&amp;T Level 7"),E117&lt;&gt;""),$C117*$AD$1,IF(SUMIF(Grades!$A:$A,$B$4,Grades!BO:BO)=1,$C117*$AD$1,""))))))))</f>
        <v/>
      </c>
      <c r="G117" s="27" t="str">
        <f ca="1">IF(B117="","",IF($B$4="Salary Points 1 to 57","-",IF(SUMIF(Grades!$A:$A,$B$4,Grades!BP:BP)=0,"-",IF(AND(OR($B$4="New Consultant Contract"),$B117&lt;&gt;""),$C117*$AD$2,IF(AND(OR($B$4="Clinical Lecturer / Medical Research Fellow",$B$4="Clinical Consultant - Old Contract (GP)"),$B117&lt;&gt;""),$C117*$AD$2,IF(AND(OR($B$4="APM Level 7",$B$4="R&amp;T Level 7"),F117&lt;&gt;""),$C117*$AD$2,IF(SUMIF(Grades!$A:$A,$B$4,Grades!BP:BP)=1,$C117*$AD$2,"")))))))</f>
        <v/>
      </c>
      <c r="H117" s="27" t="str">
        <f ca="1">IF(B117="","",IF(SUMIF(Grades!$A:$A,$B$4,Grades!BQ:BQ)=0,"-",IF(AND($B$4="Salary Points 1 to 57",B117&gt;$AA$3),"-",IF(AND($B$4="Salary Points 1 to 57",B117&lt;=$AA$3),$C117*$AD$3,IF(AND(OR($B$4="New Consultant Contract"),$B117&lt;&gt;""),$C117*$AD$3,IF(AND(OR($B$4="Clinical Lecturer / Medical Research Fellow",$B$4="Clinical Consultant - Old Contract (GP)"),$B117&lt;&gt;""),$C117*$AD$3,IF(AND(OR($B$4="APM Level 7",$B$4="R&amp;T Level 7"),G117&lt;&gt;""),$C117*$AD$3,IF(SUMIF(Grades!$A:$A,$B$4,Grades!BQ:BQ)=1,$C117*$AD$3,""))))))))</f>
        <v/>
      </c>
      <c r="I117" s="27"/>
      <c r="J117" s="27"/>
      <c r="K117" s="6"/>
      <c r="L117" s="27"/>
      <c r="M117" s="27"/>
      <c r="N117" s="27"/>
      <c r="O117" s="27"/>
      <c r="P117" s="27"/>
      <c r="R117" s="31"/>
      <c r="S117" s="32"/>
      <c r="T117" s="31"/>
      <c r="U117" s="32"/>
    </row>
    <row r="118" spans="2:21" x14ac:dyDescent="0.25">
      <c r="B118" s="6" t="str">
        <f ca="1">IFERROR(INDEX(Points_Lookup!A:A,MATCH($Z120,Points_Lookup!$AE:$AE,0)),"")</f>
        <v/>
      </c>
      <c r="C118" s="27" t="str">
        <f ca="1">IF(B118="","",IF($B$4="Apprenticeship",SUMIF(Points_Lookup!AA:AA,B118,Points_Lookup!AC:AC),IF(AND(OR($B$4="New Consultant Contract"),$B118&lt;&gt;""),INDEX(Points_Lookup!K:K,MATCH($B118,Points_Lookup!$J:$J,0)),IF(AND(OR($B$4="Clinical Lecturer / Medical Research Fellow",$B$4="Clinical Consultant - Old Contract (GP)"),$B118&lt;&gt;""),INDEX(Points_Lookup!H:H,MATCH($B118,Points_Lookup!$G:$G,0)),IF(AND(OR($B$4="APM Level 7",$B$4="R&amp;T Level 7",$B$4="APM Level 8"),B118&lt;&gt;""),INDEX(Points_Lookup!E:E,MATCH($Z118,Points_Lookup!$AE:$AE,0)),IF($B$4="R&amp;T Level 5 - Clinical Lecturers (Vet School)",SUMIF(Points_Lookup!$M:$M,$B118,Points_Lookup!$P:$P),IF($B$4="R&amp;T Level 6 - Clinical Associate Professors and Clinical Readers (Vet School)",SUMIF(Points_Lookup!$T:$T,$B118,Points_Lookup!$W:$W),IFERROR(INDEX(Points_Lookup!B:B,MATCH($Z118,Points_Lookup!$AE:$AE,0)),""))))))))</f>
        <v/>
      </c>
      <c r="D118" s="45"/>
      <c r="E118" s="27" t="str">
        <f ca="1">IF($B118="","",IF($B$4="Apprenticeship","-",SUM(IF(SUM(C118/12)&lt;Thresholds_Rates!$C$7,(SUM(C118/12)-Thresholds_Rates!$C$5)*Thresholds_Rates!$C$9,(Thresholds_Rates!$C$7-Thresholds_Rates!$C$5)*Thresholds_Rates!$C$9),IF(SUM(C118/12)&gt;Thresholds_Rates!$C$7,((SUM(C118/12)-Thresholds_Rates!$C$7)*Thresholds_Rates!$C$10),0),SUM(Thresholds_Rates!$C$5-Thresholds_Rates!$C$4)*-Thresholds_Rates!$C$8)*12))</f>
        <v/>
      </c>
      <c r="F118" s="27" t="str">
        <f ca="1">IF($B118="","",IF(AND($B$4="Salary Points 1 to 57",B118&lt;$AA$2),"-",IF(SUMIF(Grades!$A:$A,$B$4,Grades!BO:BO)=0,"-",IF(AND($B$4="Salary Points 1 to 57",B118&gt;=$AA$2),$C118*$AD$1,IF(AND(OR($B$4="New Consultant Contract"),$B118&lt;&gt;""),$C118*$AD$1,IF(AND(OR($B$4="Clinical Lecturer / Medical Research Fellow",$B$4="Clinical Consultant - Old Contract (GP)"),$B118&lt;&gt;""),$C118*$AD$1,IF(AND(OR($B$4="APM Level 7",$B$4="R&amp;T Level 7"),E118&lt;&gt;""),$C118*$AD$1,IF(SUMIF(Grades!$A:$A,$B$4,Grades!BO:BO)=1,$C118*$AD$1,""))))))))</f>
        <v/>
      </c>
      <c r="G118" s="27" t="str">
        <f ca="1">IF(B118="","",IF($B$4="Salary Points 1 to 57","-",IF(SUMIF(Grades!$A:$A,$B$4,Grades!BP:BP)=0,"-",IF(AND(OR($B$4="New Consultant Contract"),$B118&lt;&gt;""),$C118*$AD$2,IF(AND(OR($B$4="Clinical Lecturer / Medical Research Fellow",$B$4="Clinical Consultant - Old Contract (GP)"),$B118&lt;&gt;""),$C118*$AD$2,IF(AND(OR($B$4="APM Level 7",$B$4="R&amp;T Level 7"),F118&lt;&gt;""),$C118*$AD$2,IF(SUMIF(Grades!$A:$A,$B$4,Grades!BP:BP)=1,$C118*$AD$2,"")))))))</f>
        <v/>
      </c>
      <c r="H118" s="27" t="str">
        <f ca="1">IF(B118="","",IF(SUMIF(Grades!$A:$A,$B$4,Grades!BQ:BQ)=0,"-",IF(AND($B$4="Salary Points 1 to 57",B118&gt;$AA$3),"-",IF(AND($B$4="Salary Points 1 to 57",B118&lt;=$AA$3),$C118*$AD$3,IF(AND(OR($B$4="New Consultant Contract"),$B118&lt;&gt;""),$C118*$AD$3,IF(AND(OR($B$4="Clinical Lecturer / Medical Research Fellow",$B$4="Clinical Consultant - Old Contract (GP)"),$B118&lt;&gt;""),$C118*$AD$3,IF(AND(OR($B$4="APM Level 7",$B$4="R&amp;T Level 7"),G118&lt;&gt;""),$C118*$AD$3,IF(SUMIF(Grades!$A:$A,$B$4,Grades!BQ:BQ)=1,$C118*$AD$3,""))))))))</f>
        <v/>
      </c>
      <c r="I118" s="27"/>
      <c r="J118" s="27"/>
      <c r="K118" s="6"/>
      <c r="L118" s="27"/>
      <c r="M118" s="27"/>
      <c r="N118" s="27"/>
      <c r="O118" s="27"/>
      <c r="P118" s="27"/>
      <c r="R118" s="31"/>
      <c r="S118" s="32"/>
      <c r="T118" s="31"/>
      <c r="U118" s="32"/>
    </row>
    <row r="119" spans="2:21" x14ac:dyDescent="0.25">
      <c r="B119" s="6" t="str">
        <f ca="1">IFERROR(INDEX(Points_Lookup!A:A,MATCH($Z121,Points_Lookup!$AE:$AE,0)),"")</f>
        <v/>
      </c>
      <c r="C119" s="27" t="str">
        <f ca="1">IF(B119="","",IF($B$4="Apprenticeship",SUMIF(Points_Lookup!AA:AA,B119,Points_Lookup!AC:AC),IF(AND(OR($B$4="New Consultant Contract"),$B119&lt;&gt;""),INDEX(Points_Lookup!K:K,MATCH($B119,Points_Lookup!$J:$J,0)),IF(AND(OR($B$4="Clinical Lecturer / Medical Research Fellow",$B$4="Clinical Consultant - Old Contract (GP)"),$B119&lt;&gt;""),INDEX(Points_Lookup!H:H,MATCH($B119,Points_Lookup!$G:$G,0)),IF(AND(OR($B$4="APM Level 7",$B$4="R&amp;T Level 7",$B$4="APM Level 8"),B119&lt;&gt;""),INDEX(Points_Lookup!E:E,MATCH($Z119,Points_Lookup!$AE:$AE,0)),IF($B$4="R&amp;T Level 5 - Clinical Lecturers (Vet School)",SUMIF(Points_Lookup!$M:$M,$B119,Points_Lookup!$P:$P),IF($B$4="R&amp;T Level 6 - Clinical Associate Professors and Clinical Readers (Vet School)",SUMIF(Points_Lookup!$T:$T,$B119,Points_Lookup!$W:$W),IFERROR(INDEX(Points_Lookup!B:B,MATCH($Z119,Points_Lookup!$AE:$AE,0)),""))))))))</f>
        <v/>
      </c>
      <c r="D119" s="45"/>
      <c r="E119" s="27" t="str">
        <f ca="1">IF($B119="","",IF($B$4="Apprenticeship","-",SUM(IF(SUM(C119/12)&lt;Thresholds_Rates!$C$7,(SUM(C119/12)-Thresholds_Rates!$C$5)*Thresholds_Rates!$C$9,(Thresholds_Rates!$C$7-Thresholds_Rates!$C$5)*Thresholds_Rates!$C$9),IF(SUM(C119/12)&gt;Thresholds_Rates!$C$7,((SUM(C119/12)-Thresholds_Rates!$C$7)*Thresholds_Rates!$C$10),0),SUM(Thresholds_Rates!$C$5-Thresholds_Rates!$C$4)*-Thresholds_Rates!$C$8)*12))</f>
        <v/>
      </c>
      <c r="F119" s="27" t="str">
        <f ca="1">IF($B119="","",IF(AND($B$4="Salary Points 1 to 57",B119&lt;$AA$2),"-",IF(SUMIF(Grades!$A:$A,$B$4,Grades!BO:BO)=0,"-",IF(AND($B$4="Salary Points 1 to 57",B119&gt;=$AA$2),$C119*$AD$1,IF(AND(OR($B$4="New Consultant Contract"),$B119&lt;&gt;""),$C119*$AD$1,IF(AND(OR($B$4="Clinical Lecturer / Medical Research Fellow",$B$4="Clinical Consultant - Old Contract (GP)"),$B119&lt;&gt;""),$C119*$AD$1,IF(AND(OR($B$4="APM Level 7",$B$4="R&amp;T Level 7"),E119&lt;&gt;""),$C119*$AD$1,IF(SUMIF(Grades!$A:$A,$B$4,Grades!BO:BO)=1,$C119*$AD$1,""))))))))</f>
        <v/>
      </c>
      <c r="G119" s="27" t="str">
        <f ca="1">IF(B119="","",IF($B$4="Salary Points 1 to 57","-",IF(SUMIF(Grades!$A:$A,$B$4,Grades!BP:BP)=0,"-",IF(AND(OR($B$4="New Consultant Contract"),$B119&lt;&gt;""),$C119*$AD$2,IF(AND(OR($B$4="Clinical Lecturer / Medical Research Fellow",$B$4="Clinical Consultant - Old Contract (GP)"),$B119&lt;&gt;""),$C119*$AD$2,IF(AND(OR($B$4="APM Level 7",$B$4="R&amp;T Level 7"),F119&lt;&gt;""),$C119*$AD$2,IF(SUMIF(Grades!$A:$A,$B$4,Grades!BP:BP)=1,$C119*$AD$2,"")))))))</f>
        <v/>
      </c>
      <c r="H119" s="27" t="str">
        <f ca="1">IF(B119="","",IF(SUMIF(Grades!$A:$A,$B$4,Grades!BQ:BQ)=0,"-",IF(AND($B$4="Salary Points 1 to 57",B119&gt;$AA$3),"-",IF(AND($B$4="Salary Points 1 to 57",B119&lt;=$AA$3),$C119*$AD$3,IF(AND(OR($B$4="New Consultant Contract"),$B119&lt;&gt;""),$C119*$AD$3,IF(AND(OR($B$4="Clinical Lecturer / Medical Research Fellow",$B$4="Clinical Consultant - Old Contract (GP)"),$B119&lt;&gt;""),$C119*$AD$3,IF(AND(OR($B$4="APM Level 7",$B$4="R&amp;T Level 7"),G119&lt;&gt;""),$C119*$AD$3,IF(SUMIF(Grades!$A:$A,$B$4,Grades!BQ:BQ)=1,$C119*$AD$3,""))))))))</f>
        <v/>
      </c>
      <c r="I119" s="27"/>
      <c r="J119" s="27"/>
      <c r="K119" s="6"/>
      <c r="L119" s="27"/>
      <c r="M119" s="27"/>
      <c r="N119" s="27"/>
      <c r="O119" s="27"/>
      <c r="P119" s="27"/>
      <c r="R119" s="31"/>
      <c r="S119" s="32"/>
      <c r="T119" s="31"/>
      <c r="U119" s="32"/>
    </row>
    <row r="120" spans="2:21" x14ac:dyDescent="0.25">
      <c r="B120" s="6" t="str">
        <f ca="1">IFERROR(INDEX(Points_Lookup!A:A,MATCH($Z122,Points_Lookup!$AE:$AE,0)),"")</f>
        <v/>
      </c>
      <c r="C120" s="27" t="str">
        <f ca="1">IF(B120="","",IF($B$4="Apprenticeship",SUMIF(Points_Lookup!AA:AA,B120,Points_Lookup!AC:AC),IF(AND(OR($B$4="New Consultant Contract"),$B120&lt;&gt;""),INDEX(Points_Lookup!K:K,MATCH($B120,Points_Lookup!$J:$J,0)),IF(AND(OR($B$4="Clinical Lecturer / Medical Research Fellow",$B$4="Clinical Consultant - Old Contract (GP)"),$B120&lt;&gt;""),INDEX(Points_Lookup!H:H,MATCH($B120,Points_Lookup!$G:$G,0)),IF(AND(OR($B$4="APM Level 7",$B$4="R&amp;T Level 7",$B$4="APM Level 8"),B120&lt;&gt;""),INDEX(Points_Lookup!E:E,MATCH($Z120,Points_Lookup!$AE:$AE,0)),IF($B$4="R&amp;T Level 5 - Clinical Lecturers (Vet School)",SUMIF(Points_Lookup!$M:$M,$B120,Points_Lookup!$P:$P),IF($B$4="R&amp;T Level 6 - Clinical Associate Professors and Clinical Readers (Vet School)",SUMIF(Points_Lookup!$T:$T,$B120,Points_Lookup!$W:$W),IFERROR(INDEX(Points_Lookup!B:B,MATCH($Z120,Points_Lookup!$AE:$AE,0)),""))))))))</f>
        <v/>
      </c>
      <c r="D120" s="45"/>
      <c r="E120" s="27" t="str">
        <f ca="1">IF($B120="","",IF($B$4="Apprenticeship","-",SUM(IF(SUM(C120/12)&lt;Thresholds_Rates!$C$7,(SUM(C120/12)-Thresholds_Rates!$C$5)*Thresholds_Rates!$C$9,(Thresholds_Rates!$C$7-Thresholds_Rates!$C$5)*Thresholds_Rates!$C$9),IF(SUM(C120/12)&gt;Thresholds_Rates!$C$7,((SUM(C120/12)-Thresholds_Rates!$C$7)*Thresholds_Rates!$C$10),0),SUM(Thresholds_Rates!$C$5-Thresholds_Rates!$C$4)*-Thresholds_Rates!$C$8)*12))</f>
        <v/>
      </c>
      <c r="F120" s="27" t="str">
        <f ca="1">IF($B120="","",IF(AND($B$4="Salary Points 1 to 57",B120&lt;$AA$2),"-",IF(SUMIF(Grades!$A:$A,$B$4,Grades!BO:BO)=0,"-",IF(AND($B$4="Salary Points 1 to 57",B120&gt;=$AA$2),$C120*$AD$1,IF(AND(OR($B$4="New Consultant Contract"),$B120&lt;&gt;""),$C120*$AD$1,IF(AND(OR($B$4="Clinical Lecturer / Medical Research Fellow",$B$4="Clinical Consultant - Old Contract (GP)"),$B120&lt;&gt;""),$C120*$AD$1,IF(AND(OR($B$4="APM Level 7",$B$4="R&amp;T Level 7"),E120&lt;&gt;""),$C120*$AD$1,IF(SUMIF(Grades!$A:$A,$B$4,Grades!BO:BO)=1,$C120*$AD$1,""))))))))</f>
        <v/>
      </c>
      <c r="G120" s="27" t="str">
        <f ca="1">IF(B120="","",IF($B$4="Salary Points 1 to 57","-",IF(SUMIF(Grades!$A:$A,$B$4,Grades!BP:BP)=0,"-",IF(AND(OR($B$4="New Consultant Contract"),$B120&lt;&gt;""),$C120*$AD$2,IF(AND(OR($B$4="Clinical Lecturer / Medical Research Fellow",$B$4="Clinical Consultant - Old Contract (GP)"),$B120&lt;&gt;""),$C120*$AD$2,IF(AND(OR($B$4="APM Level 7",$B$4="R&amp;T Level 7"),F120&lt;&gt;""),$C120*$AD$2,IF(SUMIF(Grades!$A:$A,$B$4,Grades!BP:BP)=1,$C120*$AD$2,"")))))))</f>
        <v/>
      </c>
      <c r="H120" s="27" t="str">
        <f ca="1">IF(B120="","",IF(SUMIF(Grades!$A:$A,$B$4,Grades!BQ:BQ)=0,"-",IF(AND($B$4="Salary Points 1 to 57",B120&gt;$AA$3),"-",IF(AND($B$4="Salary Points 1 to 57",B120&lt;=$AA$3),$C120*$AD$3,IF(AND(OR($B$4="New Consultant Contract"),$B120&lt;&gt;""),$C120*$AD$3,IF(AND(OR($B$4="Clinical Lecturer / Medical Research Fellow",$B$4="Clinical Consultant - Old Contract (GP)"),$B120&lt;&gt;""),$C120*$AD$3,IF(AND(OR($B$4="APM Level 7",$B$4="R&amp;T Level 7"),G120&lt;&gt;""),$C120*$AD$3,IF(SUMIF(Grades!$A:$A,$B$4,Grades!BQ:BQ)=1,$C120*$AD$3,""))))))))</f>
        <v/>
      </c>
      <c r="I120" s="27"/>
      <c r="J120" s="27"/>
      <c r="K120" s="6"/>
      <c r="L120" s="27"/>
      <c r="M120" s="27"/>
      <c r="N120" s="27"/>
      <c r="O120" s="27"/>
      <c r="P120" s="27"/>
      <c r="R120" s="31"/>
      <c r="S120" s="32"/>
      <c r="T120" s="31"/>
      <c r="U120" s="32"/>
    </row>
    <row r="121" spans="2:21" x14ac:dyDescent="0.25">
      <c r="B121" s="6" t="str">
        <f ca="1">IFERROR(INDEX(Points_Lookup!A:A,MATCH($Z123,Points_Lookup!$AE:$AE,0)),"")</f>
        <v/>
      </c>
      <c r="C121" s="27" t="str">
        <f ca="1">IF(B121="","",IF($B$4="Apprenticeship",SUMIF(Points_Lookup!AA:AA,B121,Points_Lookup!AC:AC),IF(AND(OR($B$4="New Consultant Contract"),$B121&lt;&gt;""),INDEX(Points_Lookup!K:K,MATCH($B121,Points_Lookup!$J:$J,0)),IF(AND(OR($B$4="Clinical Lecturer / Medical Research Fellow",$B$4="Clinical Consultant - Old Contract (GP)"),$B121&lt;&gt;""),INDEX(Points_Lookup!H:H,MATCH($B121,Points_Lookup!$G:$G,0)),IF(AND(OR($B$4="APM Level 7",$B$4="R&amp;T Level 7",$B$4="APM Level 8"),B121&lt;&gt;""),INDEX(Points_Lookup!E:E,MATCH($Z121,Points_Lookup!$AE:$AE,0)),IF($B$4="R&amp;T Level 5 - Clinical Lecturers (Vet School)",SUMIF(Points_Lookup!$M:$M,$B121,Points_Lookup!$P:$P),IF($B$4="R&amp;T Level 6 - Clinical Associate Professors and Clinical Readers (Vet School)",SUMIF(Points_Lookup!$T:$T,$B121,Points_Lookup!$W:$W),IFERROR(INDEX(Points_Lookup!B:B,MATCH($Z121,Points_Lookup!$AE:$AE,0)),""))))))))</f>
        <v/>
      </c>
      <c r="D121" s="45"/>
      <c r="E121" s="27" t="str">
        <f ca="1">IF($B121="","",IF($B$4="Apprenticeship","-",SUM(IF(SUM(C121/12)&lt;Thresholds_Rates!$C$7,(SUM(C121/12)-Thresholds_Rates!$C$5)*Thresholds_Rates!$C$9,(Thresholds_Rates!$C$7-Thresholds_Rates!$C$5)*Thresholds_Rates!$C$9),IF(SUM(C121/12)&gt;Thresholds_Rates!$C$7,((SUM(C121/12)-Thresholds_Rates!$C$7)*Thresholds_Rates!$C$10),0),SUM(Thresholds_Rates!$C$5-Thresholds_Rates!$C$4)*-Thresholds_Rates!$C$8)*12))</f>
        <v/>
      </c>
      <c r="F121" s="27" t="str">
        <f ca="1">IF($B121="","",IF(AND($B$4="Salary Points 1 to 57",B121&lt;$AA$2),"-",IF(SUMIF(Grades!$A:$A,$B$4,Grades!BO:BO)=0,"-",IF(AND($B$4="Salary Points 1 to 57",B121&gt;=$AA$2),$C121*$AD$1,IF(AND(OR($B$4="New Consultant Contract"),$B121&lt;&gt;""),$C121*$AD$1,IF(AND(OR($B$4="Clinical Lecturer / Medical Research Fellow",$B$4="Clinical Consultant - Old Contract (GP)"),$B121&lt;&gt;""),$C121*$AD$1,IF(AND(OR($B$4="APM Level 7",$B$4="R&amp;T Level 7"),E121&lt;&gt;""),$C121*$AD$1,IF(SUMIF(Grades!$A:$A,$B$4,Grades!BO:BO)=1,$C121*$AD$1,""))))))))</f>
        <v/>
      </c>
      <c r="G121" s="27" t="str">
        <f ca="1">IF(B121="","",IF($B$4="Salary Points 1 to 57","-",IF(SUMIF(Grades!$A:$A,$B$4,Grades!BP:BP)=0,"-",IF(AND(OR($B$4="New Consultant Contract"),$B121&lt;&gt;""),$C121*$AD$2,IF(AND(OR($B$4="Clinical Lecturer / Medical Research Fellow",$B$4="Clinical Consultant - Old Contract (GP)"),$B121&lt;&gt;""),$C121*$AD$2,IF(AND(OR($B$4="APM Level 7",$B$4="R&amp;T Level 7"),F121&lt;&gt;""),$C121*$AD$2,IF(SUMIF(Grades!$A:$A,$B$4,Grades!BP:BP)=1,$C121*$AD$2,"")))))))</f>
        <v/>
      </c>
      <c r="H121" s="27" t="str">
        <f ca="1">IF(B121="","",IF(SUMIF(Grades!$A:$A,$B$4,Grades!BQ:BQ)=0,"-",IF(AND($B$4="Salary Points 1 to 57",B121&gt;$AA$3),"-",IF(AND($B$4="Salary Points 1 to 57",B121&lt;=$AA$3),$C121*$AD$3,IF(AND(OR($B$4="New Consultant Contract"),$B121&lt;&gt;""),$C121*$AD$3,IF(AND(OR($B$4="Clinical Lecturer / Medical Research Fellow",$B$4="Clinical Consultant - Old Contract (GP)"),$B121&lt;&gt;""),$C121*$AD$3,IF(AND(OR($B$4="APM Level 7",$B$4="R&amp;T Level 7"),G121&lt;&gt;""),$C121*$AD$3,IF(SUMIF(Grades!$A:$A,$B$4,Grades!BQ:BQ)=1,$C121*$AD$3,""))))))))</f>
        <v/>
      </c>
      <c r="I121" s="27"/>
      <c r="J121" s="27"/>
      <c r="K121" s="6"/>
      <c r="L121" s="27"/>
      <c r="M121" s="27"/>
      <c r="N121" s="27"/>
      <c r="O121" s="27"/>
      <c r="P121" s="27"/>
      <c r="R121" s="31"/>
      <c r="S121" s="32"/>
      <c r="T121" s="31"/>
      <c r="U121" s="32"/>
    </row>
    <row r="122" spans="2:21" x14ac:dyDescent="0.25">
      <c r="B122" s="6" t="str">
        <f ca="1">IFERROR(INDEX(Points_Lookup!A:A,MATCH($Z124,Points_Lookup!$AE:$AE,0)),"")</f>
        <v/>
      </c>
      <c r="C122" s="27" t="str">
        <f ca="1">IF(B122="","",IF($B$4="Apprenticeship",SUMIF(Points_Lookup!AA:AA,B122,Points_Lookup!AC:AC),IF(AND(OR($B$4="New Consultant Contract"),$B122&lt;&gt;""),INDEX(Points_Lookup!K:K,MATCH($B122,Points_Lookup!$J:$J,0)),IF(AND(OR($B$4="Clinical Lecturer / Medical Research Fellow",$B$4="Clinical Consultant - Old Contract (GP)"),$B122&lt;&gt;""),INDEX(Points_Lookup!H:H,MATCH($B122,Points_Lookup!$G:$G,0)),IF(AND(OR($B$4="APM Level 7",$B$4="R&amp;T Level 7",$B$4="APM Level 8"),B122&lt;&gt;""),INDEX(Points_Lookup!E:E,MATCH($Z122,Points_Lookup!$AE:$AE,0)),IF($B$4="R&amp;T Level 5 - Clinical Lecturers (Vet School)",SUMIF(Points_Lookup!$M:$M,$B122,Points_Lookup!$P:$P),IF($B$4="R&amp;T Level 6 - Clinical Associate Professors and Clinical Readers (Vet School)",SUMIF(Points_Lookup!$T:$T,$B122,Points_Lookup!$W:$W),IFERROR(INDEX(Points_Lookup!B:B,MATCH($Z122,Points_Lookup!$AE:$AE,0)),""))))))))</f>
        <v/>
      </c>
      <c r="D122" s="45"/>
      <c r="E122" s="27" t="str">
        <f ca="1">IF($B122="","",IF($B$4="Apprenticeship","-",SUM(IF(SUM(C122/12)&lt;Thresholds_Rates!$C$7,(SUM(C122/12)-Thresholds_Rates!$C$5)*Thresholds_Rates!$C$9,(Thresholds_Rates!$C$7-Thresholds_Rates!$C$5)*Thresholds_Rates!$C$9),IF(SUM(C122/12)&gt;Thresholds_Rates!$C$7,((SUM(C122/12)-Thresholds_Rates!$C$7)*Thresholds_Rates!$C$10),0),SUM(Thresholds_Rates!$C$5-Thresholds_Rates!$C$4)*-Thresholds_Rates!$C$8)*12))</f>
        <v/>
      </c>
      <c r="F122" s="27" t="str">
        <f ca="1">IF($B122="","",IF(AND($B$4="Salary Points 1 to 57",B122&lt;$AA$2),"-",IF(SUMIF(Grades!$A:$A,$B$4,Grades!BO:BO)=0,"-",IF(AND($B$4="Salary Points 1 to 57",B122&gt;=$AA$2),$C122*$AD$1,IF(AND(OR($B$4="New Consultant Contract"),$B122&lt;&gt;""),$C122*$AD$1,IF(AND(OR($B$4="Clinical Lecturer / Medical Research Fellow",$B$4="Clinical Consultant - Old Contract (GP)"),$B122&lt;&gt;""),$C122*$AD$1,IF(AND(OR($B$4="APM Level 7",$B$4="R&amp;T Level 7"),E122&lt;&gt;""),$C122*$AD$1,IF(SUMIF(Grades!$A:$A,$B$4,Grades!BO:BO)=1,$C122*$AD$1,""))))))))</f>
        <v/>
      </c>
      <c r="G122" s="27" t="str">
        <f ca="1">IF(B122="","",IF($B$4="Salary Points 1 to 57","-",IF(SUMIF(Grades!$A:$A,$B$4,Grades!BP:BP)=0,"-",IF(AND(OR($B$4="New Consultant Contract"),$B122&lt;&gt;""),$C122*$AD$2,IF(AND(OR($B$4="Clinical Lecturer / Medical Research Fellow",$B$4="Clinical Consultant - Old Contract (GP)"),$B122&lt;&gt;""),$C122*$AD$2,IF(AND(OR($B$4="APM Level 7",$B$4="R&amp;T Level 7"),F122&lt;&gt;""),$C122*$AD$2,IF(SUMIF(Grades!$A:$A,$B$4,Grades!BP:BP)=1,$C122*$AD$2,"")))))))</f>
        <v/>
      </c>
      <c r="H122" s="27" t="str">
        <f ca="1">IF(B122="","",IF(SUMIF(Grades!$A:$A,$B$4,Grades!BQ:BQ)=0,"-",IF(AND($B$4="Salary Points 1 to 57",B122&gt;$AA$3),"-",IF(AND($B$4="Salary Points 1 to 57",B122&lt;=$AA$3),$C122*$AD$3,IF(AND(OR($B$4="New Consultant Contract"),$B122&lt;&gt;""),$C122*$AD$3,IF(AND(OR($B$4="Clinical Lecturer / Medical Research Fellow",$B$4="Clinical Consultant - Old Contract (GP)"),$B122&lt;&gt;""),$C122*$AD$3,IF(AND(OR($B$4="APM Level 7",$B$4="R&amp;T Level 7"),G122&lt;&gt;""),$C122*$AD$3,IF(SUMIF(Grades!$A:$A,$B$4,Grades!BQ:BQ)=1,$C122*$AD$3,""))))))))</f>
        <v/>
      </c>
      <c r="I122" s="27"/>
      <c r="J122" s="27"/>
      <c r="K122" s="6"/>
      <c r="L122" s="27"/>
      <c r="M122" s="27"/>
      <c r="N122" s="27"/>
      <c r="O122" s="27"/>
      <c r="P122" s="27"/>
      <c r="R122" s="31"/>
      <c r="S122" s="32"/>
      <c r="T122" s="31"/>
      <c r="U122" s="32"/>
    </row>
    <row r="123" spans="2:21" x14ac:dyDescent="0.25">
      <c r="B123" s="6" t="str">
        <f ca="1">IFERROR(INDEX(Points_Lookup!A:A,MATCH($Z125,Points_Lookup!$AE:$AE,0)),"")</f>
        <v/>
      </c>
      <c r="C123" s="27" t="str">
        <f ca="1">IF(B123="","",IF($B$4="Apprenticeship",SUMIF(Points_Lookup!AA:AA,B123,Points_Lookup!AC:AC),IF(AND(OR($B$4="New Consultant Contract"),$B123&lt;&gt;""),INDEX(Points_Lookup!K:K,MATCH($B123,Points_Lookup!$J:$J,0)),IF(AND(OR($B$4="Clinical Lecturer / Medical Research Fellow",$B$4="Clinical Consultant - Old Contract (GP)"),$B123&lt;&gt;""),INDEX(Points_Lookup!H:H,MATCH($B123,Points_Lookup!$G:$G,0)),IF(AND(OR($B$4="APM Level 7",$B$4="R&amp;T Level 7",$B$4="APM Level 8"),B123&lt;&gt;""),INDEX(Points_Lookup!E:E,MATCH($Z123,Points_Lookup!$AE:$AE,0)),IF($B$4="R&amp;T Level 5 - Clinical Lecturers (Vet School)",SUMIF(Points_Lookup!$M:$M,$B123,Points_Lookup!$P:$P),IF($B$4="R&amp;T Level 6 - Clinical Associate Professors and Clinical Readers (Vet School)",SUMIF(Points_Lookup!$T:$T,$B123,Points_Lookup!$W:$W),IFERROR(INDEX(Points_Lookup!B:B,MATCH($Z123,Points_Lookup!$AE:$AE,0)),""))))))))</f>
        <v/>
      </c>
      <c r="D123" s="45"/>
      <c r="E123" s="27" t="str">
        <f ca="1">IF($B123="","",IF($B$4="Apprenticeship","-",SUM(IF(SUM(C123/12)&lt;Thresholds_Rates!$C$7,(SUM(C123/12)-Thresholds_Rates!$C$5)*Thresholds_Rates!$C$9,(Thresholds_Rates!$C$7-Thresholds_Rates!$C$5)*Thresholds_Rates!$C$9),IF(SUM(C123/12)&gt;Thresholds_Rates!$C$7,((SUM(C123/12)-Thresholds_Rates!$C$7)*Thresholds_Rates!$C$10),0),SUM(Thresholds_Rates!$C$5-Thresholds_Rates!$C$4)*-Thresholds_Rates!$C$8)*12))</f>
        <v/>
      </c>
      <c r="F123" s="27" t="str">
        <f ca="1">IF($B123="","",IF(AND($B$4="Salary Points 1 to 57",B123&lt;$AA$2),"-",IF(SUMIF(Grades!$A:$A,$B$4,Grades!BO:BO)=0,"-",IF(AND($B$4="Salary Points 1 to 57",B123&gt;=$AA$2),$C123*$AD$1,IF(AND(OR($B$4="New Consultant Contract"),$B123&lt;&gt;""),$C123*$AD$1,IF(AND(OR($B$4="Clinical Lecturer / Medical Research Fellow",$B$4="Clinical Consultant - Old Contract (GP)"),$B123&lt;&gt;""),$C123*$AD$1,IF(AND(OR($B$4="APM Level 7",$B$4="R&amp;T Level 7"),E123&lt;&gt;""),$C123*$AD$1,IF(SUMIF(Grades!$A:$A,$B$4,Grades!BO:BO)=1,$C123*$AD$1,""))))))))</f>
        <v/>
      </c>
      <c r="G123" s="27" t="str">
        <f ca="1">IF(B123="","",IF($B$4="Salary Points 1 to 57","-",IF(SUMIF(Grades!$A:$A,$B$4,Grades!BP:BP)=0,"-",IF(AND(OR($B$4="New Consultant Contract"),$B123&lt;&gt;""),$C123*$AD$2,IF(AND(OR($B$4="Clinical Lecturer / Medical Research Fellow",$B$4="Clinical Consultant - Old Contract (GP)"),$B123&lt;&gt;""),$C123*$AD$2,IF(AND(OR($B$4="APM Level 7",$B$4="R&amp;T Level 7"),F123&lt;&gt;""),$C123*$AD$2,IF(SUMIF(Grades!$A:$A,$B$4,Grades!BP:BP)=1,$C123*$AD$2,"")))))))</f>
        <v/>
      </c>
      <c r="H123" s="27" t="str">
        <f ca="1">IF(B123="","",IF(SUMIF(Grades!$A:$A,$B$4,Grades!BQ:BQ)=0,"-",IF(AND($B$4="Salary Points 1 to 57",B123&gt;$AA$3),"-",IF(AND($B$4="Salary Points 1 to 57",B123&lt;=$AA$3),$C123*$AD$3,IF(AND(OR($B$4="New Consultant Contract"),$B123&lt;&gt;""),$C123*$AD$3,IF(AND(OR($B$4="Clinical Lecturer / Medical Research Fellow",$B$4="Clinical Consultant - Old Contract (GP)"),$B123&lt;&gt;""),$C123*$AD$3,IF(AND(OR($B$4="APM Level 7",$B$4="R&amp;T Level 7"),G123&lt;&gt;""),$C123*$AD$3,IF(SUMIF(Grades!$A:$A,$B$4,Grades!BQ:BQ)=1,$C123*$AD$3,""))))))))</f>
        <v/>
      </c>
      <c r="I123" s="27"/>
      <c r="J123" s="27"/>
      <c r="K123" s="6"/>
      <c r="L123" s="27"/>
      <c r="M123" s="27"/>
      <c r="N123" s="27"/>
      <c r="O123" s="27"/>
      <c r="P123" s="27"/>
      <c r="R123" s="31"/>
      <c r="S123" s="32"/>
      <c r="T123" s="31"/>
      <c r="U123" s="32"/>
    </row>
    <row r="124" spans="2:21" x14ac:dyDescent="0.25">
      <c r="B124" s="6" t="str">
        <f ca="1">IFERROR(INDEX(Points_Lookup!A:A,MATCH($Z126,Points_Lookup!$AE:$AE,0)),"")</f>
        <v/>
      </c>
      <c r="C124" s="27" t="str">
        <f ca="1">IF(B124="","",IF($B$4="Apprenticeship",SUMIF(Points_Lookup!AA:AA,B124,Points_Lookup!AC:AC),IF(AND(OR($B$4="New Consultant Contract"),$B124&lt;&gt;""),INDEX(Points_Lookup!K:K,MATCH($B124,Points_Lookup!$J:$J,0)),IF(AND(OR($B$4="Clinical Lecturer / Medical Research Fellow",$B$4="Clinical Consultant - Old Contract (GP)"),$B124&lt;&gt;""),INDEX(Points_Lookup!H:H,MATCH($B124,Points_Lookup!$G:$G,0)),IF(AND(OR($B$4="APM Level 7",$B$4="R&amp;T Level 7",$B$4="APM Level 8"),B124&lt;&gt;""),INDEX(Points_Lookup!E:E,MATCH($Z124,Points_Lookup!$AE:$AE,0)),IF($B$4="R&amp;T Level 5 - Clinical Lecturers (Vet School)",SUMIF(Points_Lookup!$M:$M,$B124,Points_Lookup!$P:$P),IF($B$4="R&amp;T Level 6 - Clinical Associate Professors and Clinical Readers (Vet School)",SUMIF(Points_Lookup!$T:$T,$B124,Points_Lookup!$W:$W),IFERROR(INDEX(Points_Lookup!B:B,MATCH($Z124,Points_Lookup!$AE:$AE,0)),""))))))))</f>
        <v/>
      </c>
      <c r="D124" s="45"/>
      <c r="E124" s="27" t="str">
        <f ca="1">IF($B124="","",IF($B$4="Apprenticeship","-",SUM(IF(SUM(C124/12)&lt;Thresholds_Rates!$C$7,(SUM(C124/12)-Thresholds_Rates!$C$5)*Thresholds_Rates!$C$9,(Thresholds_Rates!$C$7-Thresholds_Rates!$C$5)*Thresholds_Rates!$C$9),IF(SUM(C124/12)&gt;Thresholds_Rates!$C$7,((SUM(C124/12)-Thresholds_Rates!$C$7)*Thresholds_Rates!$C$10),0),SUM(Thresholds_Rates!$C$5-Thresholds_Rates!$C$4)*-Thresholds_Rates!$C$8)*12))</f>
        <v/>
      </c>
      <c r="F124" s="27" t="str">
        <f ca="1">IF($B124="","",IF(AND($B$4="Salary Points 1 to 57",B124&lt;$AA$2),"-",IF(SUMIF(Grades!$A:$A,$B$4,Grades!BO:BO)=0,"-",IF(AND($B$4="Salary Points 1 to 57",B124&gt;=$AA$2),$C124*$AD$1,IF(AND(OR($B$4="New Consultant Contract"),$B124&lt;&gt;""),$C124*$AD$1,IF(AND(OR($B$4="Clinical Lecturer / Medical Research Fellow",$B$4="Clinical Consultant - Old Contract (GP)"),$B124&lt;&gt;""),$C124*$AD$1,IF(AND(OR($B$4="APM Level 7",$B$4="R&amp;T Level 7"),E124&lt;&gt;""),$C124*$AD$1,IF(SUMIF(Grades!$A:$A,$B$4,Grades!BO:BO)=1,$C124*$AD$1,""))))))))</f>
        <v/>
      </c>
      <c r="G124" s="27" t="str">
        <f ca="1">IF(B124="","",IF($B$4="Salary Points 1 to 57","-",IF(SUMIF(Grades!$A:$A,$B$4,Grades!BP:BP)=0,"-",IF(AND(OR($B$4="New Consultant Contract"),$B124&lt;&gt;""),$C124*$AD$2,IF(AND(OR($B$4="Clinical Lecturer / Medical Research Fellow",$B$4="Clinical Consultant - Old Contract (GP)"),$B124&lt;&gt;""),$C124*$AD$2,IF(AND(OR($B$4="APM Level 7",$B$4="R&amp;T Level 7"),F124&lt;&gt;""),$C124*$AD$2,IF(SUMIF(Grades!$A:$A,$B$4,Grades!BP:BP)=1,$C124*$AD$2,"")))))))</f>
        <v/>
      </c>
      <c r="H124" s="27" t="str">
        <f ca="1">IF(B124="","",IF(SUMIF(Grades!$A:$A,$B$4,Grades!BQ:BQ)=0,"-",IF(AND($B$4="Salary Points 1 to 57",B124&gt;$AA$3),"-",IF(AND($B$4="Salary Points 1 to 57",B124&lt;=$AA$3),$C124*$AD$3,IF(AND(OR($B$4="New Consultant Contract"),$B124&lt;&gt;""),$C124*$AD$3,IF(AND(OR($B$4="Clinical Lecturer / Medical Research Fellow",$B$4="Clinical Consultant - Old Contract (GP)"),$B124&lt;&gt;""),$C124*$AD$3,IF(AND(OR($B$4="APM Level 7",$B$4="R&amp;T Level 7"),G124&lt;&gt;""),$C124*$AD$3,IF(SUMIF(Grades!$A:$A,$B$4,Grades!BQ:BQ)=1,$C124*$AD$3,""))))))))</f>
        <v/>
      </c>
      <c r="I124" s="27"/>
      <c r="J124" s="27"/>
      <c r="K124" s="6"/>
      <c r="L124" s="27"/>
      <c r="M124" s="27"/>
      <c r="N124" s="27"/>
      <c r="O124" s="27"/>
      <c r="P124" s="27"/>
      <c r="R124" s="31"/>
      <c r="S124" s="32"/>
      <c r="T124" s="31"/>
      <c r="U124" s="32"/>
    </row>
    <row r="125" spans="2:21" x14ac:dyDescent="0.25">
      <c r="B125" s="6" t="str">
        <f ca="1">IFERROR(INDEX(Points_Lookup!A:A,MATCH($Z127,Points_Lookup!$AE:$AE,0)),"")</f>
        <v/>
      </c>
      <c r="C125" s="27" t="str">
        <f ca="1">IF(B125="","",IF($B$4="Apprenticeship",SUMIF(Points_Lookup!AA:AA,B125,Points_Lookup!AC:AC),IF(AND(OR($B$4="New Consultant Contract"),$B125&lt;&gt;""),INDEX(Points_Lookup!K:K,MATCH($B125,Points_Lookup!$J:$J,0)),IF(AND(OR($B$4="Clinical Lecturer / Medical Research Fellow",$B$4="Clinical Consultant - Old Contract (GP)"),$B125&lt;&gt;""),INDEX(Points_Lookup!H:H,MATCH($B125,Points_Lookup!$G:$G,0)),IF(AND(OR($B$4="APM Level 7",$B$4="R&amp;T Level 7",$B$4="APM Level 8"),B125&lt;&gt;""),INDEX(Points_Lookup!E:E,MATCH($Z125,Points_Lookup!$AE:$AE,0)),IF($B$4="R&amp;T Level 5 - Clinical Lecturers (Vet School)",SUMIF(Points_Lookup!$M:$M,$B125,Points_Lookup!$P:$P),IF($B$4="R&amp;T Level 6 - Clinical Associate Professors and Clinical Readers (Vet School)",SUMIF(Points_Lookup!$T:$T,$B125,Points_Lookup!$W:$W),IFERROR(INDEX(Points_Lookup!B:B,MATCH($Z125,Points_Lookup!$AE:$AE,0)),""))))))))</f>
        <v/>
      </c>
      <c r="D125" s="45"/>
      <c r="E125" s="27" t="str">
        <f ca="1">IF($B125="","",IF($B$4="Apprenticeship","-",SUM(IF(SUM(C125/12)&lt;Thresholds_Rates!$C$7,(SUM(C125/12)-Thresholds_Rates!$C$5)*Thresholds_Rates!$C$9,(Thresholds_Rates!$C$7-Thresholds_Rates!$C$5)*Thresholds_Rates!$C$9),IF(SUM(C125/12)&gt;Thresholds_Rates!$C$7,((SUM(C125/12)-Thresholds_Rates!$C$7)*Thresholds_Rates!$C$10),0),SUM(Thresholds_Rates!$C$5-Thresholds_Rates!$C$4)*-Thresholds_Rates!$C$8)*12))</f>
        <v/>
      </c>
      <c r="F125" s="27" t="str">
        <f ca="1">IF($B125="","",IF(AND($B$4="Salary Points 1 to 57",B125&lt;$AA$2),"-",IF(SUMIF(Grades!$A:$A,$B$4,Grades!BO:BO)=0,"-",IF(AND($B$4="Salary Points 1 to 57",B125&gt;=$AA$2),$C125*$AD$1,IF(AND(OR($B$4="New Consultant Contract"),$B125&lt;&gt;""),$C125*$AD$1,IF(AND(OR($B$4="Clinical Lecturer / Medical Research Fellow",$B$4="Clinical Consultant - Old Contract (GP)"),$B125&lt;&gt;""),$C125*$AD$1,IF(AND(OR($B$4="APM Level 7",$B$4="R&amp;T Level 7"),E125&lt;&gt;""),$C125*$AD$1,IF(SUMIF(Grades!$A:$A,$B$4,Grades!BO:BO)=1,$C125*$AD$1,""))))))))</f>
        <v/>
      </c>
      <c r="G125" s="27" t="str">
        <f ca="1">IF(B125="","",IF($B$4="Salary Points 1 to 57","-",IF(SUMIF(Grades!$A:$A,$B$4,Grades!BP:BP)=0,"-",IF(AND(OR($B$4="New Consultant Contract"),$B125&lt;&gt;""),$C125*$AD$2,IF(AND(OR($B$4="Clinical Lecturer / Medical Research Fellow",$B$4="Clinical Consultant - Old Contract (GP)"),$B125&lt;&gt;""),$C125*$AD$2,IF(AND(OR($B$4="APM Level 7",$B$4="R&amp;T Level 7"),F125&lt;&gt;""),$C125*$AD$2,IF(SUMIF(Grades!$A:$A,$B$4,Grades!BP:BP)=1,$C125*$AD$2,"")))))))</f>
        <v/>
      </c>
      <c r="H125" s="27" t="str">
        <f ca="1">IF(B125="","",IF(SUMIF(Grades!$A:$A,$B$4,Grades!BQ:BQ)=0,"-",IF(AND($B$4="Salary Points 1 to 57",B125&gt;$AA$3),"-",IF(AND($B$4="Salary Points 1 to 57",B125&lt;=$AA$3),$C125*$AD$3,IF(AND(OR($B$4="New Consultant Contract"),$B125&lt;&gt;""),$C125*$AD$3,IF(AND(OR($B$4="Clinical Lecturer / Medical Research Fellow",$B$4="Clinical Consultant - Old Contract (GP)"),$B125&lt;&gt;""),$C125*$AD$3,IF(AND(OR($B$4="APM Level 7",$B$4="R&amp;T Level 7"),G125&lt;&gt;""),$C125*$AD$3,IF(SUMIF(Grades!$A:$A,$B$4,Grades!BQ:BQ)=1,$C125*$AD$3,""))))))))</f>
        <v/>
      </c>
      <c r="I125" s="27"/>
      <c r="J125" s="27"/>
      <c r="K125" s="6"/>
      <c r="L125" s="27"/>
      <c r="M125" s="27"/>
      <c r="N125" s="27"/>
      <c r="O125" s="27"/>
      <c r="P125" s="27"/>
      <c r="R125" s="31"/>
      <c r="S125" s="32"/>
      <c r="T125" s="31"/>
      <c r="U125" s="32"/>
    </row>
    <row r="126" spans="2:21" x14ac:dyDescent="0.25">
      <c r="B126" s="6" t="str">
        <f ca="1">IFERROR(INDEX(Points_Lookup!A:A,MATCH($Z128,Points_Lookup!$AE:$AE,0)),"")</f>
        <v/>
      </c>
      <c r="C126" s="27" t="str">
        <f ca="1">IF(B126="","",IF($B$4="Apprenticeship",SUMIF(Points_Lookup!AA:AA,B126,Points_Lookup!AC:AC),IF(AND(OR($B$4="New Consultant Contract"),$B126&lt;&gt;""),INDEX(Points_Lookup!K:K,MATCH($B126,Points_Lookup!$J:$J,0)),IF(AND(OR($B$4="Clinical Lecturer / Medical Research Fellow",$B$4="Clinical Consultant - Old Contract (GP)"),$B126&lt;&gt;""),INDEX(Points_Lookup!H:H,MATCH($B126,Points_Lookup!$G:$G,0)),IF(AND(OR($B$4="APM Level 7",$B$4="R&amp;T Level 7",$B$4="APM Level 8"),B126&lt;&gt;""),INDEX(Points_Lookup!E:E,MATCH($Z126,Points_Lookup!$AE:$AE,0)),IF($B$4="R&amp;T Level 5 - Clinical Lecturers (Vet School)",SUMIF(Points_Lookup!$M:$M,$B126,Points_Lookup!$P:$P),IF($B$4="R&amp;T Level 6 - Clinical Associate Professors and Clinical Readers (Vet School)",SUMIF(Points_Lookup!$T:$T,$B126,Points_Lookup!$W:$W),IFERROR(INDEX(Points_Lookup!B:B,MATCH($Z126,Points_Lookup!$AE:$AE,0)),""))))))))</f>
        <v/>
      </c>
      <c r="D126" s="45"/>
      <c r="E126" s="27" t="str">
        <f ca="1">IF($B126="","",IF($B$4="Apprenticeship","-",SUM(IF(SUM(C126/12)&lt;Thresholds_Rates!$C$7,(SUM(C126/12)-Thresholds_Rates!$C$5)*Thresholds_Rates!$C$9,(Thresholds_Rates!$C$7-Thresholds_Rates!$C$5)*Thresholds_Rates!$C$9),IF(SUM(C126/12)&gt;Thresholds_Rates!$C$7,((SUM(C126/12)-Thresholds_Rates!$C$7)*Thresholds_Rates!$C$10),0),SUM(Thresholds_Rates!$C$5-Thresholds_Rates!$C$4)*-Thresholds_Rates!$C$8)*12))</f>
        <v/>
      </c>
      <c r="F126" s="27" t="str">
        <f ca="1">IF($B126="","",IF(AND($B$4="Salary Points 1 to 57",B126&lt;$AA$2),"-",IF(SUMIF(Grades!$A:$A,$B$4,Grades!BO:BO)=0,"-",IF(AND($B$4="Salary Points 1 to 57",B126&gt;=$AA$2),$C126*$AD$1,IF(AND(OR($B$4="New Consultant Contract"),$B126&lt;&gt;""),$C126*$AD$1,IF(AND(OR($B$4="Clinical Lecturer / Medical Research Fellow",$B$4="Clinical Consultant - Old Contract (GP)"),$B126&lt;&gt;""),$C126*$AD$1,IF(AND(OR($B$4="APM Level 7",$B$4="R&amp;T Level 7"),E126&lt;&gt;""),$C126*$AD$1,IF(SUMIF(Grades!$A:$A,$B$4,Grades!BO:BO)=1,$C126*$AD$1,""))))))))</f>
        <v/>
      </c>
      <c r="G126" s="27" t="str">
        <f ca="1">IF(B126="","",IF($B$4="Salary Points 1 to 57","-",IF(SUMIF(Grades!$A:$A,$B$4,Grades!BP:BP)=0,"-",IF(AND(OR($B$4="New Consultant Contract"),$B126&lt;&gt;""),$C126*$AD$2,IF(AND(OR($B$4="Clinical Lecturer / Medical Research Fellow",$B$4="Clinical Consultant - Old Contract (GP)"),$B126&lt;&gt;""),$C126*$AD$2,IF(AND(OR($B$4="APM Level 7",$B$4="R&amp;T Level 7"),F126&lt;&gt;""),$C126*$AD$2,IF(SUMIF(Grades!$A:$A,$B$4,Grades!BP:BP)=1,$C126*$AD$2,"")))))))</f>
        <v/>
      </c>
      <c r="H126" s="27" t="str">
        <f ca="1">IF(B126="","",IF(SUMIF(Grades!$A:$A,$B$4,Grades!BQ:BQ)=0,"-",IF(AND($B$4="Salary Points 1 to 57",B126&gt;$AA$3),"-",IF(AND($B$4="Salary Points 1 to 57",B126&lt;=$AA$3),$C126*$AD$3,IF(AND(OR($B$4="New Consultant Contract"),$B126&lt;&gt;""),$C126*$AD$3,IF(AND(OR($B$4="Clinical Lecturer / Medical Research Fellow",$B$4="Clinical Consultant - Old Contract (GP)"),$B126&lt;&gt;""),$C126*$AD$3,IF(AND(OR($B$4="APM Level 7",$B$4="R&amp;T Level 7"),G126&lt;&gt;""),$C126*$AD$3,IF(SUMIF(Grades!$A:$A,$B$4,Grades!BQ:BQ)=1,$C126*$AD$3,""))))))))</f>
        <v/>
      </c>
      <c r="I126" s="27"/>
      <c r="J126" s="27"/>
      <c r="K126" s="6"/>
      <c r="L126" s="27"/>
      <c r="M126" s="27"/>
      <c r="N126" s="27"/>
      <c r="O126" s="27"/>
      <c r="P126" s="27"/>
      <c r="R126" s="31"/>
      <c r="S126" s="32"/>
      <c r="T126" s="31"/>
      <c r="U126" s="32"/>
    </row>
    <row r="127" spans="2:21" x14ac:dyDescent="0.25">
      <c r="B127" s="6" t="str">
        <f ca="1">IFERROR(INDEX(Points_Lookup!A:A,MATCH($Z129,Points_Lookup!$AE:$AE,0)),"")</f>
        <v/>
      </c>
      <c r="C127" s="27" t="str">
        <f ca="1">IF(B127="","",IF($B$4="Apprenticeship",SUMIF(Points_Lookup!AA:AA,B127,Points_Lookup!AC:AC),IF(AND(OR($B$4="New Consultant Contract"),$B127&lt;&gt;""),INDEX(Points_Lookup!K:K,MATCH($B127,Points_Lookup!$J:$J,0)),IF(AND(OR($B$4="Clinical Lecturer / Medical Research Fellow",$B$4="Clinical Consultant - Old Contract (GP)"),$B127&lt;&gt;""),INDEX(Points_Lookup!H:H,MATCH($B127,Points_Lookup!$G:$G,0)),IF(AND(OR($B$4="APM Level 7",$B$4="R&amp;T Level 7",$B$4="APM Level 8"),B127&lt;&gt;""),INDEX(Points_Lookup!E:E,MATCH($Z127,Points_Lookup!$AE:$AE,0)),IF($B$4="R&amp;T Level 5 - Clinical Lecturers (Vet School)",SUMIF(Points_Lookup!$M:$M,$B127,Points_Lookup!$P:$P),IF($B$4="R&amp;T Level 6 - Clinical Associate Professors and Clinical Readers (Vet School)",SUMIF(Points_Lookup!$T:$T,$B127,Points_Lookup!$W:$W),IFERROR(INDEX(Points_Lookup!B:B,MATCH($Z127,Points_Lookup!$AE:$AE,0)),""))))))))</f>
        <v/>
      </c>
      <c r="D127" s="45"/>
      <c r="E127" s="27" t="str">
        <f ca="1">IF($B127="","",IF($B$4="Apprenticeship","-",SUM(IF(SUM(C127/12)&lt;Thresholds_Rates!$C$7,(SUM(C127/12)-Thresholds_Rates!$C$5)*Thresholds_Rates!$C$9,(Thresholds_Rates!$C$7-Thresholds_Rates!$C$5)*Thresholds_Rates!$C$9),IF(SUM(C127/12)&gt;Thresholds_Rates!$C$7,((SUM(C127/12)-Thresholds_Rates!$C$7)*Thresholds_Rates!$C$10),0),SUM(Thresholds_Rates!$C$5-Thresholds_Rates!$C$4)*-Thresholds_Rates!$C$8)*12))</f>
        <v/>
      </c>
      <c r="F127" s="27" t="str">
        <f ca="1">IF($B127="","",IF(AND($B$4="Salary Points 1 to 57",B127&lt;$AA$2),"-",IF(SUMIF(Grades!$A:$A,$B$4,Grades!BO:BO)=0,"-",IF(AND($B$4="Salary Points 1 to 57",B127&gt;=$AA$2),$C127*$AD$1,IF(AND(OR($B$4="New Consultant Contract"),$B127&lt;&gt;""),$C127*$AD$1,IF(AND(OR($B$4="Clinical Lecturer / Medical Research Fellow",$B$4="Clinical Consultant - Old Contract (GP)"),$B127&lt;&gt;""),$C127*$AD$1,IF(AND(OR($B$4="APM Level 7",$B$4="R&amp;T Level 7"),E127&lt;&gt;""),$C127*$AD$1,IF(SUMIF(Grades!$A:$A,$B$4,Grades!BO:BO)=1,$C127*$AD$1,""))))))))</f>
        <v/>
      </c>
      <c r="G127" s="27" t="str">
        <f ca="1">IF(B127="","",IF($B$4="Salary Points 1 to 57","-",IF(SUMIF(Grades!$A:$A,$B$4,Grades!BP:BP)=0,"-",IF(AND(OR($B$4="New Consultant Contract"),$B127&lt;&gt;""),$C127*$AD$2,IF(AND(OR($B$4="Clinical Lecturer / Medical Research Fellow",$B$4="Clinical Consultant - Old Contract (GP)"),$B127&lt;&gt;""),$C127*$AD$2,IF(AND(OR($B$4="APM Level 7",$B$4="R&amp;T Level 7"),F127&lt;&gt;""),$C127*$AD$2,IF(SUMIF(Grades!$A:$A,$B$4,Grades!BP:BP)=1,$C127*$AD$2,"")))))))</f>
        <v/>
      </c>
      <c r="H127" s="27" t="str">
        <f ca="1">IF(B127="","",IF(SUMIF(Grades!$A:$A,$B$4,Grades!BQ:BQ)=0,"-",IF(AND($B$4="Salary Points 1 to 57",B127&gt;$AA$3),"-",IF(AND($B$4="Salary Points 1 to 57",B127&lt;=$AA$3),$C127*$AD$3,IF(AND(OR($B$4="New Consultant Contract"),$B127&lt;&gt;""),$C127*$AD$3,IF(AND(OR($B$4="Clinical Lecturer / Medical Research Fellow",$B$4="Clinical Consultant - Old Contract (GP)"),$B127&lt;&gt;""),$C127*$AD$3,IF(AND(OR($B$4="APM Level 7",$B$4="R&amp;T Level 7"),G127&lt;&gt;""),$C127*$AD$3,IF(SUMIF(Grades!$A:$A,$B$4,Grades!BQ:BQ)=1,$C127*$AD$3,""))))))))</f>
        <v/>
      </c>
      <c r="I127" s="27"/>
      <c r="J127" s="27"/>
      <c r="K127" s="6"/>
      <c r="L127" s="27"/>
      <c r="M127" s="27"/>
      <c r="N127" s="27"/>
      <c r="O127" s="27"/>
      <c r="P127" s="27"/>
      <c r="R127" s="31"/>
      <c r="S127" s="32"/>
      <c r="T127" s="31"/>
      <c r="U127" s="32"/>
    </row>
    <row r="128" spans="2:21" x14ac:dyDescent="0.25">
      <c r="B128" s="6" t="str">
        <f ca="1">IFERROR(INDEX(Points_Lookup!A:A,MATCH($Z130,Points_Lookup!$AE:$AE,0)),"")</f>
        <v/>
      </c>
      <c r="C128" s="27" t="str">
        <f ca="1">IF(B128="","",IF($B$4="Apprenticeship",SUMIF(Points_Lookup!AA:AA,B128,Points_Lookup!AC:AC),IF(AND(OR($B$4="New Consultant Contract"),$B128&lt;&gt;""),INDEX(Points_Lookup!K:K,MATCH($B128,Points_Lookup!$J:$J,0)),IF(AND(OR($B$4="Clinical Lecturer / Medical Research Fellow",$B$4="Clinical Consultant - Old Contract (GP)"),$B128&lt;&gt;""),INDEX(Points_Lookup!H:H,MATCH($B128,Points_Lookup!$G:$G,0)),IF(AND(OR($B$4="APM Level 7",$B$4="R&amp;T Level 7",$B$4="APM Level 8"),B128&lt;&gt;""),INDEX(Points_Lookup!E:E,MATCH($Z128,Points_Lookup!$AE:$AE,0)),IF($B$4="R&amp;T Level 5 - Clinical Lecturers (Vet School)",SUMIF(Points_Lookup!$M:$M,$B128,Points_Lookup!$P:$P),IF($B$4="R&amp;T Level 6 - Clinical Associate Professors and Clinical Readers (Vet School)",SUMIF(Points_Lookup!$T:$T,$B128,Points_Lookup!$W:$W),IFERROR(INDEX(Points_Lookup!B:B,MATCH($Z128,Points_Lookup!$AE:$AE,0)),""))))))))</f>
        <v/>
      </c>
      <c r="D128" s="45"/>
      <c r="E128" s="27" t="str">
        <f ca="1">IF($B128="","",IF($B$4="Apprenticeship","-",SUM(IF(SUM(C128/12)&lt;Thresholds_Rates!$C$7,(SUM(C128/12)-Thresholds_Rates!$C$5)*Thresholds_Rates!$C$9,(Thresholds_Rates!$C$7-Thresholds_Rates!$C$5)*Thresholds_Rates!$C$9),IF(SUM(C128/12)&gt;Thresholds_Rates!$C$7,((SUM(C128/12)-Thresholds_Rates!$C$7)*Thresholds_Rates!$C$10),0),SUM(Thresholds_Rates!$C$5-Thresholds_Rates!$C$4)*-Thresholds_Rates!$C$8)*12))</f>
        <v/>
      </c>
      <c r="F128" s="27" t="str">
        <f ca="1">IF($B128="","",IF(AND($B$4="Salary Points 1 to 57",B128&lt;$AA$2),"-",IF(SUMIF(Grades!$A:$A,$B$4,Grades!BO:BO)=0,"-",IF(AND($B$4="Salary Points 1 to 57",B128&gt;=$AA$2),$C128*$AD$1,IF(AND(OR($B$4="New Consultant Contract"),$B128&lt;&gt;""),$C128*$AD$1,IF(AND(OR($B$4="Clinical Lecturer / Medical Research Fellow",$B$4="Clinical Consultant - Old Contract (GP)"),$B128&lt;&gt;""),$C128*$AD$1,IF(AND(OR($B$4="APM Level 7",$B$4="R&amp;T Level 7"),E128&lt;&gt;""),$C128*$AD$1,IF(SUMIF(Grades!$A:$A,$B$4,Grades!BO:BO)=1,$C128*$AD$1,""))))))))</f>
        <v/>
      </c>
      <c r="G128" s="27" t="str">
        <f ca="1">IF(B128="","",IF($B$4="Salary Points 1 to 57","-",IF(SUMIF(Grades!$A:$A,$B$4,Grades!BP:BP)=0,"-",IF(AND(OR($B$4="New Consultant Contract"),$B128&lt;&gt;""),$C128*$AD$2,IF(AND(OR($B$4="Clinical Lecturer / Medical Research Fellow",$B$4="Clinical Consultant - Old Contract (GP)"),$B128&lt;&gt;""),$C128*$AD$2,IF(AND(OR($B$4="APM Level 7",$B$4="R&amp;T Level 7"),F128&lt;&gt;""),$C128*$AD$2,IF(SUMIF(Grades!$A:$A,$B$4,Grades!BP:BP)=1,$C128*$AD$2,"")))))))</f>
        <v/>
      </c>
      <c r="H128" s="27" t="str">
        <f ca="1">IF(B128="","",IF(SUMIF(Grades!$A:$A,$B$4,Grades!BQ:BQ)=0,"-",IF(AND($B$4="Salary Points 1 to 57",B128&gt;$AA$3),"-",IF(AND($B$4="Salary Points 1 to 57",B128&lt;=$AA$3),$C128*$AD$3,IF(AND(OR($B$4="New Consultant Contract"),$B128&lt;&gt;""),$C128*$AD$3,IF(AND(OR($B$4="Clinical Lecturer / Medical Research Fellow",$B$4="Clinical Consultant - Old Contract (GP)"),$B128&lt;&gt;""),$C128*$AD$3,IF(AND(OR($B$4="APM Level 7",$B$4="R&amp;T Level 7"),G128&lt;&gt;""),$C128*$AD$3,IF(SUMIF(Grades!$A:$A,$B$4,Grades!BQ:BQ)=1,$C128*$AD$3,""))))))))</f>
        <v/>
      </c>
      <c r="I128" s="27"/>
      <c r="J128" s="27"/>
      <c r="K128" s="6"/>
      <c r="L128" s="27"/>
      <c r="M128" s="27"/>
      <c r="N128" s="27"/>
      <c r="O128" s="27"/>
      <c r="P128" s="27"/>
      <c r="R128" s="31"/>
      <c r="S128" s="32"/>
      <c r="T128" s="31"/>
      <c r="U128" s="32"/>
    </row>
    <row r="129" spans="2:21" x14ac:dyDescent="0.25">
      <c r="B129" s="6" t="str">
        <f ca="1">IFERROR(INDEX(Points_Lookup!A:A,MATCH($Z131,Points_Lookup!$AE:$AE,0)),"")</f>
        <v/>
      </c>
      <c r="C129" s="27" t="str">
        <f ca="1">IF(B129="","",IF($B$4="Apprenticeship",SUMIF(Points_Lookup!AA:AA,B129,Points_Lookup!AC:AC),IF(AND(OR($B$4="New Consultant Contract"),$B129&lt;&gt;""),INDEX(Points_Lookup!K:K,MATCH($B129,Points_Lookup!$J:$J,0)),IF(AND(OR($B$4="Clinical Lecturer / Medical Research Fellow",$B$4="Clinical Consultant - Old Contract (GP)"),$B129&lt;&gt;""),INDEX(Points_Lookup!H:H,MATCH($B129,Points_Lookup!$G:$G,0)),IF(AND(OR($B$4="APM Level 7",$B$4="R&amp;T Level 7",$B$4="APM Level 8"),B129&lt;&gt;""),INDEX(Points_Lookup!E:E,MATCH($Z129,Points_Lookup!$AE:$AE,0)),IF($B$4="R&amp;T Level 5 - Clinical Lecturers (Vet School)",SUMIF(Points_Lookup!$M:$M,$B129,Points_Lookup!$P:$P),IF($B$4="R&amp;T Level 6 - Clinical Associate Professors and Clinical Readers (Vet School)",SUMIF(Points_Lookup!$T:$T,$B129,Points_Lookup!$W:$W),IFERROR(INDEX(Points_Lookup!B:B,MATCH($Z129,Points_Lookup!$AE:$AE,0)),""))))))))</f>
        <v/>
      </c>
      <c r="D129" s="45"/>
      <c r="E129" s="27" t="str">
        <f ca="1">IF($B129="","",IF($B$4="Apprenticeship","-",SUM(IF(SUM(C129/12)&lt;Thresholds_Rates!$C$7,(SUM(C129/12)-Thresholds_Rates!$C$5)*Thresholds_Rates!$C$9,(Thresholds_Rates!$C$7-Thresholds_Rates!$C$5)*Thresholds_Rates!$C$9),IF(SUM(C129/12)&gt;Thresholds_Rates!$C$7,((SUM(C129/12)-Thresholds_Rates!$C$7)*Thresholds_Rates!$C$10),0),SUM(Thresholds_Rates!$C$5-Thresholds_Rates!$C$4)*-Thresholds_Rates!$C$8)*12))</f>
        <v/>
      </c>
      <c r="F129" s="27" t="str">
        <f ca="1">IF($B129="","",IF(AND($B$4="Salary Points 1 to 57",B129&lt;$AA$2),"-",IF(SUMIF(Grades!$A:$A,$B$4,Grades!BO:BO)=0,"-",IF(AND($B$4="Salary Points 1 to 57",B129&gt;=$AA$2),$C129*$AD$1,IF(AND(OR($B$4="New Consultant Contract"),$B129&lt;&gt;""),$C129*$AD$1,IF(AND(OR($B$4="Clinical Lecturer / Medical Research Fellow",$B$4="Clinical Consultant - Old Contract (GP)"),$B129&lt;&gt;""),$C129*$AD$1,IF(AND(OR($B$4="APM Level 7",$B$4="R&amp;T Level 7"),E129&lt;&gt;""),$C129*$AD$1,IF(SUMIF(Grades!$A:$A,$B$4,Grades!BO:BO)=1,$C129*$AD$1,""))))))))</f>
        <v/>
      </c>
      <c r="G129" s="27" t="str">
        <f ca="1">IF(B129="","",IF($B$4="Salary Points 1 to 57","-",IF(SUMIF(Grades!$A:$A,$B$4,Grades!BP:BP)=0,"-",IF(AND(OR($B$4="New Consultant Contract"),$B129&lt;&gt;""),$C129*$AD$2,IF(AND(OR($B$4="Clinical Lecturer / Medical Research Fellow",$B$4="Clinical Consultant - Old Contract (GP)"),$B129&lt;&gt;""),$C129*$AD$2,IF(AND(OR($B$4="APM Level 7",$B$4="R&amp;T Level 7"),F129&lt;&gt;""),$C129*$AD$2,IF(SUMIF(Grades!$A:$A,$B$4,Grades!BP:BP)=1,$C129*$AD$2,"")))))))</f>
        <v/>
      </c>
      <c r="H129" s="27" t="str">
        <f ca="1">IF(B129="","",IF(SUMIF(Grades!$A:$A,$B$4,Grades!BQ:BQ)=0,"-",IF(AND($B$4="Salary Points 1 to 57",B129&gt;$AA$3),"-",IF(AND($B$4="Salary Points 1 to 57",B129&lt;=$AA$3),$C129*$AD$3,IF(AND(OR($B$4="New Consultant Contract"),$B129&lt;&gt;""),$C129*$AD$3,IF(AND(OR($B$4="Clinical Lecturer / Medical Research Fellow",$B$4="Clinical Consultant - Old Contract (GP)"),$B129&lt;&gt;""),$C129*$AD$3,IF(AND(OR($B$4="APM Level 7",$B$4="R&amp;T Level 7"),G129&lt;&gt;""),$C129*$AD$3,IF(SUMIF(Grades!$A:$A,$B$4,Grades!BQ:BQ)=1,$C129*$AD$3,""))))))))</f>
        <v/>
      </c>
      <c r="I129" s="27"/>
      <c r="J129" s="27"/>
      <c r="K129" s="6"/>
      <c r="L129" s="27"/>
      <c r="M129" s="27"/>
      <c r="N129" s="27"/>
      <c r="O129" s="27"/>
      <c r="P129" s="27"/>
      <c r="R129" s="31"/>
      <c r="S129" s="32"/>
      <c r="T129" s="31"/>
      <c r="U129" s="32"/>
    </row>
    <row r="130" spans="2:21" x14ac:dyDescent="0.25">
      <c r="B130" s="6" t="str">
        <f ca="1">IFERROR(INDEX(Points_Lookup!A:A,MATCH($Z132,Points_Lookup!$AE:$AE,0)),"")</f>
        <v/>
      </c>
      <c r="C130" s="27" t="str">
        <f ca="1">IF(B130="","",IF($B$4="Apprenticeship",SUMIF(Points_Lookup!AA:AA,B130,Points_Lookup!AC:AC),IF(AND(OR($B$4="New Consultant Contract"),$B130&lt;&gt;""),INDEX(Points_Lookup!K:K,MATCH($B130,Points_Lookup!$J:$J,0)),IF(AND(OR($B$4="Clinical Lecturer / Medical Research Fellow",$B$4="Clinical Consultant - Old Contract (GP)"),$B130&lt;&gt;""),INDEX(Points_Lookup!H:H,MATCH($B130,Points_Lookup!$G:$G,0)),IF(AND(OR($B$4="APM Level 7",$B$4="R&amp;T Level 7",$B$4="APM Level 8"),B130&lt;&gt;""),INDEX(Points_Lookup!E:E,MATCH($Z130,Points_Lookup!$AE:$AE,0)),IF($B$4="R&amp;T Level 5 - Clinical Lecturers (Vet School)",SUMIF(Points_Lookup!$M:$M,$B130,Points_Lookup!$P:$P),IF($B$4="R&amp;T Level 6 - Clinical Associate Professors and Clinical Readers (Vet School)",SUMIF(Points_Lookup!$T:$T,$B130,Points_Lookup!$W:$W),IFERROR(INDEX(Points_Lookup!B:B,MATCH($Z130,Points_Lookup!$AE:$AE,0)),""))))))))</f>
        <v/>
      </c>
      <c r="D130" s="45"/>
      <c r="E130" s="27" t="str">
        <f ca="1">IF($B130="","",IF($B$4="Apprenticeship","-",SUM(IF(SUM(C130/12)&lt;Thresholds_Rates!$C$7,(SUM(C130/12)-Thresholds_Rates!$C$5)*Thresholds_Rates!$C$9,(Thresholds_Rates!$C$7-Thresholds_Rates!$C$5)*Thresholds_Rates!$C$9),IF(SUM(C130/12)&gt;Thresholds_Rates!$C$7,((SUM(C130/12)-Thresholds_Rates!$C$7)*Thresholds_Rates!$C$10),0),SUM(Thresholds_Rates!$C$5-Thresholds_Rates!$C$4)*-Thresholds_Rates!$C$8)*12))</f>
        <v/>
      </c>
      <c r="F130" s="27" t="str">
        <f ca="1">IF($B130="","",IF(AND($B$4="Salary Points 1 to 57",B130&lt;$AA$2),"-",IF(SUMIF(Grades!$A:$A,$B$4,Grades!BO:BO)=0,"-",IF(AND($B$4="Salary Points 1 to 57",B130&gt;=$AA$2),$C130*$AD$1,IF(AND(OR($B$4="New Consultant Contract"),$B130&lt;&gt;""),$C130*$AD$1,IF(AND(OR($B$4="Clinical Lecturer / Medical Research Fellow",$B$4="Clinical Consultant - Old Contract (GP)"),$B130&lt;&gt;""),$C130*$AD$1,IF(AND(OR($B$4="APM Level 7",$B$4="R&amp;T Level 7"),E130&lt;&gt;""),$C130*$AD$1,IF(SUMIF(Grades!$A:$A,$B$4,Grades!BO:BO)=1,$C130*$AD$1,""))))))))</f>
        <v/>
      </c>
      <c r="G130" s="27" t="str">
        <f ca="1">IF(B130="","",IF($B$4="Salary Points 1 to 57","-",IF(SUMIF(Grades!$A:$A,$B$4,Grades!BP:BP)=0,"-",IF(AND(OR($B$4="New Consultant Contract"),$B130&lt;&gt;""),$C130*$AD$2,IF(AND(OR($B$4="Clinical Lecturer / Medical Research Fellow",$B$4="Clinical Consultant - Old Contract (GP)"),$B130&lt;&gt;""),$C130*$AD$2,IF(AND(OR($B$4="APM Level 7",$B$4="R&amp;T Level 7"),F130&lt;&gt;""),$C130*$AD$2,IF(SUMIF(Grades!$A:$A,$B$4,Grades!BP:BP)=1,$C130*$AD$2,"")))))))</f>
        <v/>
      </c>
      <c r="H130" s="27" t="str">
        <f ca="1">IF(B130="","",IF(SUMIF(Grades!$A:$A,$B$4,Grades!BQ:BQ)=0,"-",IF(AND($B$4="Salary Points 1 to 57",B130&gt;$AA$3),"-",IF(AND($B$4="Salary Points 1 to 57",B130&lt;=$AA$3),$C130*$AD$3,IF(AND(OR($B$4="New Consultant Contract"),$B130&lt;&gt;""),$C130*$AD$3,IF(AND(OR($B$4="Clinical Lecturer / Medical Research Fellow",$B$4="Clinical Consultant - Old Contract (GP)"),$B130&lt;&gt;""),$C130*$AD$3,IF(AND(OR($B$4="APM Level 7",$B$4="R&amp;T Level 7"),G130&lt;&gt;""),$C130*$AD$3,IF(SUMIF(Grades!$A:$A,$B$4,Grades!BQ:BQ)=1,$C130*$AD$3,""))))))))</f>
        <v/>
      </c>
      <c r="I130" s="27"/>
      <c r="J130" s="27"/>
      <c r="K130" s="6"/>
      <c r="L130" s="27"/>
      <c r="M130" s="27"/>
      <c r="N130" s="27"/>
      <c r="O130" s="27"/>
      <c r="P130" s="27"/>
      <c r="R130" s="31"/>
      <c r="S130" s="32"/>
      <c r="T130" s="31"/>
      <c r="U130" s="32"/>
    </row>
    <row r="131" spans="2:21" x14ac:dyDescent="0.25">
      <c r="B131" s="6" t="str">
        <f ca="1">IFERROR(INDEX(Points_Lookup!A:A,MATCH($Z133,Points_Lookup!$AE:$AE,0)),"")</f>
        <v/>
      </c>
      <c r="C131" s="27" t="str">
        <f ca="1">IF(B131="","",IF($B$4="Apprenticeship",SUMIF(Points_Lookup!AA:AA,B131,Points_Lookup!AC:AC),IF(AND(OR($B$4="New Consultant Contract"),$B131&lt;&gt;""),INDEX(Points_Lookup!K:K,MATCH($B131,Points_Lookup!$J:$J,0)),IF(AND(OR($B$4="Clinical Lecturer / Medical Research Fellow",$B$4="Clinical Consultant - Old Contract (GP)"),$B131&lt;&gt;""),INDEX(Points_Lookup!H:H,MATCH($B131,Points_Lookup!$G:$G,0)),IF(AND(OR($B$4="APM Level 7",$B$4="R&amp;T Level 7",$B$4="APM Level 8"),B131&lt;&gt;""),INDEX(Points_Lookup!E:E,MATCH($Z131,Points_Lookup!$AE:$AE,0)),IF($B$4="R&amp;T Level 5 - Clinical Lecturers (Vet School)",SUMIF(Points_Lookup!$M:$M,$B131,Points_Lookup!$P:$P),IF($B$4="R&amp;T Level 6 - Clinical Associate Professors and Clinical Readers (Vet School)",SUMIF(Points_Lookup!$T:$T,$B131,Points_Lookup!$W:$W),IFERROR(INDEX(Points_Lookup!B:B,MATCH($Z131,Points_Lookup!$AE:$AE,0)),""))))))))</f>
        <v/>
      </c>
      <c r="D131" s="45"/>
      <c r="E131" s="27" t="str">
        <f ca="1">IF($B131="","",IF($B$4="Apprenticeship","-",SUM(IF(SUM(C131/12)&lt;Thresholds_Rates!$C$7,(SUM(C131/12)-Thresholds_Rates!$C$5)*Thresholds_Rates!$C$9,(Thresholds_Rates!$C$7-Thresholds_Rates!$C$5)*Thresholds_Rates!$C$9),IF(SUM(C131/12)&gt;Thresholds_Rates!$C$7,((SUM(C131/12)-Thresholds_Rates!$C$7)*Thresholds_Rates!$C$10),0),SUM(Thresholds_Rates!$C$5-Thresholds_Rates!$C$4)*-Thresholds_Rates!$C$8)*12))</f>
        <v/>
      </c>
      <c r="F131" s="27" t="str">
        <f ca="1">IF($B131="","",IF(AND($B$4="Salary Points 1 to 57",B131&lt;$AA$2),"-",IF(SUMIF(Grades!$A:$A,$B$4,Grades!BO:BO)=0,"-",IF(AND($B$4="Salary Points 1 to 57",B131&gt;=$AA$2),$C131*$AD$1,IF(AND(OR($B$4="New Consultant Contract"),$B131&lt;&gt;""),$C131*$AD$1,IF(AND(OR($B$4="Clinical Lecturer / Medical Research Fellow",$B$4="Clinical Consultant - Old Contract (GP)"),$B131&lt;&gt;""),$C131*$AD$1,IF(AND(OR($B$4="APM Level 7",$B$4="R&amp;T Level 7"),E131&lt;&gt;""),$C131*$AD$1,IF(SUMIF(Grades!$A:$A,$B$4,Grades!BO:BO)=1,$C131*$AD$1,""))))))))</f>
        <v/>
      </c>
      <c r="G131" s="27" t="str">
        <f ca="1">IF(B131="","",IF($B$4="Salary Points 1 to 57","-",IF(SUMIF(Grades!$A:$A,$B$4,Grades!BP:BP)=0,"-",IF(AND(OR($B$4="New Consultant Contract"),$B131&lt;&gt;""),$C131*$AD$2,IF(AND(OR($B$4="Clinical Lecturer / Medical Research Fellow",$B$4="Clinical Consultant - Old Contract (GP)"),$B131&lt;&gt;""),$C131*$AD$2,IF(AND(OR($B$4="APM Level 7",$B$4="R&amp;T Level 7"),F131&lt;&gt;""),$C131*$AD$2,IF(SUMIF(Grades!$A:$A,$B$4,Grades!BP:BP)=1,$C131*$AD$2,"")))))))</f>
        <v/>
      </c>
      <c r="H131" s="27" t="str">
        <f ca="1">IF(B131="","",IF(SUMIF(Grades!$A:$A,$B$4,Grades!BQ:BQ)=0,"-",IF(AND($B$4="Salary Points 1 to 57",B131&gt;$AA$3),"-",IF(AND($B$4="Salary Points 1 to 57",B131&lt;=$AA$3),$C131*$AD$3,IF(AND(OR($B$4="New Consultant Contract"),$B131&lt;&gt;""),$C131*$AD$3,IF(AND(OR($B$4="Clinical Lecturer / Medical Research Fellow",$B$4="Clinical Consultant - Old Contract (GP)"),$B131&lt;&gt;""),$C131*$AD$3,IF(AND(OR($B$4="APM Level 7",$B$4="R&amp;T Level 7"),G131&lt;&gt;""),$C131*$AD$3,IF(SUMIF(Grades!$A:$A,$B$4,Grades!BQ:BQ)=1,$C131*$AD$3,""))))))))</f>
        <v/>
      </c>
      <c r="I131" s="27"/>
      <c r="J131" s="27"/>
      <c r="K131" s="6"/>
      <c r="L131" s="27"/>
      <c r="M131" s="27"/>
      <c r="N131" s="27"/>
      <c r="O131" s="27"/>
      <c r="P131" s="27"/>
      <c r="R131" s="31"/>
      <c r="S131" s="32"/>
      <c r="T131" s="31"/>
      <c r="U131" s="32"/>
    </row>
    <row r="132" spans="2:21" x14ac:dyDescent="0.25">
      <c r="B132" s="6" t="str">
        <f ca="1">IFERROR(INDEX(Points_Lookup!A:A,MATCH($Z134,Points_Lookup!$AE:$AE,0)),"")</f>
        <v/>
      </c>
      <c r="C132" s="27" t="str">
        <f ca="1">IF(B132="","",IF($B$4="Apprenticeship",SUMIF(Points_Lookup!AA:AA,B132,Points_Lookup!AC:AC),IF(AND(OR($B$4="New Consultant Contract"),$B132&lt;&gt;""),INDEX(Points_Lookup!K:K,MATCH($B132,Points_Lookup!$J:$J,0)),IF(AND(OR($B$4="Clinical Lecturer / Medical Research Fellow",$B$4="Clinical Consultant - Old Contract (GP)"),$B132&lt;&gt;""),INDEX(Points_Lookup!H:H,MATCH($B132,Points_Lookup!$G:$G,0)),IF(AND(OR($B$4="APM Level 7",$B$4="R&amp;T Level 7",$B$4="APM Level 8"),B132&lt;&gt;""),INDEX(Points_Lookup!E:E,MATCH($Z132,Points_Lookup!$AE:$AE,0)),IF($B$4="R&amp;T Level 5 - Clinical Lecturers (Vet School)",SUMIF(Points_Lookup!$M:$M,$B132,Points_Lookup!$P:$P),IF($B$4="R&amp;T Level 6 - Clinical Associate Professors and Clinical Readers (Vet School)",SUMIF(Points_Lookup!$T:$T,$B132,Points_Lookup!$W:$W),IFERROR(INDEX(Points_Lookup!B:B,MATCH($Z132,Points_Lookup!$AE:$AE,0)),""))))))))</f>
        <v/>
      </c>
      <c r="D132" s="45"/>
      <c r="E132" s="27" t="str">
        <f ca="1">IF($B132="","",IF($B$4="Apprenticeship","-",SUM(IF(SUM(C132/12)&lt;Thresholds_Rates!$C$7,(SUM(C132/12)-Thresholds_Rates!$C$5)*Thresholds_Rates!$C$9,(Thresholds_Rates!$C$7-Thresholds_Rates!$C$5)*Thresholds_Rates!$C$9),IF(SUM(C132/12)&gt;Thresholds_Rates!$C$7,((SUM(C132/12)-Thresholds_Rates!$C$7)*Thresholds_Rates!$C$10),0),SUM(Thresholds_Rates!$C$5-Thresholds_Rates!$C$4)*-Thresholds_Rates!$C$8)*12))</f>
        <v/>
      </c>
      <c r="F132" s="27" t="str">
        <f ca="1">IF($B132="","",IF(AND($B$4="Salary Points 1 to 57",B132&lt;$AA$2),"-",IF(SUMIF(Grades!$A:$A,$B$4,Grades!BO:BO)=0,"-",IF(AND($B$4="Salary Points 1 to 57",B132&gt;=$AA$2),$C132*$AD$1,IF(AND(OR($B$4="New Consultant Contract"),$B132&lt;&gt;""),$C132*$AD$1,IF(AND(OR($B$4="Clinical Lecturer / Medical Research Fellow",$B$4="Clinical Consultant - Old Contract (GP)"),$B132&lt;&gt;""),$C132*$AD$1,IF(AND(OR($B$4="APM Level 7",$B$4="R&amp;T Level 7"),E132&lt;&gt;""),$C132*$AD$1,IF(SUMIF(Grades!$A:$A,$B$4,Grades!BO:BO)=1,$C132*$AD$1,""))))))))</f>
        <v/>
      </c>
      <c r="G132" s="27" t="str">
        <f ca="1">IF(B132="","",IF($B$4="Salary Points 1 to 57","-",IF(SUMIF(Grades!$A:$A,$B$4,Grades!BP:BP)=0,"-",IF(AND(OR($B$4="New Consultant Contract"),$B132&lt;&gt;""),$C132*$AD$2,IF(AND(OR($B$4="Clinical Lecturer / Medical Research Fellow",$B$4="Clinical Consultant - Old Contract (GP)"),$B132&lt;&gt;""),$C132*$AD$2,IF(AND(OR($B$4="APM Level 7",$B$4="R&amp;T Level 7"),F132&lt;&gt;""),$C132*$AD$2,IF(SUMIF(Grades!$A:$A,$B$4,Grades!BP:BP)=1,$C132*$AD$2,"")))))))</f>
        <v/>
      </c>
      <c r="H132" s="27" t="str">
        <f ca="1">IF(B132="","",IF(SUMIF(Grades!$A:$A,$B$4,Grades!BQ:BQ)=0,"-",IF(AND($B$4="Salary Points 1 to 57",B132&gt;$AA$3),"-",IF(AND($B$4="Salary Points 1 to 57",B132&lt;=$AA$3),$C132*$AD$3,IF(AND(OR($B$4="New Consultant Contract"),$B132&lt;&gt;""),$C132*$AD$3,IF(AND(OR($B$4="Clinical Lecturer / Medical Research Fellow",$B$4="Clinical Consultant - Old Contract (GP)"),$B132&lt;&gt;""),$C132*$AD$3,IF(AND(OR($B$4="APM Level 7",$B$4="R&amp;T Level 7"),G132&lt;&gt;""),$C132*$AD$3,IF(SUMIF(Grades!$A:$A,$B$4,Grades!BQ:BQ)=1,$C132*$AD$3,""))))))))</f>
        <v/>
      </c>
      <c r="I132" s="27"/>
      <c r="J132" s="27"/>
      <c r="K132" s="6"/>
      <c r="L132" s="27"/>
      <c r="M132" s="27"/>
      <c r="N132" s="27"/>
      <c r="O132" s="27"/>
      <c r="P132" s="27"/>
      <c r="R132" s="31"/>
      <c r="S132" s="32"/>
      <c r="T132" s="31"/>
      <c r="U132" s="32"/>
    </row>
    <row r="133" spans="2:21" x14ac:dyDescent="0.25">
      <c r="B133" s="6" t="str">
        <f ca="1">IFERROR(INDEX(Points_Lookup!A:A,MATCH($Z135,Points_Lookup!$AE:$AE,0)),"")</f>
        <v/>
      </c>
      <c r="C133" s="27" t="str">
        <f ca="1">IF(B133="","",IF($B$4="Apprenticeship",SUMIF(Points_Lookup!AA:AA,B133,Points_Lookup!AC:AC),IF(AND(OR($B$4="New Consultant Contract"),$B133&lt;&gt;""),INDEX(Points_Lookup!K:K,MATCH($B133,Points_Lookup!$J:$J,0)),IF(AND(OR($B$4="Clinical Lecturer / Medical Research Fellow",$B$4="Clinical Consultant - Old Contract (GP)"),$B133&lt;&gt;""),INDEX(Points_Lookup!H:H,MATCH($B133,Points_Lookup!$G:$G,0)),IF(AND(OR($B$4="APM Level 7",$B$4="R&amp;T Level 7",$B$4="APM Level 8"),B133&lt;&gt;""),INDEX(Points_Lookup!E:E,MATCH($Z133,Points_Lookup!$AE:$AE,0)),IF($B$4="R&amp;T Level 5 - Clinical Lecturers (Vet School)",SUMIF(Points_Lookup!$M:$M,$B133,Points_Lookup!$P:$P),IF($B$4="R&amp;T Level 6 - Clinical Associate Professors and Clinical Readers (Vet School)",SUMIF(Points_Lookup!$T:$T,$B133,Points_Lookup!$W:$W),IFERROR(INDEX(Points_Lookup!B:B,MATCH($Z133,Points_Lookup!$AE:$AE,0)),""))))))))</f>
        <v/>
      </c>
      <c r="D133" s="45"/>
      <c r="E133" s="27" t="str">
        <f ca="1">IF($B133="","",IF($B$4="Apprenticeship","-",SUM(IF(SUM(C133/12)&lt;Thresholds_Rates!$C$7,(SUM(C133/12)-Thresholds_Rates!$C$5)*Thresholds_Rates!$C$9,(Thresholds_Rates!$C$7-Thresholds_Rates!$C$5)*Thresholds_Rates!$C$9),IF(SUM(C133/12)&gt;Thresholds_Rates!$C$7,((SUM(C133/12)-Thresholds_Rates!$C$7)*Thresholds_Rates!$C$10),0),SUM(Thresholds_Rates!$C$5-Thresholds_Rates!$C$4)*-Thresholds_Rates!$C$8)*12))</f>
        <v/>
      </c>
      <c r="F133" s="27" t="str">
        <f ca="1">IF($B133="","",IF(AND($B$4="Salary Points 1 to 57",B133&lt;$AA$2),"-",IF(SUMIF(Grades!$A:$A,$B$4,Grades!BO:BO)=0,"-",IF(AND($B$4="Salary Points 1 to 57",B133&gt;=$AA$2),$C133*$AD$1,IF(AND(OR($B$4="New Consultant Contract"),$B133&lt;&gt;""),$C133*$AD$1,IF(AND(OR($B$4="Clinical Lecturer / Medical Research Fellow",$B$4="Clinical Consultant - Old Contract (GP)"),$B133&lt;&gt;""),$C133*$AD$1,IF(AND(OR($B$4="APM Level 7",$B$4="R&amp;T Level 7"),E133&lt;&gt;""),$C133*$AD$1,IF(SUMIF(Grades!$A:$A,$B$4,Grades!BO:BO)=1,$C133*$AD$1,""))))))))</f>
        <v/>
      </c>
      <c r="G133" s="27" t="str">
        <f ca="1">IF(B133="","",IF($B$4="Salary Points 1 to 57","-",IF(SUMIF(Grades!$A:$A,$B$4,Grades!BP:BP)=0,"-",IF(AND(OR($B$4="New Consultant Contract"),$B133&lt;&gt;""),$C133*$AD$2,IF(AND(OR($B$4="Clinical Lecturer / Medical Research Fellow",$B$4="Clinical Consultant - Old Contract (GP)"),$B133&lt;&gt;""),$C133*$AD$2,IF(AND(OR($B$4="APM Level 7",$B$4="R&amp;T Level 7"),F133&lt;&gt;""),$C133*$AD$2,IF(SUMIF(Grades!$A:$A,$B$4,Grades!BP:BP)=1,$C133*$AD$2,"")))))))</f>
        <v/>
      </c>
      <c r="H133" s="27" t="str">
        <f ca="1">IF(B133="","",IF(SUMIF(Grades!$A:$A,$B$4,Grades!BQ:BQ)=0,"-",IF(AND($B$4="Salary Points 1 to 57",B133&gt;$AA$3),"-",IF(AND($B$4="Salary Points 1 to 57",B133&lt;=$AA$3),$C133*$AD$3,IF(AND(OR($B$4="New Consultant Contract"),$B133&lt;&gt;""),$C133*$AD$3,IF(AND(OR($B$4="Clinical Lecturer / Medical Research Fellow",$B$4="Clinical Consultant - Old Contract (GP)"),$B133&lt;&gt;""),$C133*$AD$3,IF(AND(OR($B$4="APM Level 7",$B$4="R&amp;T Level 7"),G133&lt;&gt;""),$C133*$AD$3,IF(SUMIF(Grades!$A:$A,$B$4,Grades!BQ:BQ)=1,$C133*$AD$3,""))))))))</f>
        <v/>
      </c>
      <c r="I133" s="27"/>
      <c r="J133" s="27"/>
      <c r="K133" s="6"/>
      <c r="L133" s="27"/>
      <c r="M133" s="27"/>
      <c r="N133" s="27"/>
      <c r="O133" s="27"/>
      <c r="P133" s="27"/>
      <c r="R133" s="31"/>
      <c r="S133" s="32"/>
      <c r="T133" s="31"/>
      <c r="U133" s="32"/>
    </row>
    <row r="134" spans="2:21" x14ac:dyDescent="0.25">
      <c r="B134" s="6" t="str">
        <f ca="1">IFERROR(INDEX(Points_Lookup!A:A,MATCH($Z136,Points_Lookup!$AE:$AE,0)),"")</f>
        <v/>
      </c>
      <c r="C134" s="27" t="str">
        <f ca="1">IF(B134="","",IF($B$4="Apprenticeship",SUMIF(Points_Lookup!AA:AA,B134,Points_Lookup!AC:AC),IF(AND(OR($B$4="New Consultant Contract"),$B134&lt;&gt;""),INDEX(Points_Lookup!K:K,MATCH($B134,Points_Lookup!$J:$J,0)),IF(AND(OR($B$4="Clinical Lecturer / Medical Research Fellow",$B$4="Clinical Consultant - Old Contract (GP)"),$B134&lt;&gt;""),INDEX(Points_Lookup!H:H,MATCH($B134,Points_Lookup!$G:$G,0)),IF(AND(OR($B$4="APM Level 7",$B$4="R&amp;T Level 7",$B$4="APM Level 8"),B134&lt;&gt;""),INDEX(Points_Lookup!E:E,MATCH($Z134,Points_Lookup!$AE:$AE,0)),IF($B$4="R&amp;T Level 5 - Clinical Lecturers (Vet School)",SUMIF(Points_Lookup!$M:$M,$B134,Points_Lookup!$P:$P),IF($B$4="R&amp;T Level 6 - Clinical Associate Professors and Clinical Readers (Vet School)",SUMIF(Points_Lookup!$T:$T,$B134,Points_Lookup!$W:$W),IFERROR(INDEX(Points_Lookup!B:B,MATCH($Z134,Points_Lookup!$AE:$AE,0)),""))))))))</f>
        <v/>
      </c>
      <c r="D134" s="45"/>
      <c r="E134" s="27" t="str">
        <f ca="1">IF($B134="","",IF($B$4="Apprenticeship","-",SUM(IF(SUM(C134/12)&lt;Thresholds_Rates!$C$7,(SUM(C134/12)-Thresholds_Rates!$C$5)*Thresholds_Rates!$C$9,(Thresholds_Rates!$C$7-Thresholds_Rates!$C$5)*Thresholds_Rates!$C$9),IF(SUM(C134/12)&gt;Thresholds_Rates!$C$7,((SUM(C134/12)-Thresholds_Rates!$C$7)*Thresholds_Rates!$C$10),0),SUM(Thresholds_Rates!$C$5-Thresholds_Rates!$C$4)*-Thresholds_Rates!$C$8)*12))</f>
        <v/>
      </c>
      <c r="F134" s="27" t="str">
        <f ca="1">IF($B134="","",IF(AND($B$4="Salary Points 1 to 57",B134&lt;$AA$2),"-",IF(SUMIF(Grades!$A:$A,$B$4,Grades!BO:BO)=0,"-",IF(AND($B$4="Salary Points 1 to 57",B134&gt;=$AA$2),$C134*$AD$1,IF(AND(OR($B$4="New Consultant Contract"),$B134&lt;&gt;""),$C134*$AD$1,IF(AND(OR($B$4="Clinical Lecturer / Medical Research Fellow",$B$4="Clinical Consultant - Old Contract (GP)"),$B134&lt;&gt;""),$C134*$AD$1,IF(AND(OR($B$4="APM Level 7",$B$4="R&amp;T Level 7"),E134&lt;&gt;""),$C134*$AD$1,IF(SUMIF(Grades!$A:$A,$B$4,Grades!BO:BO)=1,$C134*$AD$1,""))))))))</f>
        <v/>
      </c>
      <c r="G134" s="27" t="str">
        <f ca="1">IF(B134="","",IF($B$4="Salary Points 1 to 57","-",IF(SUMIF(Grades!$A:$A,$B$4,Grades!BP:BP)=0,"-",IF(AND(OR($B$4="New Consultant Contract"),$B134&lt;&gt;""),$C134*$AD$2,IF(AND(OR($B$4="Clinical Lecturer / Medical Research Fellow",$B$4="Clinical Consultant - Old Contract (GP)"),$B134&lt;&gt;""),$C134*$AD$2,IF(AND(OR($B$4="APM Level 7",$B$4="R&amp;T Level 7"),F134&lt;&gt;""),$C134*$AD$2,IF(SUMIF(Grades!$A:$A,$B$4,Grades!BP:BP)=1,$C134*$AD$2,"")))))))</f>
        <v/>
      </c>
      <c r="H134" s="27" t="str">
        <f ca="1">IF(B134="","",IF(SUMIF(Grades!$A:$A,$B$4,Grades!BQ:BQ)=0,"-",IF(AND($B$4="Salary Points 1 to 57",B134&gt;$AA$3),"-",IF(AND($B$4="Salary Points 1 to 57",B134&lt;=$AA$3),$C134*$AD$3,IF(AND(OR($B$4="New Consultant Contract"),$B134&lt;&gt;""),$C134*$AD$3,IF(AND(OR($B$4="Clinical Lecturer / Medical Research Fellow",$B$4="Clinical Consultant - Old Contract (GP)"),$B134&lt;&gt;""),$C134*$AD$3,IF(AND(OR($B$4="APM Level 7",$B$4="R&amp;T Level 7"),G134&lt;&gt;""),$C134*$AD$3,IF(SUMIF(Grades!$A:$A,$B$4,Grades!BQ:BQ)=1,$C134*$AD$3,""))))))))</f>
        <v/>
      </c>
      <c r="I134" s="27"/>
      <c r="J134" s="27"/>
      <c r="K134" s="6"/>
      <c r="L134" s="27"/>
      <c r="M134" s="27"/>
      <c r="N134" s="27"/>
      <c r="O134" s="27"/>
      <c r="P134" s="27"/>
      <c r="R134" s="31"/>
      <c r="S134" s="32"/>
      <c r="T134" s="31"/>
      <c r="U134" s="32"/>
    </row>
    <row r="135" spans="2:21" x14ac:dyDescent="0.25">
      <c r="B135" s="6" t="str">
        <f ca="1">IFERROR(INDEX(Points_Lookup!A:A,MATCH($Z137,Points_Lookup!$AE:$AE,0)),"")</f>
        <v/>
      </c>
      <c r="C135" s="27" t="str">
        <f ca="1">IF(B135="","",IF($B$4="Apprenticeship",SUMIF(Points_Lookup!AA:AA,B135,Points_Lookup!AC:AC),IF(AND(OR($B$4="New Consultant Contract"),$B135&lt;&gt;""),INDEX(Points_Lookup!K:K,MATCH($B135,Points_Lookup!$J:$J,0)),IF(AND(OR($B$4="Clinical Lecturer / Medical Research Fellow",$B$4="Clinical Consultant - Old Contract (GP)"),$B135&lt;&gt;""),INDEX(Points_Lookup!H:H,MATCH($B135,Points_Lookup!$G:$G,0)),IF(AND(OR($B$4="APM Level 7",$B$4="R&amp;T Level 7",$B$4="APM Level 8"),B135&lt;&gt;""),INDEX(Points_Lookup!E:E,MATCH($Z135,Points_Lookup!$AE:$AE,0)),IF($B$4="R&amp;T Level 5 - Clinical Lecturers (Vet School)",SUMIF(Points_Lookup!$M:$M,$B135,Points_Lookup!$P:$P),IF($B$4="R&amp;T Level 6 - Clinical Associate Professors and Clinical Readers (Vet School)",SUMIF(Points_Lookup!$T:$T,$B135,Points_Lookup!$W:$W),IFERROR(INDEX(Points_Lookup!B:B,MATCH($Z135,Points_Lookup!$AE:$AE,0)),""))))))))</f>
        <v/>
      </c>
      <c r="D135" s="45"/>
      <c r="E135" s="27" t="str">
        <f ca="1">IF($B135="","",IF($B$4="Apprenticeship","-",SUM(IF(SUM(C135/12)&lt;Thresholds_Rates!$C$7,(SUM(C135/12)-Thresholds_Rates!$C$5)*Thresholds_Rates!$C$9,(Thresholds_Rates!$C$7-Thresholds_Rates!$C$5)*Thresholds_Rates!$C$9),IF(SUM(C135/12)&gt;Thresholds_Rates!$C$7,((SUM(C135/12)-Thresholds_Rates!$C$7)*Thresholds_Rates!$C$10),0),SUM(Thresholds_Rates!$C$5-Thresholds_Rates!$C$4)*-Thresholds_Rates!$C$8)*12))</f>
        <v/>
      </c>
      <c r="F135" s="27" t="str">
        <f ca="1">IF($B135="","",IF(AND($B$4="Salary Points 1 to 57",B135&lt;$AA$2),"-",IF(SUMIF(Grades!$A:$A,$B$4,Grades!BO:BO)=0,"-",IF(AND($B$4="Salary Points 1 to 57",B135&gt;=$AA$2),$C135*$AD$1,IF(AND(OR($B$4="New Consultant Contract"),$B135&lt;&gt;""),$C135*$AD$1,IF(AND(OR($B$4="Clinical Lecturer / Medical Research Fellow",$B$4="Clinical Consultant - Old Contract (GP)"),$B135&lt;&gt;""),$C135*$AD$1,IF(AND(OR($B$4="APM Level 7",$B$4="R&amp;T Level 7"),E135&lt;&gt;""),$C135*$AD$1,IF(SUMIF(Grades!$A:$A,$B$4,Grades!BO:BO)=1,$C135*$AD$1,""))))))))</f>
        <v/>
      </c>
      <c r="G135" s="27" t="str">
        <f ca="1">IF(B135="","",IF($B$4="Salary Points 1 to 57","-",IF(SUMIF(Grades!$A:$A,$B$4,Grades!BP:BP)=0,"-",IF(AND(OR($B$4="New Consultant Contract"),$B135&lt;&gt;""),$C135*$AD$2,IF(AND(OR($B$4="Clinical Lecturer / Medical Research Fellow",$B$4="Clinical Consultant - Old Contract (GP)"),$B135&lt;&gt;""),$C135*$AD$2,IF(AND(OR($B$4="APM Level 7",$B$4="R&amp;T Level 7"),F135&lt;&gt;""),$C135*$AD$2,IF(SUMIF(Grades!$A:$A,$B$4,Grades!BP:BP)=1,$C135*$AD$2,"")))))))</f>
        <v/>
      </c>
      <c r="H135" s="27" t="str">
        <f ca="1">IF(B135="","",IF(SUMIF(Grades!$A:$A,$B$4,Grades!BQ:BQ)=0,"-",IF(AND($B$4="Salary Points 1 to 57",B135&gt;$AA$3),"-",IF(AND($B$4="Salary Points 1 to 57",B135&lt;=$AA$3),$C135*$AD$3,IF(AND(OR($B$4="New Consultant Contract"),$B135&lt;&gt;""),$C135*$AD$3,IF(AND(OR($B$4="Clinical Lecturer / Medical Research Fellow",$B$4="Clinical Consultant - Old Contract (GP)"),$B135&lt;&gt;""),$C135*$AD$3,IF(AND(OR($B$4="APM Level 7",$B$4="R&amp;T Level 7"),G135&lt;&gt;""),$C135*$AD$3,IF(SUMIF(Grades!$A:$A,$B$4,Grades!BQ:BQ)=1,$C135*$AD$3,""))))))))</f>
        <v/>
      </c>
      <c r="I135" s="27"/>
      <c r="J135" s="27"/>
      <c r="K135" s="6"/>
      <c r="L135" s="27"/>
      <c r="M135" s="27"/>
      <c r="N135" s="27"/>
      <c r="O135" s="27"/>
      <c r="P135" s="27"/>
      <c r="R135" s="31"/>
      <c r="S135" s="32"/>
      <c r="T135" s="31"/>
      <c r="U135" s="32"/>
    </row>
    <row r="136" spans="2:21" x14ac:dyDescent="0.25">
      <c r="B136" s="6" t="str">
        <f ca="1">IFERROR(INDEX(Points_Lookup!A:A,MATCH($Z138,Points_Lookup!$AE:$AE,0)),"")</f>
        <v/>
      </c>
      <c r="C136" s="27" t="str">
        <f ca="1">IF(B136="","",IF($B$4="Apprenticeship",SUMIF(Points_Lookup!AA:AA,B136,Points_Lookup!AC:AC),IF(AND(OR($B$4="New Consultant Contract"),$B136&lt;&gt;""),INDEX(Points_Lookup!K:K,MATCH($B136,Points_Lookup!$J:$J,0)),IF(AND(OR($B$4="Clinical Lecturer / Medical Research Fellow",$B$4="Clinical Consultant - Old Contract (GP)"),$B136&lt;&gt;""),INDEX(Points_Lookup!H:H,MATCH($B136,Points_Lookup!$G:$G,0)),IF(AND(OR($B$4="APM Level 7",$B$4="R&amp;T Level 7",$B$4="APM Level 8"),B136&lt;&gt;""),INDEX(Points_Lookup!E:E,MATCH($Z136,Points_Lookup!$AE:$AE,0)),IF($B$4="R&amp;T Level 5 - Clinical Lecturers (Vet School)",SUMIF(Points_Lookup!$M:$M,$B136,Points_Lookup!$P:$P),IF($B$4="R&amp;T Level 6 - Clinical Associate Professors and Clinical Readers (Vet School)",SUMIF(Points_Lookup!$T:$T,$B136,Points_Lookup!$W:$W),IFERROR(INDEX(Points_Lookup!B:B,MATCH($Z136,Points_Lookup!$AE:$AE,0)),""))))))))</f>
        <v/>
      </c>
      <c r="D136" s="45"/>
      <c r="E136" s="27" t="str">
        <f ca="1">IF($B136="","",IF($B$4="Apprenticeship","-",SUM(IF(SUM(C136/12)&lt;Thresholds_Rates!$C$7,(SUM(C136/12)-Thresholds_Rates!$C$5)*Thresholds_Rates!$C$9,(Thresholds_Rates!$C$7-Thresholds_Rates!$C$5)*Thresholds_Rates!$C$9),IF(SUM(C136/12)&gt;Thresholds_Rates!$C$7,((SUM(C136/12)-Thresholds_Rates!$C$7)*Thresholds_Rates!$C$10),0),SUM(Thresholds_Rates!$C$5-Thresholds_Rates!$C$4)*-Thresholds_Rates!$C$8)*12))</f>
        <v/>
      </c>
      <c r="F136" s="27" t="str">
        <f ca="1">IF($B136="","",IF(AND($B$4="Salary Points 1 to 57",B136&lt;$AA$2),"-",IF(SUMIF(Grades!$A:$A,$B$4,Grades!BO:BO)=0,"-",IF(AND($B$4="Salary Points 1 to 57",B136&gt;=$AA$2),$C136*$AD$1,IF(AND(OR($B$4="New Consultant Contract"),$B136&lt;&gt;""),$C136*$AD$1,IF(AND(OR($B$4="Clinical Lecturer / Medical Research Fellow",$B$4="Clinical Consultant - Old Contract (GP)"),$B136&lt;&gt;""),$C136*$AD$1,IF(AND(OR($B$4="APM Level 7",$B$4="R&amp;T Level 7"),E136&lt;&gt;""),$C136*$AD$1,IF(SUMIF(Grades!$A:$A,$B$4,Grades!BO:BO)=1,$C136*$AD$1,""))))))))</f>
        <v/>
      </c>
      <c r="G136" s="27" t="str">
        <f ca="1">IF(B136="","",IF($B$4="Salary Points 1 to 57","-",IF(SUMIF(Grades!$A:$A,$B$4,Grades!BP:BP)=0,"-",IF(AND(OR($B$4="New Consultant Contract"),$B136&lt;&gt;""),$C136*$AD$2,IF(AND(OR($B$4="Clinical Lecturer / Medical Research Fellow",$B$4="Clinical Consultant - Old Contract (GP)"),$B136&lt;&gt;""),$C136*$AD$2,IF(AND(OR($B$4="APM Level 7",$B$4="R&amp;T Level 7"),F136&lt;&gt;""),$C136*$AD$2,IF(SUMIF(Grades!$A:$A,$B$4,Grades!BP:BP)=1,$C136*$AD$2,"")))))))</f>
        <v/>
      </c>
      <c r="H136" s="27" t="str">
        <f ca="1">IF(B136="","",IF(SUMIF(Grades!$A:$A,$B$4,Grades!BQ:BQ)=0,"-",IF(AND($B$4="Salary Points 1 to 57",B136&gt;$AA$3),"-",IF(AND($B$4="Salary Points 1 to 57",B136&lt;=$AA$3),$C136*$AD$3,IF(AND(OR($B$4="New Consultant Contract"),$B136&lt;&gt;""),$C136*$AD$3,IF(AND(OR($B$4="Clinical Lecturer / Medical Research Fellow",$B$4="Clinical Consultant - Old Contract (GP)"),$B136&lt;&gt;""),$C136*$AD$3,IF(AND(OR($B$4="APM Level 7",$B$4="R&amp;T Level 7"),G136&lt;&gt;""),$C136*$AD$3,IF(SUMIF(Grades!$A:$A,$B$4,Grades!BQ:BQ)=1,$C136*$AD$3,""))))))))</f>
        <v/>
      </c>
      <c r="I136" s="27"/>
      <c r="J136" s="27"/>
      <c r="K136" s="6"/>
      <c r="L136" s="27"/>
      <c r="M136" s="27"/>
      <c r="N136" s="27"/>
      <c r="O136" s="27"/>
      <c r="P136" s="27"/>
      <c r="R136" s="31"/>
      <c r="S136" s="32"/>
      <c r="T136" s="31"/>
      <c r="U136" s="32"/>
    </row>
    <row r="137" spans="2:21" x14ac:dyDescent="0.25">
      <c r="B137" s="6" t="str">
        <f ca="1">IFERROR(INDEX(Points_Lookup!A:A,MATCH($Z139,Points_Lookup!$AE:$AE,0)),"")</f>
        <v/>
      </c>
      <c r="C137" s="27" t="str">
        <f ca="1">IF(B137="","",IF($B$4="Apprenticeship",SUMIF(Points_Lookup!AA:AA,B137,Points_Lookup!AC:AC),IF(AND(OR($B$4="New Consultant Contract"),$B137&lt;&gt;""),INDEX(Points_Lookup!K:K,MATCH($B137,Points_Lookup!$J:$J,0)),IF(AND(OR($B$4="Clinical Lecturer / Medical Research Fellow",$B$4="Clinical Consultant - Old Contract (GP)"),$B137&lt;&gt;""),INDEX(Points_Lookup!H:H,MATCH($B137,Points_Lookup!$G:$G,0)),IF(AND(OR($B$4="APM Level 7",$B$4="R&amp;T Level 7",$B$4="APM Level 8"),B137&lt;&gt;""),INDEX(Points_Lookup!E:E,MATCH($Z137,Points_Lookup!$AE:$AE,0)),IF($B$4="R&amp;T Level 5 - Clinical Lecturers (Vet School)",SUMIF(Points_Lookup!$M:$M,$B137,Points_Lookup!$P:$P),IF($B$4="R&amp;T Level 6 - Clinical Associate Professors and Clinical Readers (Vet School)",SUMIF(Points_Lookup!$T:$T,$B137,Points_Lookup!$W:$W),IFERROR(INDEX(Points_Lookup!B:B,MATCH($Z137,Points_Lookup!$AE:$AE,0)),""))))))))</f>
        <v/>
      </c>
      <c r="D137" s="45"/>
      <c r="E137" s="27" t="str">
        <f ca="1">IF($B137="","",IF($B$4="Apprenticeship","-",SUM(IF(SUM(C137/12)&lt;Thresholds_Rates!$C$7,(SUM(C137/12)-Thresholds_Rates!$C$5)*Thresholds_Rates!$C$9,(Thresholds_Rates!$C$7-Thresholds_Rates!$C$5)*Thresholds_Rates!$C$9),IF(SUM(C137/12)&gt;Thresholds_Rates!$C$7,((SUM(C137/12)-Thresholds_Rates!$C$7)*Thresholds_Rates!$C$10),0),SUM(Thresholds_Rates!$C$5-Thresholds_Rates!$C$4)*-Thresholds_Rates!$C$8)*12))</f>
        <v/>
      </c>
      <c r="F137" s="27" t="str">
        <f ca="1">IF($B137="","",IF(AND($B$4="Salary Points 1 to 57",B137&lt;$AA$2),"-",IF(SUMIF(Grades!$A:$A,$B$4,Grades!BO:BO)=0,"-",IF(AND($B$4="Salary Points 1 to 57",B137&gt;=$AA$2),$C137*$AD$1,IF(AND(OR($B$4="New Consultant Contract"),$B137&lt;&gt;""),$C137*$AD$1,IF(AND(OR($B$4="Clinical Lecturer / Medical Research Fellow",$B$4="Clinical Consultant - Old Contract (GP)"),$B137&lt;&gt;""),$C137*$AD$1,IF(AND(OR($B$4="APM Level 7",$B$4="R&amp;T Level 7"),E137&lt;&gt;""),$C137*$AD$1,IF(SUMIF(Grades!$A:$A,$B$4,Grades!BO:BO)=1,$C137*$AD$1,""))))))))</f>
        <v/>
      </c>
      <c r="G137" s="27" t="str">
        <f ca="1">IF(B137="","",IF($B$4="Salary Points 1 to 57","-",IF(SUMIF(Grades!$A:$A,$B$4,Grades!BP:BP)=0,"-",IF(AND(OR($B$4="New Consultant Contract"),$B137&lt;&gt;""),$C137*$AD$2,IF(AND(OR($B$4="Clinical Lecturer / Medical Research Fellow",$B$4="Clinical Consultant - Old Contract (GP)"),$B137&lt;&gt;""),$C137*$AD$2,IF(AND(OR($B$4="APM Level 7",$B$4="R&amp;T Level 7"),F137&lt;&gt;""),$C137*$AD$2,IF(SUMIF(Grades!$A:$A,$B$4,Grades!BP:BP)=1,$C137*$AD$2,"")))))))</f>
        <v/>
      </c>
      <c r="H137" s="27" t="str">
        <f ca="1">IF(B137="","",IF(SUMIF(Grades!$A:$A,$B$4,Grades!BQ:BQ)=0,"-",IF(AND($B$4="Salary Points 1 to 57",B137&gt;$AA$3),"-",IF(AND($B$4="Salary Points 1 to 57",B137&lt;=$AA$3),$C137*$AD$3,IF(AND(OR($B$4="New Consultant Contract"),$B137&lt;&gt;""),$C137*$AD$3,IF(AND(OR($B$4="Clinical Lecturer / Medical Research Fellow",$B$4="Clinical Consultant - Old Contract (GP)"),$B137&lt;&gt;""),$C137*$AD$3,IF(AND(OR($B$4="APM Level 7",$B$4="R&amp;T Level 7"),G137&lt;&gt;""),$C137*$AD$3,IF(SUMIF(Grades!$A:$A,$B$4,Grades!BQ:BQ)=1,$C137*$AD$3,""))))))))</f>
        <v/>
      </c>
      <c r="I137" s="27"/>
      <c r="J137" s="27"/>
      <c r="K137" s="6"/>
      <c r="L137" s="27"/>
      <c r="M137" s="27"/>
      <c r="N137" s="27"/>
      <c r="O137" s="27"/>
      <c r="P137" s="27"/>
      <c r="R137" s="31"/>
      <c r="S137" s="32"/>
      <c r="T137" s="31"/>
      <c r="U137" s="32"/>
    </row>
    <row r="138" spans="2:21" x14ac:dyDescent="0.25">
      <c r="B138" s="6" t="str">
        <f ca="1">IFERROR(INDEX(Points_Lookup!A:A,MATCH($Z140,Points_Lookup!$AE:$AE,0)),"")</f>
        <v/>
      </c>
      <c r="C138" s="27" t="str">
        <f ca="1">IF(B138="","",IF($B$4="Apprenticeship",SUMIF(Points_Lookup!AA:AA,B138,Points_Lookup!AC:AC),IF(AND(OR($B$4="New Consultant Contract"),$B138&lt;&gt;""),INDEX(Points_Lookup!K:K,MATCH($B138,Points_Lookup!$J:$J,0)),IF(AND(OR($B$4="Clinical Lecturer / Medical Research Fellow",$B$4="Clinical Consultant - Old Contract (GP)"),$B138&lt;&gt;""),INDEX(Points_Lookup!H:H,MATCH($B138,Points_Lookup!$G:$G,0)),IF(AND(OR($B$4="APM Level 7",$B$4="R&amp;T Level 7",$B$4="APM Level 8"),B138&lt;&gt;""),INDEX(Points_Lookup!E:E,MATCH($Z138,Points_Lookup!$AE:$AE,0)),IF($B$4="R&amp;T Level 5 - Clinical Lecturers (Vet School)",SUMIF(Points_Lookup!$M:$M,$B138,Points_Lookup!$P:$P),IF($B$4="R&amp;T Level 6 - Clinical Associate Professors and Clinical Readers (Vet School)",SUMIF(Points_Lookup!$T:$T,$B138,Points_Lookup!$W:$W),IFERROR(INDEX(Points_Lookup!B:B,MATCH($Z138,Points_Lookup!$AE:$AE,0)),""))))))))</f>
        <v/>
      </c>
      <c r="D138" s="45"/>
      <c r="E138" s="27" t="str">
        <f ca="1">IF($B138="","",IF($B$4="Apprenticeship","-",SUM(IF(SUM(C138/12)&lt;Thresholds_Rates!$C$7,(SUM(C138/12)-Thresholds_Rates!$C$5)*Thresholds_Rates!$C$9,(Thresholds_Rates!$C$7-Thresholds_Rates!$C$5)*Thresholds_Rates!$C$9),IF(SUM(C138/12)&gt;Thresholds_Rates!$C$7,((SUM(C138/12)-Thresholds_Rates!$C$7)*Thresholds_Rates!$C$10),0),SUM(Thresholds_Rates!$C$5-Thresholds_Rates!$C$4)*-Thresholds_Rates!$C$8)*12))</f>
        <v/>
      </c>
      <c r="F138" s="27" t="str">
        <f ca="1">IF($B138="","",IF(AND($B$4="Salary Points 1 to 57",B138&lt;$AA$2),"-",IF(SUMIF(Grades!$A:$A,$B$4,Grades!BO:BO)=0,"-",IF(AND($B$4="Salary Points 1 to 57",B138&gt;=$AA$2),$C138*$AD$1,IF(AND(OR($B$4="New Consultant Contract"),$B138&lt;&gt;""),$C138*$AD$1,IF(AND(OR($B$4="Clinical Lecturer / Medical Research Fellow",$B$4="Clinical Consultant - Old Contract (GP)"),$B138&lt;&gt;""),$C138*$AD$1,IF(AND(OR($B$4="APM Level 7",$B$4="R&amp;T Level 7"),E138&lt;&gt;""),$C138*$AD$1,IF(SUMIF(Grades!$A:$A,$B$4,Grades!BO:BO)=1,$C138*$AD$1,""))))))))</f>
        <v/>
      </c>
      <c r="G138" s="27" t="str">
        <f ca="1">IF(B138="","",IF($B$4="Salary Points 1 to 57","-",IF(SUMIF(Grades!$A:$A,$B$4,Grades!BP:BP)=0,"-",IF(AND(OR($B$4="New Consultant Contract"),$B138&lt;&gt;""),$C138*$AD$2,IF(AND(OR($B$4="Clinical Lecturer / Medical Research Fellow",$B$4="Clinical Consultant - Old Contract (GP)"),$B138&lt;&gt;""),$C138*$AD$2,IF(AND(OR($B$4="APM Level 7",$B$4="R&amp;T Level 7"),F138&lt;&gt;""),$C138*$AD$2,IF(SUMIF(Grades!$A:$A,$B$4,Grades!BP:BP)=1,$C138*$AD$2,"")))))))</f>
        <v/>
      </c>
      <c r="H138" s="27" t="str">
        <f ca="1">IF(B138="","",IF(SUMIF(Grades!$A:$A,$B$4,Grades!BQ:BQ)=0,"-",IF(AND($B$4="Salary Points 1 to 57",B138&gt;$AA$3),"-",IF(AND($B$4="Salary Points 1 to 57",B138&lt;=$AA$3),$C138*$AD$3,IF(AND(OR($B$4="New Consultant Contract"),$B138&lt;&gt;""),$C138*$AD$3,IF(AND(OR($B$4="Clinical Lecturer / Medical Research Fellow",$B$4="Clinical Consultant - Old Contract (GP)"),$B138&lt;&gt;""),$C138*$AD$3,IF(AND(OR($B$4="APM Level 7",$B$4="R&amp;T Level 7"),G138&lt;&gt;""),$C138*$AD$3,IF(SUMIF(Grades!$A:$A,$B$4,Grades!BQ:BQ)=1,$C138*$AD$3,""))))))))</f>
        <v/>
      </c>
      <c r="I138" s="27"/>
      <c r="J138" s="27"/>
      <c r="K138" s="6"/>
      <c r="L138" s="27"/>
      <c r="M138" s="27"/>
      <c r="N138" s="27"/>
      <c r="O138" s="27"/>
      <c r="P138" s="27"/>
      <c r="R138" s="31"/>
      <c r="S138" s="32"/>
      <c r="T138" s="31"/>
      <c r="U138" s="32"/>
    </row>
    <row r="139" spans="2:21" x14ac:dyDescent="0.25">
      <c r="B139" s="6" t="str">
        <f ca="1">IFERROR(INDEX(Points_Lookup!A:A,MATCH($Z141,Points_Lookup!$AE:$AE,0)),"")</f>
        <v/>
      </c>
      <c r="C139" s="27" t="str">
        <f ca="1">IF(B139="","",IF($B$4="Apprenticeship",SUMIF(Points_Lookup!AA:AA,B139,Points_Lookup!AC:AC),IF(AND(OR($B$4="New Consultant Contract"),$B139&lt;&gt;""),INDEX(Points_Lookup!K:K,MATCH($B139,Points_Lookup!$J:$J,0)),IF(AND(OR($B$4="Clinical Lecturer / Medical Research Fellow",$B$4="Clinical Consultant - Old Contract (GP)"),$B139&lt;&gt;""),INDEX(Points_Lookup!H:H,MATCH($B139,Points_Lookup!$G:$G,0)),IF(AND(OR($B$4="APM Level 7",$B$4="R&amp;T Level 7",$B$4="APM Level 8"),B139&lt;&gt;""),INDEX(Points_Lookup!E:E,MATCH($Z139,Points_Lookup!$AE:$AE,0)),IF($B$4="R&amp;T Level 5 - Clinical Lecturers (Vet School)",SUMIF(Points_Lookup!$M:$M,$B139,Points_Lookup!$P:$P),IF($B$4="R&amp;T Level 6 - Clinical Associate Professors and Clinical Readers (Vet School)",SUMIF(Points_Lookup!$T:$T,$B139,Points_Lookup!$W:$W),IFERROR(INDEX(Points_Lookup!B:B,MATCH($Z139,Points_Lookup!$AE:$AE,0)),""))))))))</f>
        <v/>
      </c>
      <c r="D139" s="45"/>
      <c r="E139" s="27" t="str">
        <f ca="1">IF($B139="","",IF($B$4="Apprenticeship","-",SUM(IF(SUM(C139/12)&lt;Thresholds_Rates!$C$7,(SUM(C139/12)-Thresholds_Rates!$C$5)*Thresholds_Rates!$C$9,(Thresholds_Rates!$C$7-Thresholds_Rates!$C$5)*Thresholds_Rates!$C$9),IF(SUM(C139/12)&gt;Thresholds_Rates!$C$7,((SUM(C139/12)-Thresholds_Rates!$C$7)*Thresholds_Rates!$C$10),0),SUM(Thresholds_Rates!$C$5-Thresholds_Rates!$C$4)*-Thresholds_Rates!$C$8)*12))</f>
        <v/>
      </c>
      <c r="F139" s="27" t="str">
        <f ca="1">IF($B139="","",IF(AND($B$4="Salary Points 1 to 57",B139&lt;$AA$2),"-",IF(SUMIF(Grades!$A:$A,$B$4,Grades!BO:BO)=0,"-",IF(AND($B$4="Salary Points 1 to 57",B139&gt;=$AA$2),$C139*$AD$1,IF(AND(OR($B$4="New Consultant Contract"),$B139&lt;&gt;""),$C139*$AD$1,IF(AND(OR($B$4="Clinical Lecturer / Medical Research Fellow",$B$4="Clinical Consultant - Old Contract (GP)"),$B139&lt;&gt;""),$C139*$AD$1,IF(AND(OR($B$4="APM Level 7",$B$4="R&amp;T Level 7"),E139&lt;&gt;""),$C139*$AD$1,IF(SUMIF(Grades!$A:$A,$B$4,Grades!BO:BO)=1,$C139*$AD$1,""))))))))</f>
        <v/>
      </c>
      <c r="G139" s="27" t="str">
        <f ca="1">IF(B139="","",IF($B$4="Salary Points 1 to 57","-",IF(SUMIF(Grades!$A:$A,$B$4,Grades!BP:BP)=0,"-",IF(AND(OR($B$4="New Consultant Contract"),$B139&lt;&gt;""),$C139*$AD$2,IF(AND(OR($B$4="Clinical Lecturer / Medical Research Fellow",$B$4="Clinical Consultant - Old Contract (GP)"),$B139&lt;&gt;""),$C139*$AD$2,IF(AND(OR($B$4="APM Level 7",$B$4="R&amp;T Level 7"),F139&lt;&gt;""),$C139*$AD$2,IF(SUMIF(Grades!$A:$A,$B$4,Grades!BP:BP)=1,$C139*$AD$2,"")))))))</f>
        <v/>
      </c>
      <c r="H139" s="27" t="str">
        <f ca="1">IF(B139="","",IF(SUMIF(Grades!$A:$A,$B$4,Grades!BQ:BQ)=0,"-",IF(AND($B$4="Salary Points 1 to 57",B139&gt;$AA$3),"-",IF(AND($B$4="Salary Points 1 to 57",B139&lt;=$AA$3),$C139*$AD$3,IF(AND(OR($B$4="New Consultant Contract"),$B139&lt;&gt;""),$C139*$AD$3,IF(AND(OR($B$4="Clinical Lecturer / Medical Research Fellow",$B$4="Clinical Consultant - Old Contract (GP)"),$B139&lt;&gt;""),$C139*$AD$3,IF(AND(OR($B$4="APM Level 7",$B$4="R&amp;T Level 7"),G139&lt;&gt;""),$C139*$AD$3,IF(SUMIF(Grades!$A:$A,$B$4,Grades!BQ:BQ)=1,$C139*$AD$3,""))))))))</f>
        <v/>
      </c>
      <c r="I139" s="27"/>
      <c r="J139" s="27"/>
      <c r="K139" s="6"/>
      <c r="L139" s="27"/>
      <c r="M139" s="27"/>
      <c r="N139" s="27"/>
      <c r="O139" s="27"/>
      <c r="P139" s="27"/>
      <c r="R139" s="31"/>
      <c r="S139" s="32"/>
      <c r="T139" s="31"/>
      <c r="U139" s="32"/>
    </row>
    <row r="140" spans="2:21" x14ac:dyDescent="0.25">
      <c r="B140" s="6" t="str">
        <f ca="1">IFERROR(INDEX(Points_Lookup!A:A,MATCH($Z142,Points_Lookup!$AE:$AE,0)),"")</f>
        <v/>
      </c>
      <c r="C140" s="27" t="str">
        <f ca="1">IF(B140="","",IF($B$4="Apprenticeship",SUMIF(Points_Lookup!AA:AA,B140,Points_Lookup!AC:AC),IF(AND(OR($B$4="New Consultant Contract"),$B140&lt;&gt;""),INDEX(Points_Lookup!K:K,MATCH($B140,Points_Lookup!$J:$J,0)),IF(AND(OR($B$4="Clinical Lecturer / Medical Research Fellow",$B$4="Clinical Consultant - Old Contract (GP)"),$B140&lt;&gt;""),INDEX(Points_Lookup!H:H,MATCH($B140,Points_Lookup!$G:$G,0)),IF(AND(OR($B$4="APM Level 7",$B$4="R&amp;T Level 7",$B$4="APM Level 8"),B140&lt;&gt;""),INDEX(Points_Lookup!E:E,MATCH($Z140,Points_Lookup!$AE:$AE,0)),IF($B$4="R&amp;T Level 5 - Clinical Lecturers (Vet School)",SUMIF(Points_Lookup!$M:$M,$B140,Points_Lookup!$P:$P),IF($B$4="R&amp;T Level 6 - Clinical Associate Professors and Clinical Readers (Vet School)",SUMIF(Points_Lookup!$T:$T,$B140,Points_Lookup!$W:$W),IFERROR(INDEX(Points_Lookup!B:B,MATCH($Z140,Points_Lookup!$AE:$AE,0)),""))))))))</f>
        <v/>
      </c>
      <c r="D140" s="45"/>
      <c r="E140" s="27" t="str">
        <f ca="1">IF($B140="","",IF($B$4="Apprenticeship","-",SUM(IF(SUM(C140/12)&lt;Thresholds_Rates!$C$7,(SUM(C140/12)-Thresholds_Rates!$C$5)*Thresholds_Rates!$C$9,(Thresholds_Rates!$C$7-Thresholds_Rates!$C$5)*Thresholds_Rates!$C$9),IF(SUM(C140/12)&gt;Thresholds_Rates!$C$7,((SUM(C140/12)-Thresholds_Rates!$C$7)*Thresholds_Rates!$C$10),0),SUM(Thresholds_Rates!$C$5-Thresholds_Rates!$C$4)*-Thresholds_Rates!$C$8)*12))</f>
        <v/>
      </c>
      <c r="F140" s="27" t="str">
        <f ca="1">IF($B140="","",IF(AND($B$4="Salary Points 1 to 57",B140&lt;$AA$2),"-",IF(SUMIF(Grades!$A:$A,$B$4,Grades!BO:BO)=0,"-",IF(AND($B$4="Salary Points 1 to 57",B140&gt;=$AA$2),$C140*$AD$1,IF(AND(OR($B$4="New Consultant Contract"),$B140&lt;&gt;""),$C140*$AD$1,IF(AND(OR($B$4="Clinical Lecturer / Medical Research Fellow",$B$4="Clinical Consultant - Old Contract (GP)"),$B140&lt;&gt;""),$C140*$AD$1,IF(AND(OR($B$4="APM Level 7",$B$4="R&amp;T Level 7"),E140&lt;&gt;""),$C140*$AD$1,IF(SUMIF(Grades!$A:$A,$B$4,Grades!BO:BO)=1,$C140*$AD$1,""))))))))</f>
        <v/>
      </c>
      <c r="G140" s="27" t="str">
        <f ca="1">IF(B140="","",IF($B$4="Salary Points 1 to 57","-",IF(SUMIF(Grades!$A:$A,$B$4,Grades!BP:BP)=0,"-",IF(AND(OR($B$4="New Consultant Contract"),$B140&lt;&gt;""),$C140*$AD$2,IF(AND(OR($B$4="Clinical Lecturer / Medical Research Fellow",$B$4="Clinical Consultant - Old Contract (GP)"),$B140&lt;&gt;""),$C140*$AD$2,IF(AND(OR($B$4="APM Level 7",$B$4="R&amp;T Level 7"),F140&lt;&gt;""),$C140*$AD$2,IF(SUMIF(Grades!$A:$A,$B$4,Grades!BP:BP)=1,$C140*$AD$2,"")))))))</f>
        <v/>
      </c>
      <c r="H140" s="27" t="str">
        <f ca="1">IF(B140="","",IF(SUMIF(Grades!$A:$A,$B$4,Grades!BQ:BQ)=0,"-",IF(AND($B$4="Salary Points 1 to 57",B140&gt;$AA$3),"-",IF(AND($B$4="Salary Points 1 to 57",B140&lt;=$AA$3),$C140*$AD$3,IF(AND(OR($B$4="New Consultant Contract"),$B140&lt;&gt;""),$C140*$AD$3,IF(AND(OR($B$4="Clinical Lecturer / Medical Research Fellow",$B$4="Clinical Consultant - Old Contract (GP)"),$B140&lt;&gt;""),$C140*$AD$3,IF(AND(OR($B$4="APM Level 7",$B$4="R&amp;T Level 7"),G140&lt;&gt;""),$C140*$AD$3,IF(SUMIF(Grades!$A:$A,$B$4,Grades!BQ:BQ)=1,$C140*$AD$3,""))))))))</f>
        <v/>
      </c>
      <c r="I140" s="27"/>
      <c r="J140" s="27"/>
      <c r="K140" s="6"/>
      <c r="L140" s="27"/>
      <c r="M140" s="27"/>
      <c r="N140" s="27"/>
      <c r="O140" s="27"/>
      <c r="P140" s="27"/>
      <c r="R140" s="31"/>
      <c r="S140" s="32"/>
      <c r="T140" s="31"/>
      <c r="U140" s="32"/>
    </row>
    <row r="141" spans="2:21" x14ac:dyDescent="0.25">
      <c r="B141" s="6" t="str">
        <f ca="1">IFERROR(INDEX(Points_Lookup!A:A,MATCH($Z143,Points_Lookup!$AE:$AE,0)),"")</f>
        <v/>
      </c>
      <c r="C141" s="27" t="str">
        <f ca="1">IF(B141="","",IF($B$4="Apprenticeship",SUMIF(Points_Lookup!AA:AA,B141,Points_Lookup!AC:AC),IF(AND(OR($B$4="New Consultant Contract"),$B141&lt;&gt;""),INDEX(Points_Lookup!K:K,MATCH($B141,Points_Lookup!$J:$J,0)),IF(AND(OR($B$4="Clinical Lecturer / Medical Research Fellow",$B$4="Clinical Consultant - Old Contract (GP)"),$B141&lt;&gt;""),INDEX(Points_Lookup!H:H,MATCH($B141,Points_Lookup!$G:$G,0)),IF(AND(OR($B$4="APM Level 7",$B$4="R&amp;T Level 7",$B$4="APM Level 8"),B141&lt;&gt;""),INDEX(Points_Lookup!E:E,MATCH($Z141,Points_Lookup!$AE:$AE,0)),IF($B$4="R&amp;T Level 5 - Clinical Lecturers (Vet School)",SUMIF(Points_Lookup!$M:$M,$B141,Points_Lookup!$P:$P),IF($B$4="R&amp;T Level 6 - Clinical Associate Professors and Clinical Readers (Vet School)",SUMIF(Points_Lookup!$T:$T,$B141,Points_Lookup!$W:$W),IFERROR(INDEX(Points_Lookup!B:B,MATCH($Z141,Points_Lookup!$AE:$AE,0)),""))))))))</f>
        <v/>
      </c>
      <c r="D141" s="45"/>
      <c r="E141" s="27" t="str">
        <f ca="1">IF($B141="","",IF($B$4="Apprenticeship","-",SUM(IF(SUM(C141/12)&lt;Thresholds_Rates!$C$7,(SUM(C141/12)-Thresholds_Rates!$C$5)*Thresholds_Rates!$C$9,(Thresholds_Rates!$C$7-Thresholds_Rates!$C$5)*Thresholds_Rates!$C$9),IF(SUM(C141/12)&gt;Thresholds_Rates!$C$7,((SUM(C141/12)-Thresholds_Rates!$C$7)*Thresholds_Rates!$C$10),0),SUM(Thresholds_Rates!$C$5-Thresholds_Rates!$C$4)*-Thresholds_Rates!$C$8)*12))</f>
        <v/>
      </c>
      <c r="F141" s="27" t="str">
        <f ca="1">IF($B141="","",IF(AND($B$4="Salary Points 1 to 57",B141&lt;$AA$2),"-",IF(SUMIF(Grades!$A:$A,$B$4,Grades!BO:BO)=0,"-",IF(AND($B$4="Salary Points 1 to 57",B141&gt;=$AA$2),$C141*$AD$1,IF(AND(OR($B$4="New Consultant Contract"),$B141&lt;&gt;""),$C141*$AD$1,IF(AND(OR($B$4="Clinical Lecturer / Medical Research Fellow",$B$4="Clinical Consultant - Old Contract (GP)"),$B141&lt;&gt;""),$C141*$AD$1,IF(AND(OR($B$4="APM Level 7",$B$4="R&amp;T Level 7"),E141&lt;&gt;""),$C141*$AD$1,IF(SUMIF(Grades!$A:$A,$B$4,Grades!BO:BO)=1,$C141*$AD$1,""))))))))</f>
        <v/>
      </c>
      <c r="G141" s="27" t="str">
        <f ca="1">IF(B141="","",IF($B$4="Salary Points 1 to 57","-",IF(SUMIF(Grades!$A:$A,$B$4,Grades!BP:BP)=0,"-",IF(AND(OR($B$4="New Consultant Contract"),$B141&lt;&gt;""),$C141*$AD$2,IF(AND(OR($B$4="Clinical Lecturer / Medical Research Fellow",$B$4="Clinical Consultant - Old Contract (GP)"),$B141&lt;&gt;""),$C141*$AD$2,IF(AND(OR($B$4="APM Level 7",$B$4="R&amp;T Level 7"),F141&lt;&gt;""),$C141*$AD$2,IF(SUMIF(Grades!$A:$A,$B$4,Grades!BP:BP)=1,$C141*$AD$2,"")))))))</f>
        <v/>
      </c>
      <c r="H141" s="27" t="str">
        <f ca="1">IF(B141="","",IF(SUMIF(Grades!$A:$A,$B$4,Grades!BQ:BQ)=0,"-",IF(AND($B$4="Salary Points 1 to 57",B141&gt;$AA$3),"-",IF(AND($B$4="Salary Points 1 to 57",B141&lt;=$AA$3),$C141*$AD$3,IF(AND(OR($B$4="New Consultant Contract"),$B141&lt;&gt;""),$C141*$AD$3,IF(AND(OR($B$4="Clinical Lecturer / Medical Research Fellow",$B$4="Clinical Consultant - Old Contract (GP)"),$B141&lt;&gt;""),$C141*$AD$3,IF(AND(OR($B$4="APM Level 7",$B$4="R&amp;T Level 7"),G141&lt;&gt;""),$C141*$AD$3,IF(SUMIF(Grades!$A:$A,$B$4,Grades!BQ:BQ)=1,$C141*$AD$3,""))))))))</f>
        <v/>
      </c>
      <c r="I141" s="27"/>
      <c r="J141" s="27"/>
      <c r="K141" s="6"/>
      <c r="L141" s="27"/>
      <c r="M141" s="27"/>
      <c r="N141" s="27"/>
      <c r="O141" s="27"/>
      <c r="P141" s="27"/>
      <c r="R141" s="31"/>
      <c r="S141" s="32"/>
      <c r="T141" s="31"/>
      <c r="U141" s="32"/>
    </row>
    <row r="142" spans="2:21" x14ac:dyDescent="0.25">
      <c r="B142" s="6" t="str">
        <f ca="1">IFERROR(INDEX(Points_Lookup!A:A,MATCH($Z144,Points_Lookup!$AE:$AE,0)),"")</f>
        <v/>
      </c>
      <c r="C142" s="27" t="str">
        <f ca="1">IF(B142="","",IF($B$4="Apprenticeship",SUMIF(Points_Lookup!AA:AA,B142,Points_Lookup!AC:AC),IF(AND(OR($B$4="New Consultant Contract"),$B142&lt;&gt;""),INDEX(Points_Lookup!K:K,MATCH($B142,Points_Lookup!$J:$J,0)),IF(AND(OR($B$4="Clinical Lecturer / Medical Research Fellow",$B$4="Clinical Consultant - Old Contract (GP)"),$B142&lt;&gt;""),INDEX(Points_Lookup!H:H,MATCH($B142,Points_Lookup!$G:$G,0)),IF(AND(OR($B$4="APM Level 7",$B$4="R&amp;T Level 7",$B$4="APM Level 8"),B142&lt;&gt;""),INDEX(Points_Lookup!E:E,MATCH($Z142,Points_Lookup!$AE:$AE,0)),IF($B$4="R&amp;T Level 5 - Clinical Lecturers (Vet School)",SUMIF(Points_Lookup!$M:$M,$B142,Points_Lookup!$P:$P),IF($B$4="R&amp;T Level 6 - Clinical Associate Professors and Clinical Readers (Vet School)",SUMIF(Points_Lookup!$T:$T,$B142,Points_Lookup!$W:$W),IFERROR(INDEX(Points_Lookup!B:B,MATCH($Z142,Points_Lookup!$AE:$AE,0)),""))))))))</f>
        <v/>
      </c>
      <c r="D142" s="45"/>
      <c r="E142" s="27" t="str">
        <f ca="1">IF($B142="","",IF($B$4="Apprenticeship","-",SUM(IF(SUM(C142/12)&lt;Thresholds_Rates!$C$7,(SUM(C142/12)-Thresholds_Rates!$C$5)*Thresholds_Rates!$C$9,(Thresholds_Rates!$C$7-Thresholds_Rates!$C$5)*Thresholds_Rates!$C$9),IF(SUM(C142/12)&gt;Thresholds_Rates!$C$7,((SUM(C142/12)-Thresholds_Rates!$C$7)*Thresholds_Rates!$C$10),0),SUM(Thresholds_Rates!$C$5-Thresholds_Rates!$C$4)*-Thresholds_Rates!$C$8)*12))</f>
        <v/>
      </c>
      <c r="F142" s="27" t="str">
        <f ca="1">IF($B142="","",IF(AND($B$4="Salary Points 1 to 57",B142&lt;$AA$2),"-",IF(SUMIF(Grades!$A:$A,$B$4,Grades!BO:BO)=0,"-",IF(AND($B$4="Salary Points 1 to 57",B142&gt;=$AA$2),$C142*$AD$1,IF(AND(OR($B$4="New Consultant Contract"),$B142&lt;&gt;""),$C142*$AD$1,IF(AND(OR($B$4="Clinical Lecturer / Medical Research Fellow",$B$4="Clinical Consultant - Old Contract (GP)"),$B142&lt;&gt;""),$C142*$AD$1,IF(AND(OR($B$4="APM Level 7",$B$4="R&amp;T Level 7"),E142&lt;&gt;""),$C142*$AD$1,IF(SUMIF(Grades!$A:$A,$B$4,Grades!BO:BO)=1,$C142*$AD$1,""))))))))</f>
        <v/>
      </c>
      <c r="G142" s="27" t="str">
        <f ca="1">IF(B142="","",IF($B$4="Salary Points 1 to 57","-",IF(SUMIF(Grades!$A:$A,$B$4,Grades!BP:BP)=0,"-",IF(AND(OR($B$4="New Consultant Contract"),$B142&lt;&gt;""),$C142*$AD$2,IF(AND(OR($B$4="Clinical Lecturer / Medical Research Fellow",$B$4="Clinical Consultant - Old Contract (GP)"),$B142&lt;&gt;""),$C142*$AD$2,IF(AND(OR($B$4="APM Level 7",$B$4="R&amp;T Level 7"),F142&lt;&gt;""),$C142*$AD$2,IF(SUMIF(Grades!$A:$A,$B$4,Grades!BP:BP)=1,$C142*$AD$2,"")))))))</f>
        <v/>
      </c>
      <c r="H142" s="27" t="str">
        <f ca="1">IF(B142="","",IF(SUMIF(Grades!$A:$A,$B$4,Grades!BQ:BQ)=0,"-",IF(AND($B$4="Salary Points 1 to 57",B142&gt;$AA$3),"-",IF(AND($B$4="Salary Points 1 to 57",B142&lt;=$AA$3),$C142*$AD$3,IF(AND(OR($B$4="New Consultant Contract"),$B142&lt;&gt;""),$C142*$AD$3,IF(AND(OR($B$4="Clinical Lecturer / Medical Research Fellow",$B$4="Clinical Consultant - Old Contract (GP)"),$B142&lt;&gt;""),$C142*$AD$3,IF(AND(OR($B$4="APM Level 7",$B$4="R&amp;T Level 7"),G142&lt;&gt;""),$C142*$AD$3,IF(SUMIF(Grades!$A:$A,$B$4,Grades!BQ:BQ)=1,$C142*$AD$3,""))))))))</f>
        <v/>
      </c>
      <c r="I142" s="27"/>
      <c r="J142" s="27"/>
      <c r="K142" s="6"/>
      <c r="L142" s="27"/>
      <c r="M142" s="27"/>
      <c r="N142" s="27"/>
      <c r="O142" s="27"/>
      <c r="P142" s="27"/>
      <c r="R142" s="31"/>
      <c r="S142" s="32"/>
      <c r="T142" s="31"/>
      <c r="U142" s="32"/>
    </row>
    <row r="143" spans="2:21" x14ac:dyDescent="0.25">
      <c r="B143" s="6" t="str">
        <f ca="1">IFERROR(INDEX(Points_Lookup!A:A,MATCH($Z145,Points_Lookup!$AE:$AE,0)),"")</f>
        <v/>
      </c>
      <c r="C143" s="27" t="str">
        <f ca="1">IF(B143="","",IF($B$4="Apprenticeship",SUMIF(Points_Lookup!AA:AA,B143,Points_Lookup!AC:AC),IF(AND(OR($B$4="New Consultant Contract"),$B143&lt;&gt;""),INDEX(Points_Lookup!K:K,MATCH($B143,Points_Lookup!$J:$J,0)),IF(AND(OR($B$4="Clinical Lecturer / Medical Research Fellow",$B$4="Clinical Consultant - Old Contract (GP)"),$B143&lt;&gt;""),INDEX(Points_Lookup!H:H,MATCH($B143,Points_Lookup!$G:$G,0)),IF(AND(OR($B$4="APM Level 7",$B$4="R&amp;T Level 7",$B$4="APM Level 8"),B143&lt;&gt;""),INDEX(Points_Lookup!E:E,MATCH($Z143,Points_Lookup!$AE:$AE,0)),IF($B$4="R&amp;T Level 5 - Clinical Lecturers (Vet School)",SUMIF(Points_Lookup!$M:$M,$B143,Points_Lookup!$P:$P),IF($B$4="R&amp;T Level 6 - Clinical Associate Professors and Clinical Readers (Vet School)",SUMIF(Points_Lookup!$T:$T,$B143,Points_Lookup!$W:$W),IFERROR(INDEX(Points_Lookup!B:B,MATCH($Z143,Points_Lookup!$AE:$AE,0)),""))))))))</f>
        <v/>
      </c>
      <c r="D143" s="45"/>
      <c r="E143" s="27" t="str">
        <f ca="1">IF($B143="","",IF($B$4="Apprenticeship","-",SUM(IF(SUM(C143/12)&lt;Thresholds_Rates!$C$7,(SUM(C143/12)-Thresholds_Rates!$C$5)*Thresholds_Rates!$C$9,(Thresholds_Rates!$C$7-Thresholds_Rates!$C$5)*Thresholds_Rates!$C$9),IF(SUM(C143/12)&gt;Thresholds_Rates!$C$7,((SUM(C143/12)-Thresholds_Rates!$C$7)*Thresholds_Rates!$C$10),0),SUM(Thresholds_Rates!$C$5-Thresholds_Rates!$C$4)*-Thresholds_Rates!$C$8)*12))</f>
        <v/>
      </c>
      <c r="F143" s="27" t="str">
        <f ca="1">IF($B143="","",IF(AND($B$4="Salary Points 1 to 57",B143&lt;$AA$2),"-",IF(SUMIF(Grades!$A:$A,$B$4,Grades!BO:BO)=0,"-",IF(AND($B$4="Salary Points 1 to 57",B143&gt;=$AA$2),$C143*$AD$1,IF(AND(OR($B$4="New Consultant Contract"),$B143&lt;&gt;""),$C143*$AD$1,IF(AND(OR($B$4="Clinical Lecturer / Medical Research Fellow",$B$4="Clinical Consultant - Old Contract (GP)"),$B143&lt;&gt;""),$C143*$AD$1,IF(AND(OR($B$4="APM Level 7",$B$4="R&amp;T Level 7"),E143&lt;&gt;""),$C143*$AD$1,IF(SUMIF(Grades!$A:$A,$B$4,Grades!BO:BO)=1,$C143*$AD$1,""))))))))</f>
        <v/>
      </c>
      <c r="G143" s="27" t="str">
        <f ca="1">IF(B143="","",IF($B$4="Salary Points 1 to 57","-",IF(SUMIF(Grades!$A:$A,$B$4,Grades!BP:BP)=0,"-",IF(AND(OR($B$4="New Consultant Contract"),$B143&lt;&gt;""),$C143*$AD$2,IF(AND(OR($B$4="Clinical Lecturer / Medical Research Fellow",$B$4="Clinical Consultant - Old Contract (GP)"),$B143&lt;&gt;""),$C143*$AD$2,IF(AND(OR($B$4="APM Level 7",$B$4="R&amp;T Level 7"),F143&lt;&gt;""),$C143*$AD$2,IF(SUMIF(Grades!$A:$A,$B$4,Grades!BP:BP)=1,$C143*$AD$2,"")))))))</f>
        <v/>
      </c>
      <c r="H143" s="27" t="str">
        <f ca="1">IF(B143="","",IF(SUMIF(Grades!$A:$A,$B$4,Grades!BQ:BQ)=0,"-",IF(AND($B$4="Salary Points 1 to 57",B143&gt;$AA$3),"-",IF(AND($B$4="Salary Points 1 to 57",B143&lt;=$AA$3),$C143*$AD$3,IF(AND(OR($B$4="New Consultant Contract"),$B143&lt;&gt;""),$C143*$AD$3,IF(AND(OR($B$4="Clinical Lecturer / Medical Research Fellow",$B$4="Clinical Consultant - Old Contract (GP)"),$B143&lt;&gt;""),$C143*$AD$3,IF(AND(OR($B$4="APM Level 7",$B$4="R&amp;T Level 7"),G143&lt;&gt;""),$C143*$AD$3,IF(SUMIF(Grades!$A:$A,$B$4,Grades!BQ:BQ)=1,$C143*$AD$3,""))))))))</f>
        <v/>
      </c>
      <c r="I143" s="27"/>
      <c r="J143" s="27"/>
      <c r="K143" s="6"/>
      <c r="L143" s="27"/>
      <c r="M143" s="27"/>
      <c r="N143" s="27"/>
      <c r="O143" s="27"/>
      <c r="P143" s="27"/>
      <c r="R143" s="31"/>
      <c r="S143" s="32"/>
      <c r="T143" s="31"/>
      <c r="U143" s="32"/>
    </row>
    <row r="144" spans="2:21" x14ac:dyDescent="0.25">
      <c r="B144" s="6" t="str">
        <f ca="1">IFERROR(INDEX(Points_Lookup!A:A,MATCH($Z146,Points_Lookup!$AE:$AE,0)),"")</f>
        <v/>
      </c>
      <c r="C144" s="27" t="str">
        <f ca="1">IF(B144="","",IF($B$4="Apprenticeship",SUMIF(Points_Lookup!AA:AA,B144,Points_Lookup!AC:AC),IF(AND(OR($B$4="New Consultant Contract"),$B144&lt;&gt;""),INDEX(Points_Lookup!K:K,MATCH($B144,Points_Lookup!$J:$J,0)),IF(AND(OR($B$4="Clinical Lecturer / Medical Research Fellow",$B$4="Clinical Consultant - Old Contract (GP)"),$B144&lt;&gt;""),INDEX(Points_Lookup!H:H,MATCH($B144,Points_Lookup!$G:$G,0)),IF(AND(OR($B$4="APM Level 7",$B$4="R&amp;T Level 7",$B$4="APM Level 8"),B144&lt;&gt;""),INDEX(Points_Lookup!E:E,MATCH($Z144,Points_Lookup!$AE:$AE,0)),IF($B$4="R&amp;T Level 5 - Clinical Lecturers (Vet School)",SUMIF(Points_Lookup!$M:$M,$B144,Points_Lookup!$P:$P),IF($B$4="R&amp;T Level 6 - Clinical Associate Professors and Clinical Readers (Vet School)",SUMIF(Points_Lookup!$T:$T,$B144,Points_Lookup!$W:$W),IFERROR(INDEX(Points_Lookup!B:B,MATCH($Z144,Points_Lookup!$AE:$AE,0)),""))))))))</f>
        <v/>
      </c>
      <c r="D144" s="45"/>
      <c r="E144" s="27" t="str">
        <f ca="1">IF($B144="","",IF($B$4="Apprenticeship","-",SUM(IF(SUM(C144/12)&lt;Thresholds_Rates!$C$7,(SUM(C144/12)-Thresholds_Rates!$C$5)*Thresholds_Rates!$C$9,(Thresholds_Rates!$C$7-Thresholds_Rates!$C$5)*Thresholds_Rates!$C$9),IF(SUM(C144/12)&gt;Thresholds_Rates!$C$7,((SUM(C144/12)-Thresholds_Rates!$C$7)*Thresholds_Rates!$C$10),0),SUM(Thresholds_Rates!$C$5-Thresholds_Rates!$C$4)*-Thresholds_Rates!$C$8)*12))</f>
        <v/>
      </c>
      <c r="F144" s="27" t="str">
        <f ca="1">IF($B144="","",IF(AND($B$4="Salary Points 1 to 57",B144&lt;$AA$2),"-",IF(SUMIF(Grades!$A:$A,$B$4,Grades!BO:BO)=0,"-",IF(AND($B$4="Salary Points 1 to 57",B144&gt;=$AA$2),$C144*$AD$1,IF(AND(OR($B$4="New Consultant Contract"),$B144&lt;&gt;""),$C144*$AD$1,IF(AND(OR($B$4="Clinical Lecturer / Medical Research Fellow",$B$4="Clinical Consultant - Old Contract (GP)"),$B144&lt;&gt;""),$C144*$AD$1,IF(AND(OR($B$4="APM Level 7",$B$4="R&amp;T Level 7"),E144&lt;&gt;""),$C144*$AD$1,IF(SUMIF(Grades!$A:$A,$B$4,Grades!BO:BO)=1,$C144*$AD$1,""))))))))</f>
        <v/>
      </c>
      <c r="G144" s="27" t="str">
        <f ca="1">IF(B144="","",IF($B$4="Salary Points 1 to 57","-",IF(SUMIF(Grades!$A:$A,$B$4,Grades!BP:BP)=0,"-",IF(AND(OR($B$4="New Consultant Contract"),$B144&lt;&gt;""),$C144*$AD$2,IF(AND(OR($B$4="Clinical Lecturer / Medical Research Fellow",$B$4="Clinical Consultant - Old Contract (GP)"),$B144&lt;&gt;""),$C144*$AD$2,IF(AND(OR($B$4="APM Level 7",$B$4="R&amp;T Level 7"),F144&lt;&gt;""),$C144*$AD$2,IF(SUMIF(Grades!$A:$A,$B$4,Grades!BP:BP)=1,$C144*$AD$2,"")))))))</f>
        <v/>
      </c>
      <c r="H144" s="27" t="str">
        <f ca="1">IF(B144="","",IF(SUMIF(Grades!$A:$A,$B$4,Grades!BQ:BQ)=0,"-",IF(AND($B$4="Salary Points 1 to 57",B144&gt;$AA$3),"-",IF(AND($B$4="Salary Points 1 to 57",B144&lt;=$AA$3),$C144*$AD$3,IF(AND(OR($B$4="New Consultant Contract"),$B144&lt;&gt;""),$C144*$AD$3,IF(AND(OR($B$4="Clinical Lecturer / Medical Research Fellow",$B$4="Clinical Consultant - Old Contract (GP)"),$B144&lt;&gt;""),$C144*$AD$3,IF(AND(OR($B$4="APM Level 7",$B$4="R&amp;T Level 7"),G144&lt;&gt;""),$C144*$AD$3,IF(SUMIF(Grades!$A:$A,$B$4,Grades!BQ:BQ)=1,$C144*$AD$3,""))))))))</f>
        <v/>
      </c>
      <c r="I144" s="27"/>
      <c r="J144" s="27"/>
      <c r="K144" s="6"/>
      <c r="L144" s="27"/>
      <c r="M144" s="27"/>
      <c r="N144" s="27"/>
      <c r="O144" s="27"/>
      <c r="P144" s="27"/>
      <c r="R144" s="31"/>
      <c r="S144" s="32"/>
      <c r="T144" s="31"/>
      <c r="U144" s="32"/>
    </row>
    <row r="145" spans="2:21" x14ac:dyDescent="0.25">
      <c r="B145" s="6" t="str">
        <f ca="1">IFERROR(INDEX(Points_Lookup!A:A,MATCH($Z147,Points_Lookup!$AE:$AE,0)),"")</f>
        <v/>
      </c>
      <c r="C145" s="27" t="str">
        <f ca="1">IF(B145="","",IF($B$4="Apprenticeship",SUMIF(Points_Lookup!AA:AA,B145,Points_Lookup!AC:AC),IF(AND(OR($B$4="New Consultant Contract"),$B145&lt;&gt;""),INDEX(Points_Lookup!K:K,MATCH($B145,Points_Lookup!$J:$J,0)),IF(AND(OR($B$4="Clinical Lecturer / Medical Research Fellow",$B$4="Clinical Consultant - Old Contract (GP)"),$B145&lt;&gt;""),INDEX(Points_Lookup!H:H,MATCH($B145,Points_Lookup!$G:$G,0)),IF(AND(OR($B$4="APM Level 7",$B$4="R&amp;T Level 7",$B$4="APM Level 8"),B145&lt;&gt;""),INDEX(Points_Lookup!E:E,MATCH($Z145,Points_Lookup!$AE:$AE,0)),IF($B$4="R&amp;T Level 5 - Clinical Lecturers (Vet School)",SUMIF(Points_Lookup!$M:$M,$B145,Points_Lookup!$P:$P),IF($B$4="R&amp;T Level 6 - Clinical Associate Professors and Clinical Readers (Vet School)",SUMIF(Points_Lookup!$T:$T,$B145,Points_Lookup!$W:$W),IFERROR(INDEX(Points_Lookup!B:B,MATCH($Z145,Points_Lookup!$AE:$AE,0)),""))))))))</f>
        <v/>
      </c>
      <c r="D145" s="45"/>
      <c r="E145" s="27" t="str">
        <f ca="1">IF($B145="","",IF($B$4="Apprenticeship","-",SUM(IF(SUM(C145/12)&lt;Thresholds_Rates!$C$7,(SUM(C145/12)-Thresholds_Rates!$C$5)*Thresholds_Rates!$C$9,(Thresholds_Rates!$C$7-Thresholds_Rates!$C$5)*Thresholds_Rates!$C$9),IF(SUM(C145/12)&gt;Thresholds_Rates!$C$7,((SUM(C145/12)-Thresholds_Rates!$C$7)*Thresholds_Rates!$C$10),0),SUM(Thresholds_Rates!$C$5-Thresholds_Rates!$C$4)*-Thresholds_Rates!$C$8)*12))</f>
        <v/>
      </c>
      <c r="F145" s="27" t="str">
        <f ca="1">IF($B145="","",IF(AND($B$4="Salary Points 1 to 57",B145&lt;$AA$2),"-",IF(SUMIF(Grades!$A:$A,$B$4,Grades!BO:BO)=0,"-",IF(AND($B$4="Salary Points 1 to 57",B145&gt;=$AA$2),$C145*$AD$1,IF(AND(OR($B$4="New Consultant Contract"),$B145&lt;&gt;""),$C145*$AD$1,IF(AND(OR($B$4="Clinical Lecturer / Medical Research Fellow",$B$4="Clinical Consultant - Old Contract (GP)"),$B145&lt;&gt;""),$C145*$AD$1,IF(AND(OR($B$4="APM Level 7",$B$4="R&amp;T Level 7"),E145&lt;&gt;""),$C145*$AD$1,IF(SUMIF(Grades!$A:$A,$B$4,Grades!BO:BO)=1,$C145*$AD$1,""))))))))</f>
        <v/>
      </c>
      <c r="G145" s="27" t="str">
        <f ca="1">IF(B145="","",IF($B$4="Salary Points 1 to 57","-",IF(SUMIF(Grades!$A:$A,$B$4,Grades!BP:BP)=0,"-",IF(AND(OR($B$4="New Consultant Contract"),$B145&lt;&gt;""),$C145*$AD$2,IF(AND(OR($B$4="Clinical Lecturer / Medical Research Fellow",$B$4="Clinical Consultant - Old Contract (GP)"),$B145&lt;&gt;""),$C145*$AD$2,IF(AND(OR($B$4="APM Level 7",$B$4="R&amp;T Level 7"),F145&lt;&gt;""),$C145*$AD$2,IF(SUMIF(Grades!$A:$A,$B$4,Grades!BP:BP)=1,$C145*$AD$2,"")))))))</f>
        <v/>
      </c>
      <c r="H145" s="27" t="str">
        <f ca="1">IF(B145="","",IF(SUMIF(Grades!$A:$A,$B$4,Grades!BQ:BQ)=0,"-",IF(AND($B$4="Salary Points 1 to 57",B145&gt;$AA$3),"-",IF(AND($B$4="Salary Points 1 to 57",B145&lt;=$AA$3),$C145*$AD$3,IF(AND(OR($B$4="New Consultant Contract"),$B145&lt;&gt;""),$C145*$AD$3,IF(AND(OR($B$4="Clinical Lecturer / Medical Research Fellow",$B$4="Clinical Consultant - Old Contract (GP)"),$B145&lt;&gt;""),$C145*$AD$3,IF(AND(OR($B$4="APM Level 7",$B$4="R&amp;T Level 7"),G145&lt;&gt;""),$C145*$AD$3,IF(SUMIF(Grades!$A:$A,$B$4,Grades!BQ:BQ)=1,$C145*$AD$3,""))))))))</f>
        <v/>
      </c>
      <c r="I145" s="27"/>
      <c r="J145" s="27"/>
      <c r="K145" s="6"/>
      <c r="L145" s="27"/>
      <c r="M145" s="27"/>
      <c r="N145" s="27"/>
      <c r="O145" s="27"/>
      <c r="P145" s="27"/>
      <c r="R145" s="31"/>
      <c r="S145" s="32"/>
      <c r="T145" s="31"/>
      <c r="U145" s="32"/>
    </row>
    <row r="146" spans="2:21" x14ac:dyDescent="0.25">
      <c r="B146" s="6" t="str">
        <f ca="1">IFERROR(INDEX(Points_Lookup!A:A,MATCH($Z148,Points_Lookup!$AE:$AE,0)),"")</f>
        <v/>
      </c>
      <c r="C146" s="27" t="str">
        <f ca="1">IF(B146="","",IF($B$4="Apprenticeship",SUMIF(Points_Lookup!AA:AA,B146,Points_Lookup!AC:AC),IF(AND(OR($B$4="New Consultant Contract"),$B146&lt;&gt;""),INDEX(Points_Lookup!K:K,MATCH($B146,Points_Lookup!$J:$J,0)),IF(AND(OR($B$4="Clinical Lecturer / Medical Research Fellow",$B$4="Clinical Consultant - Old Contract (GP)"),$B146&lt;&gt;""),INDEX(Points_Lookup!H:H,MATCH($B146,Points_Lookup!$G:$G,0)),IF(AND(OR($B$4="APM Level 7",$B$4="R&amp;T Level 7",$B$4="APM Level 8"),B146&lt;&gt;""),INDEX(Points_Lookup!E:E,MATCH($Z146,Points_Lookup!$AE:$AE,0)),IF($B$4="R&amp;T Level 5 - Clinical Lecturers (Vet School)",SUMIF(Points_Lookup!$M:$M,$B146,Points_Lookup!$P:$P),IF($B$4="R&amp;T Level 6 - Clinical Associate Professors and Clinical Readers (Vet School)",SUMIF(Points_Lookup!$T:$T,$B146,Points_Lookup!$W:$W),IFERROR(INDEX(Points_Lookup!B:B,MATCH($Z146,Points_Lookup!$AE:$AE,0)),""))))))))</f>
        <v/>
      </c>
      <c r="D146" s="45"/>
      <c r="E146" s="27" t="str">
        <f ca="1">IF($B146="","",IF($B$4="Apprenticeship","-",SUM(IF(SUM(C146/12)&lt;Thresholds_Rates!$C$7,(SUM(C146/12)-Thresholds_Rates!$C$5)*Thresholds_Rates!$C$9,(Thresholds_Rates!$C$7-Thresholds_Rates!$C$5)*Thresholds_Rates!$C$9),IF(SUM(C146/12)&gt;Thresholds_Rates!$C$7,((SUM(C146/12)-Thresholds_Rates!$C$7)*Thresholds_Rates!$C$10),0),SUM(Thresholds_Rates!$C$5-Thresholds_Rates!$C$4)*-Thresholds_Rates!$C$8)*12))</f>
        <v/>
      </c>
      <c r="F146" s="27" t="str">
        <f ca="1">IF($B146="","",IF(AND($B$4="Salary Points 1 to 57",B146&lt;$AA$2),"-",IF(SUMIF(Grades!$A:$A,$B$4,Grades!BO:BO)=0,"-",IF(AND($B$4="Salary Points 1 to 57",B146&gt;=$AA$2),$C146*$AD$1,IF(AND(OR($B$4="New Consultant Contract"),$B146&lt;&gt;""),$C146*$AD$1,IF(AND(OR($B$4="Clinical Lecturer / Medical Research Fellow",$B$4="Clinical Consultant - Old Contract (GP)"),$B146&lt;&gt;""),$C146*$AD$1,IF(AND(OR($B$4="APM Level 7",$B$4="R&amp;T Level 7"),E146&lt;&gt;""),$C146*$AD$1,IF(SUMIF(Grades!$A:$A,$B$4,Grades!BO:BO)=1,$C146*$AD$1,""))))))))</f>
        <v/>
      </c>
      <c r="G146" s="27" t="str">
        <f ca="1">IF(B146="","",IF($B$4="Salary Points 1 to 57","-",IF(SUMIF(Grades!$A:$A,$B$4,Grades!BP:BP)=0,"-",IF(AND(OR($B$4="New Consultant Contract"),$B146&lt;&gt;""),$C146*$AD$2,IF(AND(OR($B$4="Clinical Lecturer / Medical Research Fellow",$B$4="Clinical Consultant - Old Contract (GP)"),$B146&lt;&gt;""),$C146*$AD$2,IF(AND(OR($B$4="APM Level 7",$B$4="R&amp;T Level 7"),F146&lt;&gt;""),$C146*$AD$2,IF(SUMIF(Grades!$A:$A,$B$4,Grades!BP:BP)=1,$C146*$AD$2,"")))))))</f>
        <v/>
      </c>
      <c r="H146" s="27" t="str">
        <f ca="1">IF(B146="","",IF(SUMIF(Grades!$A:$A,$B$4,Grades!BQ:BQ)=0,"-",IF(AND($B$4="Salary Points 1 to 57",B146&gt;$AA$3),"-",IF(AND($B$4="Salary Points 1 to 57",B146&lt;=$AA$3),$C146*$AD$3,IF(AND(OR($B$4="New Consultant Contract"),$B146&lt;&gt;""),$C146*$AD$3,IF(AND(OR($B$4="Clinical Lecturer / Medical Research Fellow",$B$4="Clinical Consultant - Old Contract (GP)"),$B146&lt;&gt;""),$C146*$AD$3,IF(AND(OR($B$4="APM Level 7",$B$4="R&amp;T Level 7"),G146&lt;&gt;""),$C146*$AD$3,IF(SUMIF(Grades!$A:$A,$B$4,Grades!BQ:BQ)=1,$C146*$AD$3,""))))))))</f>
        <v/>
      </c>
      <c r="I146" s="27"/>
      <c r="J146" s="27"/>
      <c r="K146" s="6"/>
      <c r="L146" s="27"/>
      <c r="M146" s="27"/>
      <c r="N146" s="27"/>
      <c r="O146" s="27"/>
      <c r="P146" s="27"/>
      <c r="R146" s="31"/>
      <c r="S146" s="32"/>
      <c r="T146" s="31"/>
      <c r="U146" s="32"/>
    </row>
    <row r="147" spans="2:21" x14ac:dyDescent="0.25">
      <c r="B147" s="6" t="str">
        <f ca="1">IFERROR(INDEX(Points_Lookup!A:A,MATCH($Z149,Points_Lookup!$AE:$AE,0)),"")</f>
        <v/>
      </c>
      <c r="C147" s="27" t="str">
        <f ca="1">IF(B147="","",IF($B$4="Apprenticeship",SUMIF(Points_Lookup!AA:AA,B147,Points_Lookup!AC:AC),IF(AND(OR($B$4="New Consultant Contract"),$B147&lt;&gt;""),INDEX(Points_Lookup!K:K,MATCH($B147,Points_Lookup!$J:$J,0)),IF(AND(OR($B$4="Clinical Lecturer / Medical Research Fellow",$B$4="Clinical Consultant - Old Contract (GP)"),$B147&lt;&gt;""),INDEX(Points_Lookup!H:H,MATCH($B147,Points_Lookup!$G:$G,0)),IF(AND(OR($B$4="APM Level 7",$B$4="R&amp;T Level 7",$B$4="APM Level 8"),B147&lt;&gt;""),INDEX(Points_Lookup!E:E,MATCH($Z147,Points_Lookup!$AE:$AE,0)),IF($B$4="R&amp;T Level 5 - Clinical Lecturers (Vet School)",SUMIF(Points_Lookup!$M:$M,$B147,Points_Lookup!$P:$P),IF($B$4="R&amp;T Level 6 - Clinical Associate Professors and Clinical Readers (Vet School)",SUMIF(Points_Lookup!$T:$T,$B147,Points_Lookup!$W:$W),IFERROR(INDEX(Points_Lookup!B:B,MATCH($Z147,Points_Lookup!$AE:$AE,0)),""))))))))</f>
        <v/>
      </c>
      <c r="D147" s="45"/>
      <c r="E147" s="27" t="str">
        <f ca="1">IF($B147="","",IF($B$4="Apprenticeship","-",SUM(IF(SUM(C147/12)&lt;Thresholds_Rates!$C$7,(SUM(C147/12)-Thresholds_Rates!$C$5)*Thresholds_Rates!$C$9,(Thresholds_Rates!$C$7-Thresholds_Rates!$C$5)*Thresholds_Rates!$C$9),IF(SUM(C147/12)&gt;Thresholds_Rates!$C$7,((SUM(C147/12)-Thresholds_Rates!$C$7)*Thresholds_Rates!$C$10),0),SUM(Thresholds_Rates!$C$5-Thresholds_Rates!$C$4)*-Thresholds_Rates!$C$8)*12))</f>
        <v/>
      </c>
      <c r="F147" s="27" t="str">
        <f ca="1">IF($B147="","",IF(AND($B$4="Salary Points 1 to 57",B147&lt;$AA$2),"-",IF(SUMIF(Grades!$A:$A,$B$4,Grades!BO:BO)=0,"-",IF(AND($B$4="Salary Points 1 to 57",B147&gt;=$AA$2),$C147*$AD$1,IF(AND(OR($B$4="New Consultant Contract"),$B147&lt;&gt;""),$C147*$AD$1,IF(AND(OR($B$4="Clinical Lecturer / Medical Research Fellow",$B$4="Clinical Consultant - Old Contract (GP)"),$B147&lt;&gt;""),$C147*$AD$1,IF(AND(OR($B$4="APM Level 7",$B$4="R&amp;T Level 7"),E147&lt;&gt;""),$C147*$AD$1,IF(SUMIF(Grades!$A:$A,$B$4,Grades!BO:BO)=1,$C147*$AD$1,""))))))))</f>
        <v/>
      </c>
      <c r="G147" s="27" t="str">
        <f ca="1">IF(B147="","",IF($B$4="Salary Points 1 to 57","-",IF(SUMIF(Grades!$A:$A,$B$4,Grades!BP:BP)=0,"-",IF(AND(OR($B$4="New Consultant Contract"),$B147&lt;&gt;""),$C147*$AD$2,IF(AND(OR($B$4="Clinical Lecturer / Medical Research Fellow",$B$4="Clinical Consultant - Old Contract (GP)"),$B147&lt;&gt;""),$C147*$AD$2,IF(AND(OR($B$4="APM Level 7",$B$4="R&amp;T Level 7"),F147&lt;&gt;""),$C147*$AD$2,IF(SUMIF(Grades!$A:$A,$B$4,Grades!BP:BP)=1,$C147*$AD$2,"")))))))</f>
        <v/>
      </c>
      <c r="H147" s="27" t="str">
        <f ca="1">IF(B147="","",IF(SUMIF(Grades!$A:$A,$B$4,Grades!BQ:BQ)=0,"-",IF(AND($B$4="Salary Points 1 to 57",B147&gt;$AA$3),"-",IF(AND($B$4="Salary Points 1 to 57",B147&lt;=$AA$3),$C147*$AD$3,IF(AND(OR($B$4="New Consultant Contract"),$B147&lt;&gt;""),$C147*$AD$3,IF(AND(OR($B$4="Clinical Lecturer / Medical Research Fellow",$B$4="Clinical Consultant - Old Contract (GP)"),$B147&lt;&gt;""),$C147*$AD$3,IF(AND(OR($B$4="APM Level 7",$B$4="R&amp;T Level 7"),G147&lt;&gt;""),$C147*$AD$3,IF(SUMIF(Grades!$A:$A,$B$4,Grades!BQ:BQ)=1,$C147*$AD$3,""))))))))</f>
        <v/>
      </c>
      <c r="I147" s="27"/>
      <c r="J147" s="27"/>
      <c r="K147" s="6"/>
      <c r="L147" s="27"/>
      <c r="M147" s="27"/>
      <c r="N147" s="27"/>
      <c r="O147" s="27"/>
      <c r="P147" s="27"/>
      <c r="R147" s="31"/>
      <c r="S147" s="32"/>
      <c r="T147" s="31"/>
      <c r="U147" s="32"/>
    </row>
    <row r="148" spans="2:21" x14ac:dyDescent="0.25">
      <c r="B148" s="6" t="str">
        <f ca="1">IFERROR(INDEX(Points_Lookup!A:A,MATCH($Z150,Points_Lookup!$AE:$AE,0)),"")</f>
        <v/>
      </c>
      <c r="C148" s="27" t="str">
        <f ca="1">IF(B148="","",IF($B$4="Apprenticeship",SUMIF(Points_Lookup!AA:AA,B148,Points_Lookup!AC:AC),IF(AND(OR($B$4="New Consultant Contract"),$B148&lt;&gt;""),INDEX(Points_Lookup!K:K,MATCH($B148,Points_Lookup!$J:$J,0)),IF(AND(OR($B$4="Clinical Lecturer / Medical Research Fellow",$B$4="Clinical Consultant - Old Contract (GP)"),$B148&lt;&gt;""),INDEX(Points_Lookup!H:H,MATCH($B148,Points_Lookup!$G:$G,0)),IF(AND(OR($B$4="APM Level 7",$B$4="R&amp;T Level 7",$B$4="APM Level 8"),B148&lt;&gt;""),INDEX(Points_Lookup!E:E,MATCH($Z148,Points_Lookup!$AE:$AE,0)),IF($B$4="R&amp;T Level 5 - Clinical Lecturers (Vet School)",SUMIF(Points_Lookup!$M:$M,$B148,Points_Lookup!$P:$P),IF($B$4="R&amp;T Level 6 - Clinical Associate Professors and Clinical Readers (Vet School)",SUMIF(Points_Lookup!$T:$T,$B148,Points_Lookup!$W:$W),IFERROR(INDEX(Points_Lookup!B:B,MATCH($Z148,Points_Lookup!$AE:$AE,0)),""))))))))</f>
        <v/>
      </c>
      <c r="D148" s="45"/>
      <c r="E148" s="27" t="str">
        <f ca="1">IF($B148="","",IF($B$4="Apprenticeship","-",SUM(IF(SUM(C148/12)&lt;Thresholds_Rates!$C$7,(SUM(C148/12)-Thresholds_Rates!$C$5)*Thresholds_Rates!$C$9,(Thresholds_Rates!$C$7-Thresholds_Rates!$C$5)*Thresholds_Rates!$C$9),IF(SUM(C148/12)&gt;Thresholds_Rates!$C$7,((SUM(C148/12)-Thresholds_Rates!$C$7)*Thresholds_Rates!$C$10),0),SUM(Thresholds_Rates!$C$5-Thresholds_Rates!$C$4)*-Thresholds_Rates!$C$8)*12))</f>
        <v/>
      </c>
      <c r="F148" s="27" t="str">
        <f ca="1">IF($B148="","",IF(AND($B$4="Salary Points 1 to 57",B148&lt;$AA$2),"-",IF(SUMIF(Grades!$A:$A,$B$4,Grades!BO:BO)=0,"-",IF(AND($B$4="Salary Points 1 to 57",B148&gt;=$AA$2),$C148*$AD$1,IF(AND(OR($B$4="New Consultant Contract"),$B148&lt;&gt;""),$C148*$AD$1,IF(AND(OR($B$4="Clinical Lecturer / Medical Research Fellow",$B$4="Clinical Consultant - Old Contract (GP)"),$B148&lt;&gt;""),$C148*$AD$1,IF(AND(OR($B$4="APM Level 7",$B$4="R&amp;T Level 7"),E148&lt;&gt;""),$C148*$AD$1,IF(SUMIF(Grades!$A:$A,$B$4,Grades!BO:BO)=1,$C148*$AD$1,""))))))))</f>
        <v/>
      </c>
      <c r="G148" s="27" t="str">
        <f ca="1">IF(B148="","",IF($B$4="Salary Points 1 to 57","-",IF(SUMIF(Grades!$A:$A,$B$4,Grades!BP:BP)=0,"-",IF(AND(OR($B$4="New Consultant Contract"),$B148&lt;&gt;""),$C148*$AD$2,IF(AND(OR($B$4="Clinical Lecturer / Medical Research Fellow",$B$4="Clinical Consultant - Old Contract (GP)"),$B148&lt;&gt;""),$C148*$AD$2,IF(AND(OR($B$4="APM Level 7",$B$4="R&amp;T Level 7"),F148&lt;&gt;""),$C148*$AD$2,IF(SUMIF(Grades!$A:$A,$B$4,Grades!BP:BP)=1,$C148*$AD$2,"")))))))</f>
        <v/>
      </c>
      <c r="H148" s="27" t="str">
        <f ca="1">IF(B148="","",IF(SUMIF(Grades!$A:$A,$B$4,Grades!BQ:BQ)=0,"-",IF(AND($B$4="Salary Points 1 to 57",B148&gt;$AA$3),"-",IF(AND($B$4="Salary Points 1 to 57",B148&lt;=$AA$3),$C148*$AD$3,IF(AND(OR($B$4="New Consultant Contract"),$B148&lt;&gt;""),$C148*$AD$3,IF(AND(OR($B$4="Clinical Lecturer / Medical Research Fellow",$B$4="Clinical Consultant - Old Contract (GP)"),$B148&lt;&gt;""),$C148*$AD$3,IF(AND(OR($B$4="APM Level 7",$B$4="R&amp;T Level 7"),G148&lt;&gt;""),$C148*$AD$3,IF(SUMIF(Grades!$A:$A,$B$4,Grades!BQ:BQ)=1,$C148*$AD$3,""))))))))</f>
        <v/>
      </c>
      <c r="I148" s="27"/>
      <c r="J148" s="27"/>
      <c r="K148" s="6"/>
      <c r="L148" s="27"/>
      <c r="M148" s="27"/>
      <c r="N148" s="27"/>
      <c r="O148" s="27"/>
      <c r="P148" s="27"/>
      <c r="R148" s="31"/>
      <c r="S148" s="32"/>
      <c r="T148" s="31"/>
      <c r="U148" s="32"/>
    </row>
    <row r="149" spans="2:21" x14ac:dyDescent="0.25">
      <c r="B149" s="6" t="str">
        <f ca="1">IFERROR(INDEX(Points_Lookup!A:A,MATCH($Z151,Points_Lookup!$AE:$AE,0)),"")</f>
        <v/>
      </c>
      <c r="C149" s="27" t="str">
        <f ca="1">IF(B149="","",IF($B$4="Apprenticeship",SUMIF(Points_Lookup!AA:AA,B149,Points_Lookup!AC:AC),IF(AND(OR($B$4="New Consultant Contract"),$B149&lt;&gt;""),INDEX(Points_Lookup!K:K,MATCH($B149,Points_Lookup!$J:$J,0)),IF(AND(OR($B$4="Clinical Lecturer / Medical Research Fellow",$B$4="Clinical Consultant - Old Contract (GP)"),$B149&lt;&gt;""),INDEX(Points_Lookup!H:H,MATCH($B149,Points_Lookup!$G:$G,0)),IF(AND(OR($B$4="APM Level 7",$B$4="R&amp;T Level 7",$B$4="APM Level 8"),B149&lt;&gt;""),INDEX(Points_Lookup!E:E,MATCH($Z149,Points_Lookup!$AE:$AE,0)),IF($B$4="R&amp;T Level 5 - Clinical Lecturers (Vet School)",SUMIF(Points_Lookup!$M:$M,$B149,Points_Lookup!$P:$P),IF($B$4="R&amp;T Level 6 - Clinical Associate Professors and Clinical Readers (Vet School)",SUMIF(Points_Lookup!$T:$T,$B149,Points_Lookup!$W:$W),IFERROR(INDEX(Points_Lookup!B:B,MATCH($Z149,Points_Lookup!$AE:$AE,0)),""))))))))</f>
        <v/>
      </c>
      <c r="D149" s="45"/>
      <c r="E149" s="27" t="str">
        <f ca="1">IF($B149="","",IF($B$4="Apprenticeship","-",SUM(IF(SUM(C149/12)&lt;Thresholds_Rates!$C$7,(SUM(C149/12)-Thresholds_Rates!$C$5)*Thresholds_Rates!$C$9,(Thresholds_Rates!$C$7-Thresholds_Rates!$C$5)*Thresholds_Rates!$C$9),IF(SUM(C149/12)&gt;Thresholds_Rates!$C$7,((SUM(C149/12)-Thresholds_Rates!$C$7)*Thresholds_Rates!$C$10),0),SUM(Thresholds_Rates!$C$5-Thresholds_Rates!$C$4)*-Thresholds_Rates!$C$8)*12))</f>
        <v/>
      </c>
      <c r="F149" s="27" t="str">
        <f ca="1">IF($B149="","",IF(AND($B$4="Salary Points 1 to 57",B149&lt;$AA$2),"-",IF(SUMIF(Grades!$A:$A,$B$4,Grades!BO:BO)=0,"-",IF(AND($B$4="Salary Points 1 to 57",B149&gt;=$AA$2),$C149*$AD$1,IF(AND(OR($B$4="New Consultant Contract"),$B149&lt;&gt;""),$C149*$AD$1,IF(AND(OR($B$4="Clinical Lecturer / Medical Research Fellow",$B$4="Clinical Consultant - Old Contract (GP)"),$B149&lt;&gt;""),$C149*$AD$1,IF(AND(OR($B$4="APM Level 7",$B$4="R&amp;T Level 7"),E149&lt;&gt;""),$C149*$AD$1,IF(SUMIF(Grades!$A:$A,$B$4,Grades!BO:BO)=1,$C149*$AD$1,""))))))))</f>
        <v/>
      </c>
      <c r="G149" s="27" t="str">
        <f ca="1">IF(B149="","",IF($B$4="Salary Points 1 to 57","-",IF(SUMIF(Grades!$A:$A,$B$4,Grades!BP:BP)=0,"-",IF(AND(OR($B$4="New Consultant Contract"),$B149&lt;&gt;""),$C149*$AD$2,IF(AND(OR($B$4="Clinical Lecturer / Medical Research Fellow",$B$4="Clinical Consultant - Old Contract (GP)"),$B149&lt;&gt;""),$C149*$AD$2,IF(AND(OR($B$4="APM Level 7",$B$4="R&amp;T Level 7"),F149&lt;&gt;""),$C149*$AD$2,IF(SUMIF(Grades!$A:$A,$B$4,Grades!BP:BP)=1,$C149*$AD$2,"")))))))</f>
        <v/>
      </c>
      <c r="H149" s="27" t="str">
        <f ca="1">IF(B149="","",IF(SUMIF(Grades!$A:$A,$B$4,Grades!BQ:BQ)=0,"-",IF(AND($B$4="Salary Points 1 to 57",B149&gt;$AA$3),"-",IF(AND($B$4="Salary Points 1 to 57",B149&lt;=$AA$3),$C149*$AD$3,IF(AND(OR($B$4="New Consultant Contract"),$B149&lt;&gt;""),$C149*$AD$3,IF(AND(OR($B$4="Clinical Lecturer / Medical Research Fellow",$B$4="Clinical Consultant - Old Contract (GP)"),$B149&lt;&gt;""),$C149*$AD$3,IF(AND(OR($B$4="APM Level 7",$B$4="R&amp;T Level 7"),G149&lt;&gt;""),$C149*$AD$3,IF(SUMIF(Grades!$A:$A,$B$4,Grades!BQ:BQ)=1,$C149*$AD$3,""))))))))</f>
        <v/>
      </c>
      <c r="I149" s="27"/>
      <c r="J149" s="27"/>
      <c r="K149" s="6"/>
      <c r="L149" s="27"/>
      <c r="M149" s="27"/>
      <c r="N149" s="27"/>
      <c r="O149" s="27"/>
      <c r="P149" s="27"/>
      <c r="R149" s="31"/>
      <c r="S149" s="32"/>
      <c r="T149" s="31"/>
      <c r="U149" s="32"/>
    </row>
    <row r="150" spans="2:21" x14ac:dyDescent="0.25">
      <c r="B150" s="6" t="str">
        <f ca="1">IFERROR(INDEX(Points_Lookup!A:A,MATCH($Z152,Points_Lookup!$AE:$AE,0)),"")</f>
        <v/>
      </c>
      <c r="C150" s="27" t="str">
        <f ca="1">IF(B150="","",IF($B$4="Apprenticeship",SUMIF(Points_Lookup!AA:AA,B150,Points_Lookup!AC:AC),IF(AND(OR($B$4="New Consultant Contract"),$B150&lt;&gt;""),INDEX(Points_Lookup!K:K,MATCH($B150,Points_Lookup!$J:$J,0)),IF(AND(OR($B$4="Clinical Lecturer / Medical Research Fellow",$B$4="Clinical Consultant - Old Contract (GP)"),$B150&lt;&gt;""),INDEX(Points_Lookup!H:H,MATCH($B150,Points_Lookup!$G:$G,0)),IF(AND(OR($B$4="APM Level 7",$B$4="R&amp;T Level 7",$B$4="APM Level 8"),B150&lt;&gt;""),INDEX(Points_Lookup!E:E,MATCH($Z150,Points_Lookup!$AE:$AE,0)),IF($B$4="R&amp;T Level 5 - Clinical Lecturers (Vet School)",SUMIF(Points_Lookup!$M:$M,$B150,Points_Lookup!$P:$P),IF($B$4="R&amp;T Level 6 - Clinical Associate Professors and Clinical Readers (Vet School)",SUMIF(Points_Lookup!$T:$T,$B150,Points_Lookup!$W:$W),IFERROR(INDEX(Points_Lookup!B:B,MATCH($Z150,Points_Lookup!$AE:$AE,0)),""))))))))</f>
        <v/>
      </c>
      <c r="D150" s="45"/>
      <c r="E150" s="27" t="str">
        <f ca="1">IF($B150="","",IF($B$4="Apprenticeship","-",SUM(IF(SUM(C150/12)&lt;Thresholds_Rates!$C$7,(SUM(C150/12)-Thresholds_Rates!$C$5)*Thresholds_Rates!$C$9,(Thresholds_Rates!$C$7-Thresholds_Rates!$C$5)*Thresholds_Rates!$C$9),IF(SUM(C150/12)&gt;Thresholds_Rates!$C$7,((SUM(C150/12)-Thresholds_Rates!$C$7)*Thresholds_Rates!$C$10),0),SUM(Thresholds_Rates!$C$5-Thresholds_Rates!$C$4)*-Thresholds_Rates!$C$8)*12))</f>
        <v/>
      </c>
      <c r="F150" s="27" t="str">
        <f ca="1">IF($B150="","",IF(AND($B$4="Salary Points 1 to 57",B150&lt;$AA$2),"-",IF(SUMIF(Grades!$A:$A,$B$4,Grades!BO:BO)=0,"-",IF(AND($B$4="Salary Points 1 to 57",B150&gt;=$AA$2),$C150*$AD$1,IF(AND(OR($B$4="New Consultant Contract"),$B150&lt;&gt;""),$C150*$AD$1,IF(AND(OR($B$4="Clinical Lecturer / Medical Research Fellow",$B$4="Clinical Consultant - Old Contract (GP)"),$B150&lt;&gt;""),$C150*$AD$1,IF(AND(OR($B$4="APM Level 7",$B$4="R&amp;T Level 7"),E150&lt;&gt;""),$C150*$AD$1,IF(SUMIF(Grades!$A:$A,$B$4,Grades!BO:BO)=1,$C150*$AD$1,""))))))))</f>
        <v/>
      </c>
      <c r="G150" s="27" t="str">
        <f ca="1">IF(B150="","",IF($B$4="Salary Points 1 to 57","-",IF(SUMIF(Grades!$A:$A,$B$4,Grades!BP:BP)=0,"-",IF(AND(OR($B$4="New Consultant Contract"),$B150&lt;&gt;""),$C150*$AD$2,IF(AND(OR($B$4="Clinical Lecturer / Medical Research Fellow",$B$4="Clinical Consultant - Old Contract (GP)"),$B150&lt;&gt;""),$C150*$AD$2,IF(AND(OR($B$4="APM Level 7",$B$4="R&amp;T Level 7"),F150&lt;&gt;""),$C150*$AD$2,IF(SUMIF(Grades!$A:$A,$B$4,Grades!BP:BP)=1,$C150*$AD$2,"")))))))</f>
        <v/>
      </c>
      <c r="H150" s="27" t="str">
        <f ca="1">IF(B150="","",IF(SUMIF(Grades!$A:$A,$B$4,Grades!BQ:BQ)=0,"-",IF(AND($B$4="Salary Points 1 to 57",B150&gt;$AA$3),"-",IF(AND($B$4="Salary Points 1 to 57",B150&lt;=$AA$3),$C150*$AD$3,IF(AND(OR($B$4="New Consultant Contract"),$B150&lt;&gt;""),$C150*$AD$3,IF(AND(OR($B$4="Clinical Lecturer / Medical Research Fellow",$B$4="Clinical Consultant - Old Contract (GP)"),$B150&lt;&gt;""),$C150*$AD$3,IF(AND(OR($B$4="APM Level 7",$B$4="R&amp;T Level 7"),G150&lt;&gt;""),$C150*$AD$3,IF(SUMIF(Grades!$A:$A,$B$4,Grades!BQ:BQ)=1,$C150*$AD$3,""))))))))</f>
        <v/>
      </c>
      <c r="I150" s="27"/>
      <c r="J150" s="27"/>
      <c r="K150" s="6"/>
      <c r="L150" s="27"/>
      <c r="M150" s="27"/>
      <c r="N150" s="27"/>
      <c r="O150" s="27"/>
      <c r="P150" s="27"/>
      <c r="R150" s="31"/>
      <c r="S150" s="32"/>
      <c r="T150" s="31"/>
      <c r="U150" s="32"/>
    </row>
    <row r="151" spans="2:21" x14ac:dyDescent="0.25">
      <c r="B151" s="6" t="str">
        <f ca="1">IFERROR(INDEX(Points_Lookup!A:A,MATCH($Z153,Points_Lookup!$AE:$AE,0)),"")</f>
        <v/>
      </c>
      <c r="C151" s="27" t="str">
        <f ca="1">IF(B151="","",IF($B$4="Apprenticeship",SUMIF(Points_Lookup!AA:AA,B151,Points_Lookup!AC:AC),IF(AND(OR($B$4="New Consultant Contract"),$B151&lt;&gt;""),INDEX(Points_Lookup!K:K,MATCH($B151,Points_Lookup!$J:$J,0)),IF(AND(OR($B$4="Clinical Lecturer / Medical Research Fellow",$B$4="Clinical Consultant - Old Contract (GP)"),$B151&lt;&gt;""),INDEX(Points_Lookup!H:H,MATCH($B151,Points_Lookup!$G:$G,0)),IF(AND(OR($B$4="APM Level 7",$B$4="R&amp;T Level 7",$B$4="APM Level 8"),B151&lt;&gt;""),INDEX(Points_Lookup!E:E,MATCH($Z151,Points_Lookup!$AE:$AE,0)),IF($B$4="R&amp;T Level 5 - Clinical Lecturers (Vet School)",SUMIF(Points_Lookup!$M:$M,$B151,Points_Lookup!$P:$P),IF($B$4="R&amp;T Level 6 - Clinical Associate Professors and Clinical Readers (Vet School)",SUMIF(Points_Lookup!$T:$T,$B151,Points_Lookup!$W:$W),IFERROR(INDEX(Points_Lookup!B:B,MATCH($Z151,Points_Lookup!$AE:$AE,0)),""))))))))</f>
        <v/>
      </c>
      <c r="D151" s="45"/>
      <c r="E151" s="27" t="str">
        <f ca="1">IF($B151="","",IF($B$4="Apprenticeship","-",SUM(IF(SUM(C151/12)&lt;Thresholds_Rates!$C$7,(SUM(C151/12)-Thresholds_Rates!$C$5)*Thresholds_Rates!$C$9,(Thresholds_Rates!$C$7-Thresholds_Rates!$C$5)*Thresholds_Rates!$C$9),IF(SUM(C151/12)&gt;Thresholds_Rates!$C$7,((SUM(C151/12)-Thresholds_Rates!$C$7)*Thresholds_Rates!$C$10),0),SUM(Thresholds_Rates!$C$5-Thresholds_Rates!$C$4)*-Thresholds_Rates!$C$8)*12))</f>
        <v/>
      </c>
      <c r="F151" s="27" t="str">
        <f ca="1">IF($B151="","",IF(AND($B$4="Salary Points 1 to 57",B151&lt;$AA$2),"-",IF(SUMIF(Grades!$A:$A,$B$4,Grades!BO:BO)=0,"-",IF(AND($B$4="Salary Points 1 to 57",B151&gt;=$AA$2),$C151*$AD$1,IF(AND(OR($B$4="New Consultant Contract"),$B151&lt;&gt;""),$C151*$AD$1,IF(AND(OR($B$4="Clinical Lecturer / Medical Research Fellow",$B$4="Clinical Consultant - Old Contract (GP)"),$B151&lt;&gt;""),$C151*$AD$1,IF(AND(OR($B$4="APM Level 7",$B$4="R&amp;T Level 7"),E151&lt;&gt;""),$C151*$AD$1,IF(SUMIF(Grades!$A:$A,$B$4,Grades!BO:BO)=1,$C151*$AD$1,""))))))))</f>
        <v/>
      </c>
      <c r="G151" s="27" t="str">
        <f ca="1">IF(B151="","",IF($B$4="Salary Points 1 to 57","-",IF(SUMIF(Grades!$A:$A,$B$4,Grades!BP:BP)=0,"-",IF(AND(OR($B$4="New Consultant Contract"),$B151&lt;&gt;""),$C151*$AD$2,IF(AND(OR($B$4="Clinical Lecturer / Medical Research Fellow",$B$4="Clinical Consultant - Old Contract (GP)"),$B151&lt;&gt;""),$C151*$AD$2,IF(AND(OR($B$4="APM Level 7",$B$4="R&amp;T Level 7"),F151&lt;&gt;""),$C151*$AD$2,IF(SUMIF(Grades!$A:$A,$B$4,Grades!BP:BP)=1,$C151*$AD$2,"")))))))</f>
        <v/>
      </c>
      <c r="H151" s="27" t="str">
        <f ca="1">IF(B151="","",IF(SUMIF(Grades!$A:$A,$B$4,Grades!BQ:BQ)=0,"-",IF(AND($B$4="Salary Points 1 to 57",B151&gt;$AA$3),"-",IF(AND($B$4="Salary Points 1 to 57",B151&lt;=$AA$3),$C151*$AD$3,IF(AND(OR($B$4="New Consultant Contract"),$B151&lt;&gt;""),$C151*$AD$3,IF(AND(OR($B$4="Clinical Lecturer / Medical Research Fellow",$B$4="Clinical Consultant - Old Contract (GP)"),$B151&lt;&gt;""),$C151*$AD$3,IF(AND(OR($B$4="APM Level 7",$B$4="R&amp;T Level 7"),G151&lt;&gt;""),$C151*$AD$3,IF(SUMIF(Grades!$A:$A,$B$4,Grades!BQ:BQ)=1,$C151*$AD$3,""))))))))</f>
        <v/>
      </c>
      <c r="I151" s="27"/>
      <c r="J151" s="27"/>
      <c r="K151" s="6"/>
      <c r="L151" s="27"/>
      <c r="M151" s="27"/>
      <c r="N151" s="27"/>
      <c r="O151" s="27"/>
      <c r="P151" s="27"/>
      <c r="R151" s="31"/>
      <c r="S151" s="32"/>
      <c r="T151" s="31"/>
      <c r="U151" s="32"/>
    </row>
    <row r="152" spans="2:21" x14ac:dyDescent="0.25">
      <c r="B152" s="6" t="str">
        <f ca="1">IFERROR(INDEX(Points_Lookup!A:A,MATCH($Z154,Points_Lookup!$AE:$AE,0)),"")</f>
        <v/>
      </c>
      <c r="C152" s="27" t="str">
        <f ca="1">IF(B152="","",IF($B$4="Apprenticeship",SUMIF(Points_Lookup!AA:AA,B152,Points_Lookup!AC:AC),IF(AND(OR($B$4="New Consultant Contract"),$B152&lt;&gt;""),INDEX(Points_Lookup!K:K,MATCH($B152,Points_Lookup!$J:$J,0)),IF(AND(OR($B$4="Clinical Lecturer / Medical Research Fellow",$B$4="Clinical Consultant - Old Contract (GP)"),$B152&lt;&gt;""),INDEX(Points_Lookup!H:H,MATCH($B152,Points_Lookup!$G:$G,0)),IF(AND(OR($B$4="APM Level 7",$B$4="R&amp;T Level 7",$B$4="APM Level 8"),B152&lt;&gt;""),INDEX(Points_Lookup!E:E,MATCH($Z152,Points_Lookup!$AE:$AE,0)),IF($B$4="R&amp;T Level 5 - Clinical Lecturers (Vet School)",SUMIF(Points_Lookup!$M:$M,$B152,Points_Lookup!$P:$P),IF($B$4="R&amp;T Level 6 - Clinical Associate Professors and Clinical Readers (Vet School)",SUMIF(Points_Lookup!$T:$T,$B152,Points_Lookup!$W:$W),IFERROR(INDEX(Points_Lookup!B:B,MATCH($Z152,Points_Lookup!$AE:$AE,0)),""))))))))</f>
        <v/>
      </c>
      <c r="D152" s="45"/>
      <c r="E152" s="27" t="str">
        <f ca="1">IF($B152="","",IF($B$4="Apprenticeship","-",SUM(IF(SUM(C152/12)&lt;Thresholds_Rates!$C$7,(SUM(C152/12)-Thresholds_Rates!$C$5)*Thresholds_Rates!$C$9,(Thresholds_Rates!$C$7-Thresholds_Rates!$C$5)*Thresholds_Rates!$C$9),IF(SUM(C152/12)&gt;Thresholds_Rates!$C$7,((SUM(C152/12)-Thresholds_Rates!$C$7)*Thresholds_Rates!$C$10),0),SUM(Thresholds_Rates!$C$5-Thresholds_Rates!$C$4)*-Thresholds_Rates!$C$8)*12))</f>
        <v/>
      </c>
      <c r="F152" s="27" t="str">
        <f ca="1">IF($B152="","",IF(AND($B$4="Salary Points 1 to 57",B152&lt;$AA$2),"-",IF(SUMIF(Grades!$A:$A,$B$4,Grades!BO:BO)=0,"-",IF(AND($B$4="Salary Points 1 to 57",B152&gt;=$AA$2),$C152*$AD$1,IF(AND(OR($B$4="New Consultant Contract"),$B152&lt;&gt;""),$C152*$AD$1,IF(AND(OR($B$4="Clinical Lecturer / Medical Research Fellow",$B$4="Clinical Consultant - Old Contract (GP)"),$B152&lt;&gt;""),$C152*$AD$1,IF(AND(OR($B$4="APM Level 7",$B$4="R&amp;T Level 7"),E152&lt;&gt;""),$C152*$AD$1,IF(SUMIF(Grades!$A:$A,$B$4,Grades!BO:BO)=1,$C152*$AD$1,""))))))))</f>
        <v/>
      </c>
      <c r="G152" s="27" t="str">
        <f ca="1">IF(B152="","",IF($B$4="Salary Points 1 to 57","-",IF(SUMIF(Grades!$A:$A,$B$4,Grades!BP:BP)=0,"-",IF(AND(OR($B$4="New Consultant Contract"),$B152&lt;&gt;""),$C152*$AD$2,IF(AND(OR($B$4="Clinical Lecturer / Medical Research Fellow",$B$4="Clinical Consultant - Old Contract (GP)"),$B152&lt;&gt;""),$C152*$AD$2,IF(AND(OR($B$4="APM Level 7",$B$4="R&amp;T Level 7"),F152&lt;&gt;""),$C152*$AD$2,IF(SUMIF(Grades!$A:$A,$B$4,Grades!BP:BP)=1,$C152*$AD$2,"")))))))</f>
        <v/>
      </c>
      <c r="H152" s="27" t="str">
        <f ca="1">IF(B152="","",IF(SUMIF(Grades!$A:$A,$B$4,Grades!BQ:BQ)=0,"-",IF(AND($B$4="Salary Points 1 to 57",B152&gt;$AA$3),"-",IF(AND($B$4="Salary Points 1 to 57",B152&lt;=$AA$3),$C152*$AD$3,IF(AND(OR($B$4="New Consultant Contract"),$B152&lt;&gt;""),$C152*$AD$3,IF(AND(OR($B$4="Clinical Lecturer / Medical Research Fellow",$B$4="Clinical Consultant - Old Contract (GP)"),$B152&lt;&gt;""),$C152*$AD$3,IF(AND(OR($B$4="APM Level 7",$B$4="R&amp;T Level 7"),G152&lt;&gt;""),$C152*$AD$3,IF(SUMIF(Grades!$A:$A,$B$4,Grades!BQ:BQ)=1,$C152*$AD$3,""))))))))</f>
        <v/>
      </c>
      <c r="I152" s="27"/>
      <c r="J152" s="27"/>
      <c r="K152" s="6"/>
      <c r="L152" s="27"/>
      <c r="M152" s="27"/>
      <c r="N152" s="27"/>
      <c r="O152" s="27"/>
      <c r="P152" s="27"/>
      <c r="R152" s="31"/>
      <c r="S152" s="32"/>
      <c r="T152" s="31"/>
      <c r="U152" s="32"/>
    </row>
    <row r="153" spans="2:21" x14ac:dyDescent="0.25">
      <c r="B153" s="6" t="str">
        <f ca="1">IFERROR(INDEX(Points_Lookup!A:A,MATCH($Z155,Points_Lookup!$AE:$AE,0)),"")</f>
        <v/>
      </c>
      <c r="C153" s="27" t="str">
        <f ca="1">IF(B153="","",IF($B$4="Apprenticeship",SUMIF(Points_Lookup!AA:AA,B153,Points_Lookup!AC:AC),IF(AND(OR($B$4="New Consultant Contract"),$B153&lt;&gt;""),INDEX(Points_Lookup!K:K,MATCH($B153,Points_Lookup!$J:$J,0)),IF(AND(OR($B$4="Clinical Lecturer / Medical Research Fellow",$B$4="Clinical Consultant - Old Contract (GP)"),$B153&lt;&gt;""),INDEX(Points_Lookup!H:H,MATCH($B153,Points_Lookup!$G:$G,0)),IF(AND(OR($B$4="APM Level 7",$B$4="R&amp;T Level 7",$B$4="APM Level 8"),B153&lt;&gt;""),INDEX(Points_Lookup!E:E,MATCH($Z153,Points_Lookup!$AE:$AE,0)),IF($B$4="R&amp;T Level 5 - Clinical Lecturers (Vet School)",SUMIF(Points_Lookup!$M:$M,$B153,Points_Lookup!$P:$P),IF($B$4="R&amp;T Level 6 - Clinical Associate Professors and Clinical Readers (Vet School)",SUMIF(Points_Lookup!$T:$T,$B153,Points_Lookup!$W:$W),IFERROR(INDEX(Points_Lookup!B:B,MATCH($Z153,Points_Lookup!$AE:$AE,0)),""))))))))</f>
        <v/>
      </c>
      <c r="D153" s="45"/>
      <c r="E153" s="27" t="str">
        <f ca="1">IF($B153="","",IF($B$4="Apprenticeship","-",SUM(IF(SUM(C153/12)&lt;Thresholds_Rates!$C$7,(SUM(C153/12)-Thresholds_Rates!$C$5)*Thresholds_Rates!$C$9,(Thresholds_Rates!$C$7-Thresholds_Rates!$C$5)*Thresholds_Rates!$C$9),IF(SUM(C153/12)&gt;Thresholds_Rates!$C$7,((SUM(C153/12)-Thresholds_Rates!$C$7)*Thresholds_Rates!$C$10),0),SUM(Thresholds_Rates!$C$5-Thresholds_Rates!$C$4)*-Thresholds_Rates!$C$8)*12))</f>
        <v/>
      </c>
      <c r="F153" s="27" t="str">
        <f ca="1">IF($B153="","",IF(AND($B$4="Salary Points 1 to 57",B153&lt;$AA$2),"-",IF(SUMIF(Grades!$A:$A,$B$4,Grades!BO:BO)=0,"-",IF(AND($B$4="Salary Points 1 to 57",B153&gt;=$AA$2),$C153*$AD$1,IF(AND(OR($B$4="New Consultant Contract"),$B153&lt;&gt;""),$C153*$AD$1,IF(AND(OR($B$4="Clinical Lecturer / Medical Research Fellow",$B$4="Clinical Consultant - Old Contract (GP)"),$B153&lt;&gt;""),$C153*$AD$1,IF(AND(OR($B$4="APM Level 7",$B$4="R&amp;T Level 7"),E153&lt;&gt;""),$C153*$AD$1,IF(SUMIF(Grades!$A:$A,$B$4,Grades!BO:BO)=1,$C153*$AD$1,""))))))))</f>
        <v/>
      </c>
      <c r="G153" s="27" t="str">
        <f ca="1">IF(B153="","",IF($B$4="Salary Points 1 to 57","-",IF(SUMIF(Grades!$A:$A,$B$4,Grades!BP:BP)=0,"-",IF(AND(OR($B$4="New Consultant Contract"),$B153&lt;&gt;""),$C153*$AD$2,IF(AND(OR($B$4="Clinical Lecturer / Medical Research Fellow",$B$4="Clinical Consultant - Old Contract (GP)"),$B153&lt;&gt;""),$C153*$AD$2,IF(AND(OR($B$4="APM Level 7",$B$4="R&amp;T Level 7"),F153&lt;&gt;""),$C153*$AD$2,IF(SUMIF(Grades!$A:$A,$B$4,Grades!BP:BP)=1,$C153*$AD$2,"")))))))</f>
        <v/>
      </c>
      <c r="H153" s="27" t="str">
        <f ca="1">IF(B153="","",IF(SUMIF(Grades!$A:$A,$B$4,Grades!BQ:BQ)=0,"-",IF(AND($B$4="Salary Points 1 to 57",B153&gt;$AA$3),"-",IF(AND($B$4="Salary Points 1 to 57",B153&lt;=$AA$3),$C153*$AD$3,IF(AND(OR($B$4="New Consultant Contract"),$B153&lt;&gt;""),$C153*$AD$3,IF(AND(OR($B$4="Clinical Lecturer / Medical Research Fellow",$B$4="Clinical Consultant - Old Contract (GP)"),$B153&lt;&gt;""),$C153*$AD$3,IF(AND(OR($B$4="APM Level 7",$B$4="R&amp;T Level 7"),G153&lt;&gt;""),$C153*$AD$3,IF(SUMIF(Grades!$A:$A,$B$4,Grades!BQ:BQ)=1,$C153*$AD$3,""))))))))</f>
        <v/>
      </c>
      <c r="I153" s="27"/>
      <c r="J153" s="27"/>
      <c r="K153" s="6"/>
      <c r="L153" s="27"/>
      <c r="M153" s="27"/>
      <c r="N153" s="27"/>
      <c r="O153" s="27"/>
      <c r="P153" s="27"/>
      <c r="R153" s="31"/>
      <c r="S153" s="32"/>
      <c r="T153" s="31"/>
      <c r="U153" s="32"/>
    </row>
    <row r="154" spans="2:21" x14ac:dyDescent="0.25">
      <c r="B154" s="6" t="str">
        <f ca="1">IFERROR(INDEX(Points_Lookup!A:A,MATCH($Z156,Points_Lookup!$AE:$AE,0)),"")</f>
        <v/>
      </c>
      <c r="C154" s="27" t="str">
        <f ca="1">IF(B154="","",IF($B$4="Apprenticeship",SUMIF(Points_Lookup!AA:AA,B154,Points_Lookup!AC:AC),IF(AND(OR($B$4="New Consultant Contract"),$B154&lt;&gt;""),INDEX(Points_Lookup!K:K,MATCH($B154,Points_Lookup!$J:$J,0)),IF(AND(OR($B$4="Clinical Lecturer / Medical Research Fellow",$B$4="Clinical Consultant - Old Contract (GP)"),$B154&lt;&gt;""),INDEX(Points_Lookup!H:H,MATCH($B154,Points_Lookup!$G:$G,0)),IF(AND(OR($B$4="APM Level 7",$B$4="R&amp;T Level 7",$B$4="APM Level 8"),B154&lt;&gt;""),INDEX(Points_Lookup!E:E,MATCH($Z154,Points_Lookup!$AE:$AE,0)),IF($B$4="R&amp;T Level 5 - Clinical Lecturers (Vet School)",SUMIF(Points_Lookup!$M:$M,$B154,Points_Lookup!$P:$P),IF($B$4="R&amp;T Level 6 - Clinical Associate Professors and Clinical Readers (Vet School)",SUMIF(Points_Lookup!$T:$T,$B154,Points_Lookup!$W:$W),IFERROR(INDEX(Points_Lookup!B:B,MATCH($Z154,Points_Lookup!$AE:$AE,0)),""))))))))</f>
        <v/>
      </c>
      <c r="D154" s="45"/>
      <c r="E154" s="27" t="str">
        <f ca="1">IF($B154="","",IF($B$4="Apprenticeship","-",SUM(IF(SUM(C154/12)&lt;Thresholds_Rates!$C$7,(SUM(C154/12)-Thresholds_Rates!$C$5)*Thresholds_Rates!$C$9,(Thresholds_Rates!$C$7-Thresholds_Rates!$C$5)*Thresholds_Rates!$C$9),IF(SUM(C154/12)&gt;Thresholds_Rates!$C$7,((SUM(C154/12)-Thresholds_Rates!$C$7)*Thresholds_Rates!$C$10),0),SUM(Thresholds_Rates!$C$5-Thresholds_Rates!$C$4)*-Thresholds_Rates!$C$8)*12))</f>
        <v/>
      </c>
      <c r="F154" s="27" t="str">
        <f ca="1">IF($B154="","",IF(AND($B$4="Salary Points 1 to 57",B154&lt;$AA$2),"-",IF(SUMIF(Grades!$A:$A,$B$4,Grades!BO:BO)=0,"-",IF(AND($B$4="Salary Points 1 to 57",B154&gt;=$AA$2),$C154*$AD$1,IF(AND(OR($B$4="New Consultant Contract"),$B154&lt;&gt;""),$C154*$AD$1,IF(AND(OR($B$4="Clinical Lecturer / Medical Research Fellow",$B$4="Clinical Consultant - Old Contract (GP)"),$B154&lt;&gt;""),$C154*$AD$1,IF(AND(OR($B$4="APM Level 7",$B$4="R&amp;T Level 7"),E154&lt;&gt;""),$C154*$AD$1,IF(SUMIF(Grades!$A:$A,$B$4,Grades!BO:BO)=1,$C154*$AD$1,""))))))))</f>
        <v/>
      </c>
      <c r="G154" s="27" t="str">
        <f ca="1">IF(B154="","",IF($B$4="Salary Points 1 to 57","-",IF(SUMIF(Grades!$A:$A,$B$4,Grades!BP:BP)=0,"-",IF(AND(OR($B$4="New Consultant Contract"),$B154&lt;&gt;""),$C154*$AD$2,IF(AND(OR($B$4="Clinical Lecturer / Medical Research Fellow",$B$4="Clinical Consultant - Old Contract (GP)"),$B154&lt;&gt;""),$C154*$AD$2,IF(AND(OR($B$4="APM Level 7",$B$4="R&amp;T Level 7"),F154&lt;&gt;""),$C154*$AD$2,IF(SUMIF(Grades!$A:$A,$B$4,Grades!BP:BP)=1,$C154*$AD$2,"")))))))</f>
        <v/>
      </c>
      <c r="H154" s="27" t="str">
        <f ca="1">IF(B154="","",IF(SUMIF(Grades!$A:$A,$B$4,Grades!BQ:BQ)=0,"-",IF(AND($B$4="Salary Points 1 to 57",B154&gt;$AA$3),"-",IF(AND($B$4="Salary Points 1 to 57",B154&lt;=$AA$3),$C154*$AD$3,IF(AND(OR($B$4="New Consultant Contract"),$B154&lt;&gt;""),$C154*$AD$3,IF(AND(OR($B$4="Clinical Lecturer / Medical Research Fellow",$B$4="Clinical Consultant - Old Contract (GP)"),$B154&lt;&gt;""),$C154*$AD$3,IF(AND(OR($B$4="APM Level 7",$B$4="R&amp;T Level 7"),G154&lt;&gt;""),$C154*$AD$3,IF(SUMIF(Grades!$A:$A,$B$4,Grades!BQ:BQ)=1,$C154*$AD$3,""))))))))</f>
        <v/>
      </c>
      <c r="I154" s="27"/>
      <c r="J154" s="27"/>
      <c r="K154" s="6"/>
      <c r="L154" s="27"/>
      <c r="M154" s="27"/>
      <c r="N154" s="27"/>
      <c r="O154" s="27"/>
      <c r="P154" s="27"/>
      <c r="R154" s="31"/>
      <c r="S154" s="32"/>
      <c r="T154" s="31"/>
      <c r="U154" s="32"/>
    </row>
    <row r="155" spans="2:21" x14ac:dyDescent="0.25">
      <c r="B155" s="6" t="str">
        <f ca="1">IFERROR(INDEX(Points_Lookup!A:A,MATCH($Z157,Points_Lookup!$AE:$AE,0)),"")</f>
        <v/>
      </c>
      <c r="C155" s="27" t="str">
        <f ca="1">IF(B155="","",IF($B$4="Apprenticeship",SUMIF(Points_Lookup!AA:AA,B155,Points_Lookup!AC:AC),IF(AND(OR($B$4="New Consultant Contract"),$B155&lt;&gt;""),INDEX(Points_Lookup!K:K,MATCH($B155,Points_Lookup!$J:$J,0)),IF(AND(OR($B$4="Clinical Lecturer / Medical Research Fellow",$B$4="Clinical Consultant - Old Contract (GP)"),$B155&lt;&gt;""),INDEX(Points_Lookup!H:H,MATCH($B155,Points_Lookup!$G:$G,0)),IF(AND(OR($B$4="APM Level 7",$B$4="R&amp;T Level 7",$B$4="APM Level 8"),B155&lt;&gt;""),INDEX(Points_Lookup!E:E,MATCH($Z155,Points_Lookup!$AE:$AE,0)),IF($B$4="R&amp;T Level 5 - Clinical Lecturers (Vet School)",SUMIF(Points_Lookup!$M:$M,$B155,Points_Lookup!$P:$P),IF($B$4="R&amp;T Level 6 - Clinical Associate Professors and Clinical Readers (Vet School)",SUMIF(Points_Lookup!$T:$T,$B155,Points_Lookup!$W:$W),IFERROR(INDEX(Points_Lookup!B:B,MATCH($Z155,Points_Lookup!$AE:$AE,0)),""))))))))</f>
        <v/>
      </c>
      <c r="D155" s="45"/>
      <c r="E155" s="27" t="str">
        <f ca="1">IF($B155="","",IF($B$4="Apprenticeship","-",SUM(IF(SUM(C155/12)&lt;Thresholds_Rates!$C$7,(SUM(C155/12)-Thresholds_Rates!$C$5)*Thresholds_Rates!$C$9,(Thresholds_Rates!$C$7-Thresholds_Rates!$C$5)*Thresholds_Rates!$C$9),IF(SUM(C155/12)&gt;Thresholds_Rates!$C$7,((SUM(C155/12)-Thresholds_Rates!$C$7)*Thresholds_Rates!$C$10),0),SUM(Thresholds_Rates!$C$5-Thresholds_Rates!$C$4)*-Thresholds_Rates!$C$8)*12))</f>
        <v/>
      </c>
      <c r="F155" s="27" t="str">
        <f ca="1">IF($B155="","",IF(AND($B$4="Salary Points 1 to 57",B155&lt;$AA$2),"-",IF(SUMIF(Grades!$A:$A,$B$4,Grades!BO:BO)=0,"-",IF(AND($B$4="Salary Points 1 to 57",B155&gt;=$AA$2),$C155*$AD$1,IF(AND(OR($B$4="New Consultant Contract"),$B155&lt;&gt;""),$C155*$AD$1,IF(AND(OR($B$4="Clinical Lecturer / Medical Research Fellow",$B$4="Clinical Consultant - Old Contract (GP)"),$B155&lt;&gt;""),$C155*$AD$1,IF(AND(OR($B$4="APM Level 7",$B$4="R&amp;T Level 7"),E155&lt;&gt;""),$C155*$AD$1,IF(SUMIF(Grades!$A:$A,$B$4,Grades!BO:BO)=1,$C155*$AD$1,""))))))))</f>
        <v/>
      </c>
      <c r="G155" s="27" t="str">
        <f ca="1">IF(B155="","",IF($B$4="Salary Points 1 to 57","-",IF(SUMIF(Grades!$A:$A,$B$4,Grades!BP:BP)=0,"-",IF(AND(OR($B$4="New Consultant Contract"),$B155&lt;&gt;""),$C155*$AD$2,IF(AND(OR($B$4="Clinical Lecturer / Medical Research Fellow",$B$4="Clinical Consultant - Old Contract (GP)"),$B155&lt;&gt;""),$C155*$AD$2,IF(AND(OR($B$4="APM Level 7",$B$4="R&amp;T Level 7"),F155&lt;&gt;""),$C155*$AD$2,IF(SUMIF(Grades!$A:$A,$B$4,Grades!BP:BP)=1,$C155*$AD$2,"")))))))</f>
        <v/>
      </c>
      <c r="H155" s="27" t="str">
        <f ca="1">IF(B155="","",IF(SUMIF(Grades!$A:$A,$B$4,Grades!BQ:BQ)=0,"-",IF(AND($B$4="Salary Points 1 to 57",B155&gt;$AA$3),"-",IF(AND($B$4="Salary Points 1 to 57",B155&lt;=$AA$3),$C155*$AD$3,IF(AND(OR($B$4="New Consultant Contract"),$B155&lt;&gt;""),$C155*$AD$3,IF(AND(OR($B$4="Clinical Lecturer / Medical Research Fellow",$B$4="Clinical Consultant - Old Contract (GP)"),$B155&lt;&gt;""),$C155*$AD$3,IF(AND(OR($B$4="APM Level 7",$B$4="R&amp;T Level 7"),G155&lt;&gt;""),$C155*$AD$3,IF(SUMIF(Grades!$A:$A,$B$4,Grades!BQ:BQ)=1,$C155*$AD$3,""))))))))</f>
        <v/>
      </c>
      <c r="I155" s="27"/>
      <c r="J155" s="27"/>
      <c r="K155" s="6"/>
      <c r="L155" s="27"/>
      <c r="M155" s="27"/>
      <c r="N155" s="27"/>
      <c r="O155" s="27"/>
      <c r="P155" s="27"/>
      <c r="R155" s="31"/>
      <c r="S155" s="32"/>
      <c r="T155" s="31"/>
      <c r="U155" s="32"/>
    </row>
    <row r="156" spans="2:21" x14ac:dyDescent="0.25">
      <c r="B156" s="6" t="str">
        <f ca="1">IFERROR(INDEX(Points_Lookup!A:A,MATCH($Z158,Points_Lookup!$AE:$AE,0)),"")</f>
        <v/>
      </c>
      <c r="C156" s="27" t="str">
        <f ca="1">IF(B156="","",IF($B$4="Apprenticeship",SUMIF(Points_Lookup!AA:AA,B156,Points_Lookup!AC:AC),IF(AND(OR($B$4="New Consultant Contract"),$B156&lt;&gt;""),INDEX(Points_Lookup!K:K,MATCH($B156,Points_Lookup!$J:$J,0)),IF(AND(OR($B$4="Clinical Lecturer / Medical Research Fellow",$B$4="Clinical Consultant - Old Contract (GP)"),$B156&lt;&gt;""),INDEX(Points_Lookup!H:H,MATCH($B156,Points_Lookup!$G:$G,0)),IF(AND(OR($B$4="APM Level 7",$B$4="R&amp;T Level 7",$B$4="APM Level 8"),B156&lt;&gt;""),INDEX(Points_Lookup!E:E,MATCH($Z156,Points_Lookup!$AE:$AE,0)),IF($B$4="R&amp;T Level 5 - Clinical Lecturers (Vet School)",SUMIF(Points_Lookup!$M:$M,$B156,Points_Lookup!$P:$P),IF($B$4="R&amp;T Level 6 - Clinical Associate Professors and Clinical Readers (Vet School)",SUMIF(Points_Lookup!$T:$T,$B156,Points_Lookup!$W:$W),IFERROR(INDEX(Points_Lookup!B:B,MATCH($Z156,Points_Lookup!$AE:$AE,0)),""))))))))</f>
        <v/>
      </c>
      <c r="D156" s="45"/>
      <c r="E156" s="27" t="str">
        <f ca="1">IF($B156="","",IF($B$4="Apprenticeship","-",SUM(IF(SUM(C156/12)&lt;Thresholds_Rates!$C$7,(SUM(C156/12)-Thresholds_Rates!$C$5)*Thresholds_Rates!$C$9,(Thresholds_Rates!$C$7-Thresholds_Rates!$C$5)*Thresholds_Rates!$C$9),IF(SUM(C156/12)&gt;Thresholds_Rates!$C$7,((SUM(C156/12)-Thresholds_Rates!$C$7)*Thresholds_Rates!$C$10),0),SUM(Thresholds_Rates!$C$5-Thresholds_Rates!$C$4)*-Thresholds_Rates!$C$8)*12))</f>
        <v/>
      </c>
      <c r="F156" s="27" t="str">
        <f ca="1">IF($B156="","",IF(AND($B$4="Salary Points 1 to 57",B156&lt;$AA$2),"-",IF(SUMIF(Grades!$A:$A,$B$4,Grades!BO:BO)=0,"-",IF(AND($B$4="Salary Points 1 to 57",B156&gt;=$AA$2),$C156*$AD$1,IF(AND(OR($B$4="New Consultant Contract"),$B156&lt;&gt;""),$C156*$AD$1,IF(AND(OR($B$4="Clinical Lecturer / Medical Research Fellow",$B$4="Clinical Consultant - Old Contract (GP)"),$B156&lt;&gt;""),$C156*$AD$1,IF(AND(OR($B$4="APM Level 7",$B$4="R&amp;T Level 7"),E156&lt;&gt;""),$C156*$AD$1,IF(SUMIF(Grades!$A:$A,$B$4,Grades!BO:BO)=1,$C156*$AD$1,""))))))))</f>
        <v/>
      </c>
      <c r="G156" s="27" t="str">
        <f ca="1">IF(B156="","",IF($B$4="Salary Points 1 to 57","-",IF(SUMIF(Grades!$A:$A,$B$4,Grades!BP:BP)=0,"-",IF(AND(OR($B$4="New Consultant Contract"),$B156&lt;&gt;""),$C156*$AD$2,IF(AND(OR($B$4="Clinical Lecturer / Medical Research Fellow",$B$4="Clinical Consultant - Old Contract (GP)"),$B156&lt;&gt;""),$C156*$AD$2,IF(AND(OR($B$4="APM Level 7",$B$4="R&amp;T Level 7"),F156&lt;&gt;""),$C156*$AD$2,IF(SUMIF(Grades!$A:$A,$B$4,Grades!BP:BP)=1,$C156*$AD$2,"")))))))</f>
        <v/>
      </c>
      <c r="H156" s="27" t="str">
        <f ca="1">IF(B156="","",IF(SUMIF(Grades!$A:$A,$B$4,Grades!BQ:BQ)=0,"-",IF(AND($B$4="Salary Points 1 to 57",B156&gt;$AA$3),"-",IF(AND($B$4="Salary Points 1 to 57",B156&lt;=$AA$3),$C156*$AD$3,IF(AND(OR($B$4="New Consultant Contract"),$B156&lt;&gt;""),$C156*$AD$3,IF(AND(OR($B$4="Clinical Lecturer / Medical Research Fellow",$B$4="Clinical Consultant - Old Contract (GP)"),$B156&lt;&gt;""),$C156*$AD$3,IF(AND(OR($B$4="APM Level 7",$B$4="R&amp;T Level 7"),G156&lt;&gt;""),$C156*$AD$3,IF(SUMIF(Grades!$A:$A,$B$4,Grades!BQ:BQ)=1,$C156*$AD$3,""))))))))</f>
        <v/>
      </c>
      <c r="I156" s="27"/>
      <c r="J156" s="27"/>
      <c r="K156" s="6"/>
      <c r="L156" s="27"/>
      <c r="M156" s="27"/>
      <c r="N156" s="27"/>
      <c r="O156" s="27"/>
      <c r="P156" s="27"/>
      <c r="R156" s="31"/>
      <c r="S156" s="32"/>
      <c r="T156" s="31"/>
      <c r="U156" s="32"/>
    </row>
    <row r="157" spans="2:21" x14ac:dyDescent="0.25">
      <c r="B157" s="6" t="str">
        <f ca="1">IFERROR(INDEX(Points_Lookup!A:A,MATCH($Z159,Points_Lookup!$AE:$AE,0)),"")</f>
        <v/>
      </c>
      <c r="C157" s="27" t="str">
        <f ca="1">IF(B157="","",IF($B$4="Apprenticeship",SUMIF(Points_Lookup!AA:AA,B157,Points_Lookup!AC:AC),IF(AND(OR($B$4="New Consultant Contract"),$B157&lt;&gt;""),INDEX(Points_Lookup!K:K,MATCH($B157,Points_Lookup!$J:$J,0)),IF(AND(OR($B$4="Clinical Lecturer / Medical Research Fellow",$B$4="Clinical Consultant - Old Contract (GP)"),$B157&lt;&gt;""),INDEX(Points_Lookup!H:H,MATCH($B157,Points_Lookup!$G:$G,0)),IF(AND(OR($B$4="APM Level 7",$B$4="R&amp;T Level 7",$B$4="APM Level 8"),B157&lt;&gt;""),INDEX(Points_Lookup!E:E,MATCH($Z157,Points_Lookup!$AE:$AE,0)),IF($B$4="R&amp;T Level 5 - Clinical Lecturers (Vet School)",SUMIF(Points_Lookup!$M:$M,$B157,Points_Lookup!$P:$P),IF($B$4="R&amp;T Level 6 - Clinical Associate Professors and Clinical Readers (Vet School)",SUMIF(Points_Lookup!$T:$T,$B157,Points_Lookup!$W:$W),IFERROR(INDEX(Points_Lookup!B:B,MATCH($Z157,Points_Lookup!$AE:$AE,0)),""))))))))</f>
        <v/>
      </c>
      <c r="D157" s="45"/>
      <c r="E157" s="27" t="str">
        <f ca="1">IF($B157="","",IF($B$4="Apprenticeship","-",SUM(IF(SUM(C157/12)&lt;Thresholds_Rates!$C$7,(SUM(C157/12)-Thresholds_Rates!$C$5)*Thresholds_Rates!$C$9,(Thresholds_Rates!$C$7-Thresholds_Rates!$C$5)*Thresholds_Rates!$C$9),IF(SUM(C157/12)&gt;Thresholds_Rates!$C$7,((SUM(C157/12)-Thresholds_Rates!$C$7)*Thresholds_Rates!$C$10),0),SUM(Thresholds_Rates!$C$5-Thresholds_Rates!$C$4)*-Thresholds_Rates!$C$8)*12))</f>
        <v/>
      </c>
      <c r="F157" s="27" t="str">
        <f ca="1">IF($B157="","",IF(AND($B$4="Salary Points 1 to 57",B157&lt;$AA$2),"-",IF(SUMIF(Grades!$A:$A,$B$4,Grades!BO:BO)=0,"-",IF(AND($B$4="Salary Points 1 to 57",B157&gt;=$AA$2),$C157*$AD$1,IF(AND(OR($B$4="New Consultant Contract"),$B157&lt;&gt;""),$C157*$AD$1,IF(AND(OR($B$4="Clinical Lecturer / Medical Research Fellow",$B$4="Clinical Consultant - Old Contract (GP)"),$B157&lt;&gt;""),$C157*$AD$1,IF(AND(OR($B$4="APM Level 7",$B$4="R&amp;T Level 7"),E157&lt;&gt;""),$C157*$AD$1,IF(SUMIF(Grades!$A:$A,$B$4,Grades!BO:BO)=1,$C157*$AD$1,""))))))))</f>
        <v/>
      </c>
      <c r="G157" s="27" t="str">
        <f ca="1">IF(B157="","",IF($B$4="Salary Points 1 to 57","-",IF(SUMIF(Grades!$A:$A,$B$4,Grades!BP:BP)=0,"-",IF(AND(OR($B$4="New Consultant Contract"),$B157&lt;&gt;""),$C157*$AD$2,IF(AND(OR($B$4="Clinical Lecturer / Medical Research Fellow",$B$4="Clinical Consultant - Old Contract (GP)"),$B157&lt;&gt;""),$C157*$AD$2,IF(AND(OR($B$4="APM Level 7",$B$4="R&amp;T Level 7"),F157&lt;&gt;""),$C157*$AD$2,IF(SUMIF(Grades!$A:$A,$B$4,Grades!BP:BP)=1,$C157*$AD$2,"")))))))</f>
        <v/>
      </c>
      <c r="H157" s="27" t="str">
        <f ca="1">IF(B157="","",IF(SUMIF(Grades!$A:$A,$B$4,Grades!BQ:BQ)=0,"-",IF(AND($B$4="Salary Points 1 to 57",B157&gt;$AA$3),"-",IF(AND($B$4="Salary Points 1 to 57",B157&lt;=$AA$3),$C157*$AD$3,IF(AND(OR($B$4="New Consultant Contract"),$B157&lt;&gt;""),$C157*$AD$3,IF(AND(OR($B$4="Clinical Lecturer / Medical Research Fellow",$B$4="Clinical Consultant - Old Contract (GP)"),$B157&lt;&gt;""),$C157*$AD$3,IF(AND(OR($B$4="APM Level 7",$B$4="R&amp;T Level 7"),G157&lt;&gt;""),$C157*$AD$3,IF(SUMIF(Grades!$A:$A,$B$4,Grades!BQ:BQ)=1,$C157*$AD$3,""))))))))</f>
        <v/>
      </c>
      <c r="I157" s="27"/>
      <c r="J157" s="27"/>
      <c r="K157" s="6"/>
      <c r="L157" s="27"/>
      <c r="M157" s="27"/>
      <c r="N157" s="27"/>
      <c r="O157" s="27"/>
      <c r="P157" s="27"/>
      <c r="R157" s="31"/>
      <c r="S157" s="32"/>
      <c r="T157" s="31"/>
      <c r="U157" s="32"/>
    </row>
    <row r="158" spans="2:21" x14ac:dyDescent="0.25">
      <c r="B158" s="6" t="str">
        <f ca="1">IFERROR(INDEX(Points_Lookup!A:A,MATCH($Z160,Points_Lookup!$AE:$AE,0)),"")</f>
        <v/>
      </c>
      <c r="C158" s="27" t="str">
        <f ca="1">IF(B158="","",IF($B$4="Apprenticeship",SUMIF(Points_Lookup!AA:AA,B158,Points_Lookup!AC:AC),IF(AND(OR($B$4="New Consultant Contract"),$B158&lt;&gt;""),INDEX(Points_Lookup!K:K,MATCH($B158,Points_Lookup!$J:$J,0)),IF(AND(OR($B$4="Clinical Lecturer / Medical Research Fellow",$B$4="Clinical Consultant - Old Contract (GP)"),$B158&lt;&gt;""),INDEX(Points_Lookup!H:H,MATCH($B158,Points_Lookup!$G:$G,0)),IF(AND(OR($B$4="APM Level 7",$B$4="R&amp;T Level 7",$B$4="APM Level 8"),B158&lt;&gt;""),INDEX(Points_Lookup!E:E,MATCH($Z158,Points_Lookup!$AE:$AE,0)),IF($B$4="R&amp;T Level 5 - Clinical Lecturers (Vet School)",SUMIF(Points_Lookup!$M:$M,$B158,Points_Lookup!$P:$P),IF($B$4="R&amp;T Level 6 - Clinical Associate Professors and Clinical Readers (Vet School)",SUMIF(Points_Lookup!$T:$T,$B158,Points_Lookup!$W:$W),IFERROR(INDEX(Points_Lookup!B:B,MATCH($Z158,Points_Lookup!$AE:$AE,0)),""))))))))</f>
        <v/>
      </c>
      <c r="D158" s="45"/>
      <c r="E158" s="27" t="str">
        <f ca="1">IF($B158="","",IF($B$4="Apprenticeship","-",SUM(IF(SUM(C158/12)&lt;Thresholds_Rates!$C$7,(SUM(C158/12)-Thresholds_Rates!$C$5)*Thresholds_Rates!$C$9,(Thresholds_Rates!$C$7-Thresholds_Rates!$C$5)*Thresholds_Rates!$C$9),IF(SUM(C158/12)&gt;Thresholds_Rates!$C$7,((SUM(C158/12)-Thresholds_Rates!$C$7)*Thresholds_Rates!$C$10),0),SUM(Thresholds_Rates!$C$5-Thresholds_Rates!$C$4)*-Thresholds_Rates!$C$8)*12))</f>
        <v/>
      </c>
      <c r="F158" s="27" t="str">
        <f ca="1">IF($B158="","",IF(AND($B$4="Salary Points 1 to 57",B158&lt;$AA$2),"-",IF(SUMIF(Grades!$A:$A,$B$4,Grades!BO:BO)=0,"-",IF(AND($B$4="Salary Points 1 to 57",B158&gt;=$AA$2),$C158*$AD$1,IF(AND(OR($B$4="New Consultant Contract"),$B158&lt;&gt;""),$C158*$AD$1,IF(AND(OR($B$4="Clinical Lecturer / Medical Research Fellow",$B$4="Clinical Consultant - Old Contract (GP)"),$B158&lt;&gt;""),$C158*$AD$1,IF(AND(OR($B$4="APM Level 7",$B$4="R&amp;T Level 7"),E158&lt;&gt;""),$C158*$AD$1,IF(SUMIF(Grades!$A:$A,$B$4,Grades!BO:BO)=1,$C158*$AD$1,""))))))))</f>
        <v/>
      </c>
      <c r="G158" s="27" t="str">
        <f ca="1">IF(B158="","",IF($B$4="Salary Points 1 to 57","-",IF(SUMIF(Grades!$A:$A,$B$4,Grades!BP:BP)=0,"-",IF(AND(OR($B$4="New Consultant Contract"),$B158&lt;&gt;""),$C158*$AD$2,IF(AND(OR($B$4="Clinical Lecturer / Medical Research Fellow",$B$4="Clinical Consultant - Old Contract (GP)"),$B158&lt;&gt;""),$C158*$AD$2,IF(AND(OR($B$4="APM Level 7",$B$4="R&amp;T Level 7"),F158&lt;&gt;""),$C158*$AD$2,IF(SUMIF(Grades!$A:$A,$B$4,Grades!BP:BP)=1,$C158*$AD$2,"")))))))</f>
        <v/>
      </c>
      <c r="H158" s="27" t="str">
        <f ca="1">IF(B158="","",IF(SUMIF(Grades!$A:$A,$B$4,Grades!BQ:BQ)=0,"-",IF(AND($B$4="Salary Points 1 to 57",B158&gt;$AA$3),"-",IF(AND($B$4="Salary Points 1 to 57",B158&lt;=$AA$3),$C158*$AD$3,IF(AND(OR($B$4="New Consultant Contract"),$B158&lt;&gt;""),$C158*$AD$3,IF(AND(OR($B$4="Clinical Lecturer / Medical Research Fellow",$B$4="Clinical Consultant - Old Contract (GP)"),$B158&lt;&gt;""),$C158*$AD$3,IF(AND(OR($B$4="APM Level 7",$B$4="R&amp;T Level 7"),G158&lt;&gt;""),$C158*$AD$3,IF(SUMIF(Grades!$A:$A,$B$4,Grades!BQ:BQ)=1,$C158*$AD$3,""))))))))</f>
        <v/>
      </c>
      <c r="I158" s="27"/>
      <c r="J158" s="27"/>
      <c r="K158" s="6"/>
      <c r="L158" s="27"/>
      <c r="M158" s="27"/>
      <c r="N158" s="27"/>
      <c r="O158" s="27"/>
      <c r="P158" s="27"/>
      <c r="R158" s="31"/>
      <c r="S158" s="32"/>
      <c r="T158" s="31"/>
      <c r="U158" s="32"/>
    </row>
    <row r="159" spans="2:21" x14ac:dyDescent="0.25">
      <c r="B159" s="6" t="str">
        <f ca="1">IFERROR(INDEX(Points_Lookup!A:A,MATCH($Z161,Points_Lookup!$AE:$AE,0)),"")</f>
        <v/>
      </c>
      <c r="C159" s="27" t="str">
        <f ca="1">IF(B159="","",IF($B$4="Apprenticeship",SUMIF(Points_Lookup!AA:AA,B159,Points_Lookup!AC:AC),IF(AND(OR($B$4="New Consultant Contract"),$B159&lt;&gt;""),INDEX(Points_Lookup!K:K,MATCH($B159,Points_Lookup!$J:$J,0)),IF(AND(OR($B$4="Clinical Lecturer / Medical Research Fellow",$B$4="Clinical Consultant - Old Contract (GP)"),$B159&lt;&gt;""),INDEX(Points_Lookup!H:H,MATCH($B159,Points_Lookup!$G:$G,0)),IF(AND(OR($B$4="APM Level 7",$B$4="R&amp;T Level 7",$B$4="APM Level 8"),B159&lt;&gt;""),INDEX(Points_Lookup!E:E,MATCH($Z159,Points_Lookup!$AE:$AE,0)),IF($B$4="R&amp;T Level 5 - Clinical Lecturers (Vet School)",SUMIF(Points_Lookup!$M:$M,$B159,Points_Lookup!$P:$P),IF($B$4="R&amp;T Level 6 - Clinical Associate Professors and Clinical Readers (Vet School)",SUMIF(Points_Lookup!$T:$T,$B159,Points_Lookup!$W:$W),IFERROR(INDEX(Points_Lookup!B:B,MATCH($Z159,Points_Lookup!$AE:$AE,0)),""))))))))</f>
        <v/>
      </c>
      <c r="D159" s="45"/>
      <c r="E159" s="27" t="str">
        <f ca="1">IF($B159="","",IF($B$4="Apprenticeship","-",SUM(IF(SUM(C159/12)&lt;Thresholds_Rates!$C$7,(SUM(C159/12)-Thresholds_Rates!$C$5)*Thresholds_Rates!$C$9,(Thresholds_Rates!$C$7-Thresholds_Rates!$C$5)*Thresholds_Rates!$C$9),IF(SUM(C159/12)&gt;Thresholds_Rates!$C$7,((SUM(C159/12)-Thresholds_Rates!$C$7)*Thresholds_Rates!$C$10),0),SUM(Thresholds_Rates!$C$5-Thresholds_Rates!$C$4)*-Thresholds_Rates!$C$8)*12))</f>
        <v/>
      </c>
      <c r="F159" s="27" t="str">
        <f ca="1">IF($B159="","",IF(AND($B$4="Salary Points 1 to 57",B159&lt;$AA$2),"-",IF(SUMIF(Grades!$A:$A,$B$4,Grades!BO:BO)=0,"-",IF(AND($B$4="Salary Points 1 to 57",B159&gt;=$AA$2),$C159*$AD$1,IF(AND(OR($B$4="New Consultant Contract"),$B159&lt;&gt;""),$C159*$AD$1,IF(AND(OR($B$4="Clinical Lecturer / Medical Research Fellow",$B$4="Clinical Consultant - Old Contract (GP)"),$B159&lt;&gt;""),$C159*$AD$1,IF(AND(OR($B$4="APM Level 7",$B$4="R&amp;T Level 7"),E159&lt;&gt;""),$C159*$AD$1,IF(SUMIF(Grades!$A:$A,$B$4,Grades!BO:BO)=1,$C159*$AD$1,""))))))))</f>
        <v/>
      </c>
      <c r="G159" s="27" t="str">
        <f ca="1">IF(B159="","",IF($B$4="Salary Points 1 to 57","-",IF(SUMIF(Grades!$A:$A,$B$4,Grades!BP:BP)=0,"-",IF(AND(OR($B$4="New Consultant Contract"),$B159&lt;&gt;""),$C159*$AD$2,IF(AND(OR($B$4="Clinical Lecturer / Medical Research Fellow",$B$4="Clinical Consultant - Old Contract (GP)"),$B159&lt;&gt;""),$C159*$AD$2,IF(AND(OR($B$4="APM Level 7",$B$4="R&amp;T Level 7"),F159&lt;&gt;""),$C159*$AD$2,IF(SUMIF(Grades!$A:$A,$B$4,Grades!BP:BP)=1,$C159*$AD$2,"")))))))</f>
        <v/>
      </c>
      <c r="H159" s="27" t="str">
        <f ca="1">IF(B159="","",IF(SUMIF(Grades!$A:$A,$B$4,Grades!BQ:BQ)=0,"-",IF(AND($B$4="Salary Points 1 to 57",B159&gt;$AA$3),"-",IF(AND($B$4="Salary Points 1 to 57",B159&lt;=$AA$3),$C159*$AD$3,IF(AND(OR($B$4="New Consultant Contract"),$B159&lt;&gt;""),$C159*$AD$3,IF(AND(OR($B$4="Clinical Lecturer / Medical Research Fellow",$B$4="Clinical Consultant - Old Contract (GP)"),$B159&lt;&gt;""),$C159*$AD$3,IF(AND(OR($B$4="APM Level 7",$B$4="R&amp;T Level 7"),G159&lt;&gt;""),$C159*$AD$3,IF(SUMIF(Grades!$A:$A,$B$4,Grades!BQ:BQ)=1,$C159*$AD$3,""))))))))</f>
        <v/>
      </c>
      <c r="I159" s="27"/>
      <c r="J159" s="27"/>
      <c r="K159" s="6"/>
      <c r="L159" s="27"/>
      <c r="M159" s="27"/>
      <c r="N159" s="27"/>
      <c r="O159" s="27"/>
      <c r="P159" s="27"/>
      <c r="R159" s="31"/>
      <c r="S159" s="32"/>
      <c r="T159" s="31"/>
      <c r="U159" s="32"/>
    </row>
    <row r="160" spans="2:21" x14ac:dyDescent="0.25">
      <c r="B160" s="6" t="str">
        <f ca="1">IFERROR(INDEX(Points_Lookup!A:A,MATCH($Z162,Points_Lookup!$AE:$AE,0)),"")</f>
        <v/>
      </c>
      <c r="C160" s="27" t="str">
        <f ca="1">IF(B160="","",IF($B$4="Apprenticeship",SUMIF(Points_Lookup!AA:AA,B160,Points_Lookup!AC:AC),IF(AND(OR($B$4="New Consultant Contract"),$B160&lt;&gt;""),INDEX(Points_Lookup!K:K,MATCH($B160,Points_Lookup!$J:$J,0)),IF(AND(OR($B$4="Clinical Lecturer / Medical Research Fellow",$B$4="Clinical Consultant - Old Contract (GP)"),$B160&lt;&gt;""),INDEX(Points_Lookup!H:H,MATCH($B160,Points_Lookup!$G:$G,0)),IF(AND(OR($B$4="APM Level 7",$B$4="R&amp;T Level 7",$B$4="APM Level 8"),B160&lt;&gt;""),INDEX(Points_Lookup!E:E,MATCH($Z160,Points_Lookup!$AE:$AE,0)),IF($B$4="R&amp;T Level 5 - Clinical Lecturers (Vet School)",SUMIF(Points_Lookup!$M:$M,$B160,Points_Lookup!$P:$P),IF($B$4="R&amp;T Level 6 - Clinical Associate Professors and Clinical Readers (Vet School)",SUMIF(Points_Lookup!$T:$T,$B160,Points_Lookup!$W:$W),IFERROR(INDEX(Points_Lookup!B:B,MATCH($Z160,Points_Lookup!$AE:$AE,0)),""))))))))</f>
        <v/>
      </c>
      <c r="D160" s="45"/>
      <c r="E160" s="27" t="str">
        <f ca="1">IF($B160="","",IF($B$4="Apprenticeship","-",SUM(IF(SUM(C160/12)&lt;Thresholds_Rates!$C$7,(SUM(C160/12)-Thresholds_Rates!$C$5)*Thresholds_Rates!$C$9,(Thresholds_Rates!$C$7-Thresholds_Rates!$C$5)*Thresholds_Rates!$C$9),IF(SUM(C160/12)&gt;Thresholds_Rates!$C$7,((SUM(C160/12)-Thresholds_Rates!$C$7)*Thresholds_Rates!$C$10),0),SUM(Thresholds_Rates!$C$5-Thresholds_Rates!$C$4)*-Thresholds_Rates!$C$8)*12))</f>
        <v/>
      </c>
      <c r="F160" s="27" t="str">
        <f ca="1">IF($B160="","",IF(AND($B$4="Salary Points 1 to 57",B160&lt;$AA$2),"-",IF(SUMIF(Grades!$A:$A,$B$4,Grades!BO:BO)=0,"-",IF(AND($B$4="Salary Points 1 to 57",B160&gt;=$AA$2),$C160*$AD$1,IF(AND(OR($B$4="New Consultant Contract"),$B160&lt;&gt;""),$C160*$AD$1,IF(AND(OR($B$4="Clinical Lecturer / Medical Research Fellow",$B$4="Clinical Consultant - Old Contract (GP)"),$B160&lt;&gt;""),$C160*$AD$1,IF(AND(OR($B$4="APM Level 7",$B$4="R&amp;T Level 7"),E160&lt;&gt;""),$C160*$AD$1,IF(SUMIF(Grades!$A:$A,$B$4,Grades!BO:BO)=1,$C160*$AD$1,""))))))))</f>
        <v/>
      </c>
      <c r="G160" s="27" t="str">
        <f ca="1">IF(B160="","",IF($B$4="Salary Points 1 to 57","-",IF(SUMIF(Grades!$A:$A,$B$4,Grades!BP:BP)=0,"-",IF(AND(OR($B$4="New Consultant Contract"),$B160&lt;&gt;""),$C160*$AD$2,IF(AND(OR($B$4="Clinical Lecturer / Medical Research Fellow",$B$4="Clinical Consultant - Old Contract (GP)"),$B160&lt;&gt;""),$C160*$AD$2,IF(AND(OR($B$4="APM Level 7",$B$4="R&amp;T Level 7"),F160&lt;&gt;""),$C160*$AD$2,IF(SUMIF(Grades!$A:$A,$B$4,Grades!BP:BP)=1,$C160*$AD$2,"")))))))</f>
        <v/>
      </c>
      <c r="H160" s="27" t="str">
        <f ca="1">IF(B160="","",IF(SUMIF(Grades!$A:$A,$B$4,Grades!BQ:BQ)=0,"-",IF(AND($B$4="Salary Points 1 to 57",B160&gt;$AA$3),"-",IF(AND($B$4="Salary Points 1 to 57",B160&lt;=$AA$3),$C160*$AD$3,IF(AND(OR($B$4="New Consultant Contract"),$B160&lt;&gt;""),$C160*$AD$3,IF(AND(OR($B$4="Clinical Lecturer / Medical Research Fellow",$B$4="Clinical Consultant - Old Contract (GP)"),$B160&lt;&gt;""),$C160*$AD$3,IF(AND(OR($B$4="APM Level 7",$B$4="R&amp;T Level 7"),G160&lt;&gt;""),$C160*$AD$3,IF(SUMIF(Grades!$A:$A,$B$4,Grades!BQ:BQ)=1,$C160*$AD$3,""))))))))</f>
        <v/>
      </c>
      <c r="I160" s="27"/>
      <c r="J160" s="27"/>
      <c r="K160" s="6"/>
      <c r="L160" s="27"/>
      <c r="M160" s="27"/>
      <c r="N160" s="27"/>
      <c r="O160" s="27"/>
      <c r="P160" s="27"/>
      <c r="R160" s="31"/>
      <c r="S160" s="32"/>
      <c r="T160" s="31"/>
      <c r="U160" s="32"/>
    </row>
    <row r="161" spans="2:21" x14ac:dyDescent="0.25">
      <c r="B161" s="6" t="str">
        <f ca="1">IFERROR(INDEX(Points_Lookup!A:A,MATCH($Z163,Points_Lookup!$AE:$AE,0)),"")</f>
        <v/>
      </c>
      <c r="C161" s="27" t="str">
        <f ca="1">IF(B161="","",IF($B$4="Apprenticeship",SUMIF(Points_Lookup!AA:AA,B161,Points_Lookup!AC:AC),IF(AND(OR($B$4="New Consultant Contract"),$B161&lt;&gt;""),INDEX(Points_Lookup!K:K,MATCH($B161,Points_Lookup!$J:$J,0)),IF(AND(OR($B$4="Clinical Lecturer / Medical Research Fellow",$B$4="Clinical Consultant - Old Contract (GP)"),$B161&lt;&gt;""),INDEX(Points_Lookup!H:H,MATCH($B161,Points_Lookup!$G:$G,0)),IF(AND(OR($B$4="APM Level 7",$B$4="R&amp;T Level 7",$B$4="APM Level 8"),B161&lt;&gt;""),INDEX(Points_Lookup!E:E,MATCH($Z161,Points_Lookup!$AE:$AE,0)),IF($B$4="R&amp;T Level 5 - Clinical Lecturers (Vet School)",SUMIF(Points_Lookup!$M:$M,$B161,Points_Lookup!$P:$P),IF($B$4="R&amp;T Level 6 - Clinical Associate Professors and Clinical Readers (Vet School)",SUMIF(Points_Lookup!$T:$T,$B161,Points_Lookup!$W:$W),IFERROR(INDEX(Points_Lookup!B:B,MATCH($Z161,Points_Lookup!$AE:$AE,0)),""))))))))</f>
        <v/>
      </c>
      <c r="D161" s="45"/>
      <c r="E161" s="27" t="str">
        <f ca="1">IF($B161="","",IF($B$4="Apprenticeship","-",SUM(IF(SUM(C161/12)&lt;Thresholds_Rates!$C$7,(SUM(C161/12)-Thresholds_Rates!$C$5)*Thresholds_Rates!$C$9,(Thresholds_Rates!$C$7-Thresholds_Rates!$C$5)*Thresholds_Rates!$C$9),IF(SUM(C161/12)&gt;Thresholds_Rates!$C$7,((SUM(C161/12)-Thresholds_Rates!$C$7)*Thresholds_Rates!$C$10),0),SUM(Thresholds_Rates!$C$5-Thresholds_Rates!$C$4)*-Thresholds_Rates!$C$8)*12))</f>
        <v/>
      </c>
      <c r="F161" s="27" t="str">
        <f ca="1">IF($B161="","",IF(AND($B$4="Salary Points 1 to 57",B161&lt;$AA$2),"-",IF(SUMIF(Grades!$A:$A,$B$4,Grades!BO:BO)=0,"-",IF(AND($B$4="Salary Points 1 to 57",B161&gt;=$AA$2),$C161*$AD$1,IF(AND(OR($B$4="New Consultant Contract"),$B161&lt;&gt;""),$C161*$AD$1,IF(AND(OR($B$4="Clinical Lecturer / Medical Research Fellow",$B$4="Clinical Consultant - Old Contract (GP)"),$B161&lt;&gt;""),$C161*$AD$1,IF(AND(OR($B$4="APM Level 7",$B$4="R&amp;T Level 7"),E161&lt;&gt;""),$C161*$AD$1,IF(SUMIF(Grades!$A:$A,$B$4,Grades!BO:BO)=1,$C161*$AD$1,""))))))))</f>
        <v/>
      </c>
      <c r="G161" s="27" t="str">
        <f ca="1">IF(B161="","",IF($B$4="Salary Points 1 to 57","-",IF(SUMIF(Grades!$A:$A,$B$4,Grades!BP:BP)=0,"-",IF(AND(OR($B$4="New Consultant Contract"),$B161&lt;&gt;""),$C161*$AD$2,IF(AND(OR($B$4="Clinical Lecturer / Medical Research Fellow",$B$4="Clinical Consultant - Old Contract (GP)"),$B161&lt;&gt;""),$C161*$AD$2,IF(AND(OR($B$4="APM Level 7",$B$4="R&amp;T Level 7"),F161&lt;&gt;""),$C161*$AD$2,IF(SUMIF(Grades!$A:$A,$B$4,Grades!BP:BP)=1,$C161*$AD$2,"")))))))</f>
        <v/>
      </c>
      <c r="H161" s="27" t="str">
        <f ca="1">IF(B161="","",IF(SUMIF(Grades!$A:$A,$B$4,Grades!BQ:BQ)=0,"-",IF(AND($B$4="Salary Points 1 to 57",B161&gt;$AA$3),"-",IF(AND($B$4="Salary Points 1 to 57",B161&lt;=$AA$3),$C161*$AD$3,IF(AND(OR($B$4="New Consultant Contract"),$B161&lt;&gt;""),$C161*$AD$3,IF(AND(OR($B$4="Clinical Lecturer / Medical Research Fellow",$B$4="Clinical Consultant - Old Contract (GP)"),$B161&lt;&gt;""),$C161*$AD$3,IF(AND(OR($B$4="APM Level 7",$B$4="R&amp;T Level 7"),G161&lt;&gt;""),$C161*$AD$3,IF(SUMIF(Grades!$A:$A,$B$4,Grades!BQ:BQ)=1,$C161*$AD$3,""))))))))</f>
        <v/>
      </c>
      <c r="I161" s="27"/>
      <c r="J161" s="27"/>
      <c r="K161" s="6"/>
      <c r="L161" s="27"/>
      <c r="M161" s="27"/>
      <c r="N161" s="27"/>
      <c r="O161" s="27"/>
      <c r="P161" s="27"/>
      <c r="R161" s="31"/>
      <c r="S161" s="32"/>
      <c r="T161" s="31"/>
      <c r="U161" s="32"/>
    </row>
    <row r="162" spans="2:21" x14ac:dyDescent="0.25">
      <c r="B162" s="6" t="str">
        <f ca="1">IFERROR(INDEX(Points_Lookup!A:A,MATCH($Z164,Points_Lookup!$AE:$AE,0)),"")</f>
        <v/>
      </c>
      <c r="C162" s="27" t="str">
        <f ca="1">IF(B162="","",IF($B$4="Apprenticeship",SUMIF(Points_Lookup!AA:AA,B162,Points_Lookup!AC:AC),IF(AND(OR($B$4="New Consultant Contract"),$B162&lt;&gt;""),INDEX(Points_Lookup!K:K,MATCH($B162,Points_Lookup!$J:$J,0)),IF(AND(OR($B$4="Clinical Lecturer / Medical Research Fellow",$B$4="Clinical Consultant - Old Contract (GP)"),$B162&lt;&gt;""),INDEX(Points_Lookup!H:H,MATCH($B162,Points_Lookup!$G:$G,0)),IF(AND(OR($B$4="APM Level 7",$B$4="R&amp;T Level 7",$B$4="APM Level 8"),B162&lt;&gt;""),INDEX(Points_Lookup!E:E,MATCH($Z162,Points_Lookup!$AE:$AE,0)),IF($B$4="R&amp;T Level 5 - Clinical Lecturers (Vet School)",SUMIF(Points_Lookup!$M:$M,$B162,Points_Lookup!$P:$P),IF($B$4="R&amp;T Level 6 - Clinical Associate Professors and Clinical Readers (Vet School)",SUMIF(Points_Lookup!$T:$T,$B162,Points_Lookup!$W:$W),IFERROR(INDEX(Points_Lookup!B:B,MATCH($Z162,Points_Lookup!$AE:$AE,0)),""))))))))</f>
        <v/>
      </c>
      <c r="D162" s="45"/>
      <c r="E162" s="27" t="str">
        <f ca="1">IF($B162="","",IF($B$4="Apprenticeship","-",SUM(IF(SUM(C162/12)&lt;Thresholds_Rates!$C$7,(SUM(C162/12)-Thresholds_Rates!$C$5)*Thresholds_Rates!$C$9,(Thresholds_Rates!$C$7-Thresholds_Rates!$C$5)*Thresholds_Rates!$C$9),IF(SUM(C162/12)&gt;Thresholds_Rates!$C$7,((SUM(C162/12)-Thresholds_Rates!$C$7)*Thresholds_Rates!$C$10),0),SUM(Thresholds_Rates!$C$5-Thresholds_Rates!$C$4)*-Thresholds_Rates!$C$8)*12))</f>
        <v/>
      </c>
      <c r="F162" s="27" t="str">
        <f ca="1">IF($B162="","",IF(AND($B$4="Salary Points 1 to 57",B162&lt;$AA$2),"-",IF(SUMIF(Grades!$A:$A,$B$4,Grades!BO:BO)=0,"-",IF(AND($B$4="Salary Points 1 to 57",B162&gt;=$AA$2),$C162*$AD$1,IF(AND(OR($B$4="New Consultant Contract"),$B162&lt;&gt;""),$C162*$AD$1,IF(AND(OR($B$4="Clinical Lecturer / Medical Research Fellow",$B$4="Clinical Consultant - Old Contract (GP)"),$B162&lt;&gt;""),$C162*$AD$1,IF(AND(OR($B$4="APM Level 7",$B$4="R&amp;T Level 7"),E162&lt;&gt;""),$C162*$AD$1,IF(SUMIF(Grades!$A:$A,$B$4,Grades!BO:BO)=1,$C162*$AD$1,""))))))))</f>
        <v/>
      </c>
      <c r="G162" s="27" t="str">
        <f ca="1">IF(B162="","",IF($B$4="Salary Points 1 to 57","-",IF(SUMIF(Grades!$A:$A,$B$4,Grades!BP:BP)=0,"-",IF(AND(OR($B$4="New Consultant Contract"),$B162&lt;&gt;""),$C162*$AD$2,IF(AND(OR($B$4="Clinical Lecturer / Medical Research Fellow",$B$4="Clinical Consultant - Old Contract (GP)"),$B162&lt;&gt;""),$C162*$AD$2,IF(AND(OR($B$4="APM Level 7",$B$4="R&amp;T Level 7"),F162&lt;&gt;""),$C162*$AD$2,IF(SUMIF(Grades!$A:$A,$B$4,Grades!BP:BP)=1,$C162*$AD$2,"")))))))</f>
        <v/>
      </c>
      <c r="H162" s="27" t="str">
        <f ca="1">IF(B162="","",IF(SUMIF(Grades!$A:$A,$B$4,Grades!BQ:BQ)=0,"-",IF(AND($B$4="Salary Points 1 to 57",B162&gt;$AA$3),"-",IF(AND($B$4="Salary Points 1 to 57",B162&lt;=$AA$3),$C162*$AD$3,IF(AND(OR($B$4="New Consultant Contract"),$B162&lt;&gt;""),$C162*$AD$3,IF(AND(OR($B$4="Clinical Lecturer / Medical Research Fellow",$B$4="Clinical Consultant - Old Contract (GP)"),$B162&lt;&gt;""),$C162*$AD$3,IF(AND(OR($B$4="APM Level 7",$B$4="R&amp;T Level 7"),G162&lt;&gt;""),$C162*$AD$3,IF(SUMIF(Grades!$A:$A,$B$4,Grades!BQ:BQ)=1,$C162*$AD$3,""))))))))</f>
        <v/>
      </c>
      <c r="I162" s="27"/>
      <c r="J162" s="27"/>
      <c r="K162" s="6"/>
      <c r="L162" s="27"/>
      <c r="M162" s="27"/>
      <c r="N162" s="27"/>
      <c r="O162" s="27"/>
      <c r="P162" s="27"/>
      <c r="R162" s="31"/>
      <c r="S162" s="32"/>
      <c r="T162" s="31"/>
      <c r="U162" s="32"/>
    </row>
    <row r="163" spans="2:21" x14ac:dyDescent="0.25">
      <c r="B163" s="6" t="str">
        <f ca="1">IFERROR(INDEX(Points_Lookup!A:A,MATCH($Z165,Points_Lookup!$AE:$AE,0)),"")</f>
        <v/>
      </c>
      <c r="C163" s="27" t="str">
        <f ca="1">IF(B163="","",IF($B$4="Apprenticeship",SUMIF(Points_Lookup!AA:AA,B163,Points_Lookup!AC:AC),IF(AND(OR($B$4="New Consultant Contract"),$B163&lt;&gt;""),INDEX(Points_Lookup!K:K,MATCH($B163,Points_Lookup!$J:$J,0)),IF(AND(OR($B$4="Clinical Lecturer / Medical Research Fellow",$B$4="Clinical Consultant - Old Contract (GP)"),$B163&lt;&gt;""),INDEX(Points_Lookup!H:H,MATCH($B163,Points_Lookup!$G:$G,0)),IF(AND(OR($B$4="APM Level 7",$B$4="R&amp;T Level 7",$B$4="APM Level 8"),B163&lt;&gt;""),INDEX(Points_Lookup!E:E,MATCH($Z163,Points_Lookup!$AE:$AE,0)),IF($B$4="R&amp;T Level 5 - Clinical Lecturers (Vet School)",SUMIF(Points_Lookup!$M:$M,$B163,Points_Lookup!$P:$P),IF($B$4="R&amp;T Level 6 - Clinical Associate Professors and Clinical Readers (Vet School)",SUMIF(Points_Lookup!$T:$T,$B163,Points_Lookup!$W:$W),IFERROR(INDEX(Points_Lookup!B:B,MATCH($Z163,Points_Lookup!$AE:$AE,0)),""))))))))</f>
        <v/>
      </c>
      <c r="D163" s="45"/>
      <c r="E163" s="27" t="str">
        <f ca="1">IF($B163="","",IF($B$4="Apprenticeship","-",SUM(IF(SUM(C163/12)&lt;Thresholds_Rates!$C$7,(SUM(C163/12)-Thresholds_Rates!$C$5)*Thresholds_Rates!$C$9,(Thresholds_Rates!$C$7-Thresholds_Rates!$C$5)*Thresholds_Rates!$C$9),IF(SUM(C163/12)&gt;Thresholds_Rates!$C$7,((SUM(C163/12)-Thresholds_Rates!$C$7)*Thresholds_Rates!$C$10),0),SUM(Thresholds_Rates!$C$5-Thresholds_Rates!$C$4)*-Thresholds_Rates!$C$8)*12))</f>
        <v/>
      </c>
      <c r="F163" s="27" t="str">
        <f ca="1">IF($B163="","",IF(AND($B$4="Salary Points 1 to 57",B163&lt;$AA$2),"-",IF(SUMIF(Grades!$A:$A,$B$4,Grades!BO:BO)=0,"-",IF(AND($B$4="Salary Points 1 to 57",B163&gt;=$AA$2),$C163*$AD$1,IF(AND(OR($B$4="New Consultant Contract"),$B163&lt;&gt;""),$C163*$AD$1,IF(AND(OR($B$4="Clinical Lecturer / Medical Research Fellow",$B$4="Clinical Consultant - Old Contract (GP)"),$B163&lt;&gt;""),$C163*$AD$1,IF(AND(OR($B$4="APM Level 7",$B$4="R&amp;T Level 7"),E163&lt;&gt;""),$C163*$AD$1,IF(SUMIF(Grades!$A:$A,$B$4,Grades!BO:BO)=1,$C163*$AD$1,""))))))))</f>
        <v/>
      </c>
      <c r="G163" s="27" t="str">
        <f ca="1">IF(B163="","",IF($B$4="Salary Points 1 to 57","-",IF(SUMIF(Grades!$A:$A,$B$4,Grades!BP:BP)=0,"-",IF(AND(OR($B$4="New Consultant Contract"),$B163&lt;&gt;""),$C163*$AD$2,IF(AND(OR($B$4="Clinical Lecturer / Medical Research Fellow",$B$4="Clinical Consultant - Old Contract (GP)"),$B163&lt;&gt;""),$C163*$AD$2,IF(AND(OR($B$4="APM Level 7",$B$4="R&amp;T Level 7"),F163&lt;&gt;""),$C163*$AD$2,IF(SUMIF(Grades!$A:$A,$B$4,Grades!BP:BP)=1,$C163*$AD$2,"")))))))</f>
        <v/>
      </c>
      <c r="H163" s="27" t="str">
        <f ca="1">IF(B163="","",IF(SUMIF(Grades!$A:$A,$B$4,Grades!BQ:BQ)=0,"-",IF(AND($B$4="Salary Points 1 to 57",B163&gt;$AA$3),"-",IF(AND($B$4="Salary Points 1 to 57",B163&lt;=$AA$3),$C163*$AD$3,IF(AND(OR($B$4="New Consultant Contract"),$B163&lt;&gt;""),$C163*$AD$3,IF(AND(OR($B$4="Clinical Lecturer / Medical Research Fellow",$B$4="Clinical Consultant - Old Contract (GP)"),$B163&lt;&gt;""),$C163*$AD$3,IF(AND(OR($B$4="APM Level 7",$B$4="R&amp;T Level 7"),G163&lt;&gt;""),$C163*$AD$3,IF(SUMIF(Grades!$A:$A,$B$4,Grades!BQ:BQ)=1,$C163*$AD$3,""))))))))</f>
        <v/>
      </c>
      <c r="I163" s="27"/>
      <c r="J163" s="27"/>
      <c r="K163" s="6"/>
      <c r="L163" s="27"/>
      <c r="M163" s="27"/>
      <c r="N163" s="27"/>
      <c r="O163" s="27"/>
      <c r="P163" s="27"/>
      <c r="R163" s="31"/>
      <c r="S163" s="32"/>
      <c r="T163" s="31"/>
      <c r="U163" s="32"/>
    </row>
    <row r="164" spans="2:21" x14ac:dyDescent="0.25">
      <c r="B164" s="6" t="str">
        <f ca="1">IFERROR(INDEX(Points_Lookup!A:A,MATCH($Z166,Points_Lookup!$AE:$AE,0)),"")</f>
        <v/>
      </c>
      <c r="C164" s="27" t="str">
        <f ca="1">IF(B164="","",IF($B$4="Apprenticeship",SUMIF(Points_Lookup!AA:AA,B164,Points_Lookup!AC:AC),IF(AND(OR($B$4="New Consultant Contract"),$B164&lt;&gt;""),INDEX(Points_Lookup!K:K,MATCH($B164,Points_Lookup!$J:$J,0)),IF(AND(OR($B$4="Clinical Lecturer / Medical Research Fellow",$B$4="Clinical Consultant - Old Contract (GP)"),$B164&lt;&gt;""),INDEX(Points_Lookup!H:H,MATCH($B164,Points_Lookup!$G:$G,0)),IF(AND(OR($B$4="APM Level 7",$B$4="R&amp;T Level 7",$B$4="APM Level 8"),B164&lt;&gt;""),INDEX(Points_Lookup!E:E,MATCH($Z164,Points_Lookup!$AE:$AE,0)),IF($B$4="R&amp;T Level 5 - Clinical Lecturers (Vet School)",SUMIF(Points_Lookup!$M:$M,$B164,Points_Lookup!$P:$P),IF($B$4="R&amp;T Level 6 - Clinical Associate Professors and Clinical Readers (Vet School)",SUMIF(Points_Lookup!$T:$T,$B164,Points_Lookup!$W:$W),IFERROR(INDEX(Points_Lookup!B:B,MATCH($Z164,Points_Lookup!$AE:$AE,0)),""))))))))</f>
        <v/>
      </c>
      <c r="D164" s="45"/>
      <c r="E164" s="27" t="str">
        <f ca="1">IF($B164="","",IF($B$4="Apprenticeship","-",SUM(IF(SUM(C164/12)&lt;Thresholds_Rates!$C$7,(SUM(C164/12)-Thresholds_Rates!$C$5)*Thresholds_Rates!$C$9,(Thresholds_Rates!$C$7-Thresholds_Rates!$C$5)*Thresholds_Rates!$C$9),IF(SUM(C164/12)&gt;Thresholds_Rates!$C$7,((SUM(C164/12)-Thresholds_Rates!$C$7)*Thresholds_Rates!$C$10),0),SUM(Thresholds_Rates!$C$5-Thresholds_Rates!$C$4)*-Thresholds_Rates!$C$8)*12))</f>
        <v/>
      </c>
      <c r="F164" s="27" t="str">
        <f ca="1">IF($B164="","",IF(AND($B$4="Salary Points 1 to 57",B164&lt;$AA$2),"-",IF(SUMIF(Grades!$A:$A,$B$4,Grades!BO:BO)=0,"-",IF(AND($B$4="Salary Points 1 to 57",B164&gt;=$AA$2),$C164*$AD$1,IF(AND(OR($B$4="New Consultant Contract"),$B164&lt;&gt;""),$C164*$AD$1,IF(AND(OR($B$4="Clinical Lecturer / Medical Research Fellow",$B$4="Clinical Consultant - Old Contract (GP)"),$B164&lt;&gt;""),$C164*$AD$1,IF(AND(OR($B$4="APM Level 7",$B$4="R&amp;T Level 7"),E164&lt;&gt;""),$C164*$AD$1,IF(SUMIF(Grades!$A:$A,$B$4,Grades!BO:BO)=1,$C164*$AD$1,""))))))))</f>
        <v/>
      </c>
      <c r="G164" s="27" t="str">
        <f ca="1">IF(B164="","",IF($B$4="Salary Points 1 to 57","-",IF(SUMIF(Grades!$A:$A,$B$4,Grades!BP:BP)=0,"-",IF(AND(OR($B$4="New Consultant Contract"),$B164&lt;&gt;""),$C164*$AD$2,IF(AND(OR($B$4="Clinical Lecturer / Medical Research Fellow",$B$4="Clinical Consultant - Old Contract (GP)"),$B164&lt;&gt;""),$C164*$AD$2,IF(AND(OR($B$4="APM Level 7",$B$4="R&amp;T Level 7"),F164&lt;&gt;""),$C164*$AD$2,IF(SUMIF(Grades!$A:$A,$B$4,Grades!BP:BP)=1,$C164*$AD$2,"")))))))</f>
        <v/>
      </c>
      <c r="H164" s="27" t="str">
        <f ca="1">IF(B164="","",IF(SUMIF(Grades!$A:$A,$B$4,Grades!BQ:BQ)=0,"-",IF(AND($B$4="Salary Points 1 to 57",B164&gt;$AA$3),"-",IF(AND($B$4="Salary Points 1 to 57",B164&lt;=$AA$3),$C164*$AD$3,IF(AND(OR($B$4="New Consultant Contract"),$B164&lt;&gt;""),$C164*$AD$3,IF(AND(OR($B$4="Clinical Lecturer / Medical Research Fellow",$B$4="Clinical Consultant - Old Contract (GP)"),$B164&lt;&gt;""),$C164*$AD$3,IF(AND(OR($B$4="APM Level 7",$B$4="R&amp;T Level 7"),G164&lt;&gt;""),$C164*$AD$3,IF(SUMIF(Grades!$A:$A,$B$4,Grades!BQ:BQ)=1,$C164*$AD$3,""))))))))</f>
        <v/>
      </c>
      <c r="I164" s="27"/>
      <c r="J164" s="27"/>
      <c r="K164" s="6"/>
      <c r="L164" s="27"/>
      <c r="M164" s="27"/>
      <c r="N164" s="27"/>
      <c r="O164" s="27"/>
      <c r="P164" s="27"/>
      <c r="R164" s="31"/>
      <c r="S164" s="32"/>
      <c r="T164" s="31"/>
      <c r="U164" s="32"/>
    </row>
    <row r="165" spans="2:21" x14ac:dyDescent="0.25">
      <c r="B165" s="6" t="str">
        <f ca="1">IFERROR(INDEX(Points_Lookup!A:A,MATCH($Z167,Points_Lookup!$AE:$AE,0)),"")</f>
        <v/>
      </c>
      <c r="C165" s="27" t="str">
        <f ca="1">IF(B165="","",IF($B$4="Apprenticeship",SUMIF(Points_Lookup!AA:AA,B165,Points_Lookup!AC:AC),IF(AND(OR($B$4="New Consultant Contract"),$B165&lt;&gt;""),INDEX(Points_Lookup!K:K,MATCH($B165,Points_Lookup!$J:$J,0)),IF(AND(OR($B$4="Clinical Lecturer / Medical Research Fellow",$B$4="Clinical Consultant - Old Contract (GP)"),$B165&lt;&gt;""),INDEX(Points_Lookup!H:H,MATCH($B165,Points_Lookup!$G:$G,0)),IF(AND(OR($B$4="APM Level 7",$B$4="R&amp;T Level 7",$B$4="APM Level 8"),B165&lt;&gt;""),INDEX(Points_Lookup!E:E,MATCH($Z165,Points_Lookup!$AE:$AE,0)),IF($B$4="R&amp;T Level 5 - Clinical Lecturers (Vet School)",SUMIF(Points_Lookup!$M:$M,$B165,Points_Lookup!$P:$P),IF($B$4="R&amp;T Level 6 - Clinical Associate Professors and Clinical Readers (Vet School)",SUMIF(Points_Lookup!$T:$T,$B165,Points_Lookup!$W:$W),IFERROR(INDEX(Points_Lookup!B:B,MATCH($Z165,Points_Lookup!$AE:$AE,0)),""))))))))</f>
        <v/>
      </c>
      <c r="D165" s="45"/>
      <c r="E165" s="27" t="str">
        <f ca="1">IF($B165="","",IF($B$4="Apprenticeship","-",SUM(IF(SUM(C165/12)&lt;Thresholds_Rates!$C$7,(SUM(C165/12)-Thresholds_Rates!$C$5)*Thresholds_Rates!$C$9,(Thresholds_Rates!$C$7-Thresholds_Rates!$C$5)*Thresholds_Rates!$C$9),IF(SUM(C165/12)&gt;Thresholds_Rates!$C$7,((SUM(C165/12)-Thresholds_Rates!$C$7)*Thresholds_Rates!$C$10),0),SUM(Thresholds_Rates!$C$5-Thresholds_Rates!$C$4)*-Thresholds_Rates!$C$8)*12))</f>
        <v/>
      </c>
      <c r="F165" s="27" t="str">
        <f ca="1">IF($B165="","",IF(AND($B$4="Salary Points 1 to 57",B165&lt;$AA$2),"-",IF(SUMIF(Grades!$A:$A,$B$4,Grades!BO:BO)=0,"-",IF(AND($B$4="Salary Points 1 to 57",B165&gt;=$AA$2),$C165*$AD$1,IF(AND(OR($B$4="New Consultant Contract"),$B165&lt;&gt;""),$C165*$AD$1,IF(AND(OR($B$4="Clinical Lecturer / Medical Research Fellow",$B$4="Clinical Consultant - Old Contract (GP)"),$B165&lt;&gt;""),$C165*$AD$1,IF(AND(OR($B$4="APM Level 7",$B$4="R&amp;T Level 7"),E165&lt;&gt;""),$C165*$AD$1,IF(SUMIF(Grades!$A:$A,$B$4,Grades!BO:BO)=1,$C165*$AD$1,""))))))))</f>
        <v/>
      </c>
      <c r="G165" s="27" t="str">
        <f ca="1">IF(B165="","",IF($B$4="Salary Points 1 to 57","-",IF(SUMIF(Grades!$A:$A,$B$4,Grades!BP:BP)=0,"-",IF(AND(OR($B$4="New Consultant Contract"),$B165&lt;&gt;""),$C165*$AD$2,IF(AND(OR($B$4="Clinical Lecturer / Medical Research Fellow",$B$4="Clinical Consultant - Old Contract (GP)"),$B165&lt;&gt;""),$C165*$AD$2,IF(AND(OR($B$4="APM Level 7",$B$4="R&amp;T Level 7"),F165&lt;&gt;""),$C165*$AD$2,IF(SUMIF(Grades!$A:$A,$B$4,Grades!BP:BP)=1,$C165*$AD$2,"")))))))</f>
        <v/>
      </c>
      <c r="H165" s="27" t="str">
        <f ca="1">IF(B165="","",IF(SUMIF(Grades!$A:$A,$B$4,Grades!BQ:BQ)=0,"-",IF(AND($B$4="Salary Points 1 to 57",B165&gt;$AA$3),"-",IF(AND($B$4="Salary Points 1 to 57",B165&lt;=$AA$3),$C165*$AD$3,IF(AND(OR($B$4="New Consultant Contract"),$B165&lt;&gt;""),$C165*$AD$3,IF(AND(OR($B$4="Clinical Lecturer / Medical Research Fellow",$B$4="Clinical Consultant - Old Contract (GP)"),$B165&lt;&gt;""),$C165*$AD$3,IF(AND(OR($B$4="APM Level 7",$B$4="R&amp;T Level 7"),G165&lt;&gt;""),$C165*$AD$3,IF(SUMIF(Grades!$A:$A,$B$4,Grades!BQ:BQ)=1,$C165*$AD$3,""))))))))</f>
        <v/>
      </c>
      <c r="I165" s="27"/>
      <c r="J165" s="27"/>
      <c r="K165" s="6"/>
      <c r="L165" s="27"/>
      <c r="M165" s="27"/>
      <c r="N165" s="27"/>
      <c r="O165" s="27"/>
      <c r="P165" s="27"/>
      <c r="R165" s="31"/>
      <c r="S165" s="32"/>
      <c r="T165" s="31"/>
      <c r="U165" s="32"/>
    </row>
    <row r="166" spans="2:21" x14ac:dyDescent="0.25">
      <c r="B166" s="6" t="str">
        <f ca="1">IFERROR(INDEX(Points_Lookup!A:A,MATCH($Z168,Points_Lookup!$AE:$AE,0)),"")</f>
        <v/>
      </c>
      <c r="C166" s="27" t="str">
        <f ca="1">IF(B166="","",IF($B$4="Apprenticeship",SUMIF(Points_Lookup!AA:AA,B166,Points_Lookup!AC:AC),IF(AND(OR($B$4="New Consultant Contract"),$B166&lt;&gt;""),INDEX(Points_Lookup!K:K,MATCH($B166,Points_Lookup!$J:$J,0)),IF(AND(OR($B$4="Clinical Lecturer / Medical Research Fellow",$B$4="Clinical Consultant - Old Contract (GP)"),$B166&lt;&gt;""),INDEX(Points_Lookup!H:H,MATCH($B166,Points_Lookup!$G:$G,0)),IF(AND(OR($B$4="APM Level 7",$B$4="R&amp;T Level 7",$B$4="APM Level 8"),B166&lt;&gt;""),INDEX(Points_Lookup!E:E,MATCH($Z166,Points_Lookup!$AE:$AE,0)),IF($B$4="R&amp;T Level 5 - Clinical Lecturers (Vet School)",SUMIF(Points_Lookup!$M:$M,$B166,Points_Lookup!$P:$P),IF($B$4="R&amp;T Level 6 - Clinical Associate Professors and Clinical Readers (Vet School)",SUMIF(Points_Lookup!$T:$T,$B166,Points_Lookup!$W:$W),IFERROR(INDEX(Points_Lookup!B:B,MATCH($Z166,Points_Lookup!$AE:$AE,0)),""))))))))</f>
        <v/>
      </c>
      <c r="D166" s="45"/>
      <c r="E166" s="27" t="str">
        <f ca="1">IF($B166="","",IF($B$4="Apprenticeship","-",SUM(IF(SUM(C166/12)&lt;Thresholds_Rates!$C$7,(SUM(C166/12)-Thresholds_Rates!$C$5)*Thresholds_Rates!$C$9,(Thresholds_Rates!$C$7-Thresholds_Rates!$C$5)*Thresholds_Rates!$C$9),IF(SUM(C166/12)&gt;Thresholds_Rates!$C$7,((SUM(C166/12)-Thresholds_Rates!$C$7)*Thresholds_Rates!$C$10),0),SUM(Thresholds_Rates!$C$5-Thresholds_Rates!$C$4)*-Thresholds_Rates!$C$8)*12))</f>
        <v/>
      </c>
      <c r="F166" s="27" t="str">
        <f ca="1">IF($B166="","",IF(AND($B$4="Salary Points 1 to 57",B166&lt;$AA$2),"-",IF(SUMIF(Grades!$A:$A,$B$4,Grades!BO:BO)=0,"-",IF(AND($B$4="Salary Points 1 to 57",B166&gt;=$AA$2),$C166*$AD$1,IF(AND(OR($B$4="New Consultant Contract"),$B166&lt;&gt;""),$C166*$AD$1,IF(AND(OR($B$4="Clinical Lecturer / Medical Research Fellow",$B$4="Clinical Consultant - Old Contract (GP)"),$B166&lt;&gt;""),$C166*$AD$1,IF(AND(OR($B$4="APM Level 7",$B$4="R&amp;T Level 7"),E166&lt;&gt;""),$C166*$AD$1,IF(SUMIF(Grades!$A:$A,$B$4,Grades!BO:BO)=1,$C166*$AD$1,""))))))))</f>
        <v/>
      </c>
      <c r="G166" s="27" t="str">
        <f ca="1">IF(B166="","",IF($B$4="Salary Points 1 to 57","-",IF(SUMIF(Grades!$A:$A,$B$4,Grades!BP:BP)=0,"-",IF(AND(OR($B$4="New Consultant Contract"),$B166&lt;&gt;""),$C166*$AD$2,IF(AND(OR($B$4="Clinical Lecturer / Medical Research Fellow",$B$4="Clinical Consultant - Old Contract (GP)"),$B166&lt;&gt;""),$C166*$AD$2,IF(AND(OR($B$4="APM Level 7",$B$4="R&amp;T Level 7"),F166&lt;&gt;""),$C166*$AD$2,IF(SUMIF(Grades!$A:$A,$B$4,Grades!BP:BP)=1,$C166*$AD$2,"")))))))</f>
        <v/>
      </c>
      <c r="H166" s="27" t="str">
        <f ca="1">IF(B166="","",IF(SUMIF(Grades!$A:$A,$B$4,Grades!BQ:BQ)=0,"-",IF(AND($B$4="Salary Points 1 to 57",B166&gt;$AA$3),"-",IF(AND($B$4="Salary Points 1 to 57",B166&lt;=$AA$3),$C166*$AD$3,IF(AND(OR($B$4="New Consultant Contract"),$B166&lt;&gt;""),$C166*$AD$3,IF(AND(OR($B$4="Clinical Lecturer / Medical Research Fellow",$B$4="Clinical Consultant - Old Contract (GP)"),$B166&lt;&gt;""),$C166*$AD$3,IF(AND(OR($B$4="APM Level 7",$B$4="R&amp;T Level 7"),G166&lt;&gt;""),$C166*$AD$3,IF(SUMIF(Grades!$A:$A,$B$4,Grades!BQ:BQ)=1,$C166*$AD$3,""))))))))</f>
        <v/>
      </c>
      <c r="I166" s="27"/>
      <c r="J166" s="27"/>
      <c r="K166" s="6"/>
      <c r="L166" s="27"/>
      <c r="M166" s="27"/>
      <c r="N166" s="27"/>
      <c r="O166" s="27"/>
      <c r="P166" s="27"/>
      <c r="R166" s="31"/>
      <c r="S166" s="32"/>
      <c r="T166" s="31"/>
      <c r="U166" s="32"/>
    </row>
    <row r="167" spans="2:21" x14ac:dyDescent="0.25">
      <c r="B167" s="6" t="str">
        <f ca="1">IFERROR(INDEX(Points_Lookup!A:A,MATCH($Z169,Points_Lookup!$AE:$AE,0)),"")</f>
        <v/>
      </c>
      <c r="C167" s="27" t="str">
        <f ca="1">IF(B167="","",IF($B$4="Apprenticeship",SUMIF(Points_Lookup!AA:AA,B167,Points_Lookup!AC:AC),IF(AND(OR($B$4="New Consultant Contract"),$B167&lt;&gt;""),INDEX(Points_Lookup!K:K,MATCH($B167,Points_Lookup!$J:$J,0)),IF(AND(OR($B$4="Clinical Lecturer / Medical Research Fellow",$B$4="Clinical Consultant - Old Contract (GP)"),$B167&lt;&gt;""),INDEX(Points_Lookup!H:H,MATCH($B167,Points_Lookup!$G:$G,0)),IF(AND(OR($B$4="APM Level 7",$B$4="R&amp;T Level 7",$B$4="APM Level 8"),B167&lt;&gt;""),INDEX(Points_Lookup!E:E,MATCH($Z167,Points_Lookup!$AE:$AE,0)),IF($B$4="R&amp;T Level 5 - Clinical Lecturers (Vet School)",SUMIF(Points_Lookup!$M:$M,$B167,Points_Lookup!$P:$P),IF($B$4="R&amp;T Level 6 - Clinical Associate Professors and Clinical Readers (Vet School)",SUMIF(Points_Lookup!$T:$T,$B167,Points_Lookup!$W:$W),IFERROR(INDEX(Points_Lookup!B:B,MATCH($Z167,Points_Lookup!$AE:$AE,0)),""))))))))</f>
        <v/>
      </c>
      <c r="D167" s="45"/>
      <c r="E167" s="27" t="str">
        <f ca="1">IF($B167="","",IF($B$4="Apprenticeship","-",SUM(IF(SUM(C167/12)&lt;Thresholds_Rates!$C$7,(SUM(C167/12)-Thresholds_Rates!$C$5)*Thresholds_Rates!$C$9,(Thresholds_Rates!$C$7-Thresholds_Rates!$C$5)*Thresholds_Rates!$C$9),IF(SUM(C167/12)&gt;Thresholds_Rates!$C$7,((SUM(C167/12)-Thresholds_Rates!$C$7)*Thresholds_Rates!$C$10),0),SUM(Thresholds_Rates!$C$5-Thresholds_Rates!$C$4)*-Thresholds_Rates!$C$8)*12))</f>
        <v/>
      </c>
      <c r="F167" s="27" t="str">
        <f ca="1">IF($B167="","",IF(AND($B$4="Salary Points 1 to 57",B167&lt;$AA$2),"-",IF(SUMIF(Grades!$A:$A,$B$4,Grades!BO:BO)=0,"-",IF(AND($B$4="Salary Points 1 to 57",B167&gt;=$AA$2),$C167*$AD$1,IF(AND(OR($B$4="New Consultant Contract"),$B167&lt;&gt;""),$C167*$AD$1,IF(AND(OR($B$4="Clinical Lecturer / Medical Research Fellow",$B$4="Clinical Consultant - Old Contract (GP)"),$B167&lt;&gt;""),$C167*$AD$1,IF(AND(OR($B$4="APM Level 7",$B$4="R&amp;T Level 7"),E167&lt;&gt;""),$C167*$AD$1,IF(SUMIF(Grades!$A:$A,$B$4,Grades!BO:BO)=1,$C167*$AD$1,""))))))))</f>
        <v/>
      </c>
      <c r="G167" s="27" t="str">
        <f ca="1">IF(B167="","",IF($B$4="Salary Points 1 to 57","-",IF(SUMIF(Grades!$A:$A,$B$4,Grades!BP:BP)=0,"-",IF(AND(OR($B$4="New Consultant Contract"),$B167&lt;&gt;""),$C167*$AD$2,IF(AND(OR($B$4="Clinical Lecturer / Medical Research Fellow",$B$4="Clinical Consultant - Old Contract (GP)"),$B167&lt;&gt;""),$C167*$AD$2,IF(AND(OR($B$4="APM Level 7",$B$4="R&amp;T Level 7"),F167&lt;&gt;""),$C167*$AD$2,IF(SUMIF(Grades!$A:$A,$B$4,Grades!BP:BP)=1,$C167*$AD$2,"")))))))</f>
        <v/>
      </c>
      <c r="H167" s="27" t="str">
        <f ca="1">IF(B167="","",IF(SUMIF(Grades!$A:$A,$B$4,Grades!BQ:BQ)=0,"-",IF(AND($B$4="Salary Points 1 to 57",B167&gt;$AA$3),"-",IF(AND($B$4="Salary Points 1 to 57",B167&lt;=$AA$3),$C167*$AD$3,IF(AND(OR($B$4="New Consultant Contract"),$B167&lt;&gt;""),$C167*$AD$3,IF(AND(OR($B$4="Clinical Lecturer / Medical Research Fellow",$B$4="Clinical Consultant - Old Contract (GP)"),$B167&lt;&gt;""),$C167*$AD$3,IF(AND(OR($B$4="APM Level 7",$B$4="R&amp;T Level 7"),G167&lt;&gt;""),$C167*$AD$3,IF(SUMIF(Grades!$A:$A,$B$4,Grades!BQ:BQ)=1,$C167*$AD$3,""))))))))</f>
        <v/>
      </c>
      <c r="I167" s="27"/>
      <c r="J167" s="27"/>
      <c r="K167" s="6"/>
      <c r="L167" s="27"/>
      <c r="M167" s="27"/>
      <c r="N167" s="27"/>
      <c r="O167" s="27"/>
      <c r="P167" s="27"/>
      <c r="R167" s="31"/>
      <c r="S167" s="32"/>
      <c r="T167" s="31"/>
      <c r="U167" s="32"/>
    </row>
    <row r="168" spans="2:21" x14ac:dyDescent="0.25">
      <c r="B168" s="6" t="str">
        <f ca="1">IFERROR(INDEX(Points_Lookup!A:A,MATCH($Z170,Points_Lookup!$AE:$AE,0)),"")</f>
        <v/>
      </c>
      <c r="C168" s="27" t="str">
        <f ca="1">IF(B168="","",IF($B$4="Apprenticeship",SUMIF(Points_Lookup!AA:AA,B168,Points_Lookup!AC:AC),IF(AND(OR($B$4="New Consultant Contract"),$B168&lt;&gt;""),INDEX(Points_Lookup!K:K,MATCH($B168,Points_Lookup!$J:$J,0)),IF(AND(OR($B$4="Clinical Lecturer / Medical Research Fellow",$B$4="Clinical Consultant - Old Contract (GP)"),$B168&lt;&gt;""),INDEX(Points_Lookup!H:H,MATCH($B168,Points_Lookup!$G:$G,0)),IF(AND(OR($B$4="APM Level 7",$B$4="R&amp;T Level 7",$B$4="APM Level 8"),B168&lt;&gt;""),INDEX(Points_Lookup!E:E,MATCH($Z168,Points_Lookup!$AE:$AE,0)),IF($B$4="R&amp;T Level 5 - Clinical Lecturers (Vet School)",SUMIF(Points_Lookup!$M:$M,$B168,Points_Lookup!$P:$P),IF($B$4="R&amp;T Level 6 - Clinical Associate Professors and Clinical Readers (Vet School)",SUMIF(Points_Lookup!$T:$T,$B168,Points_Lookup!$W:$W),IFERROR(INDEX(Points_Lookup!B:B,MATCH($Z168,Points_Lookup!$AE:$AE,0)),""))))))))</f>
        <v/>
      </c>
      <c r="D168" s="45"/>
      <c r="E168" s="27" t="str">
        <f ca="1">IF($B168="","",IF($B$4="Apprenticeship","-",SUM(IF(SUM(C168/12)&lt;Thresholds_Rates!$C$7,(SUM(C168/12)-Thresholds_Rates!$C$5)*Thresholds_Rates!$C$9,(Thresholds_Rates!$C$7-Thresholds_Rates!$C$5)*Thresholds_Rates!$C$9),IF(SUM(C168/12)&gt;Thresholds_Rates!$C$7,((SUM(C168/12)-Thresholds_Rates!$C$7)*Thresholds_Rates!$C$10),0),SUM(Thresholds_Rates!$C$5-Thresholds_Rates!$C$4)*-Thresholds_Rates!$C$8)*12))</f>
        <v/>
      </c>
      <c r="F168" s="27" t="str">
        <f ca="1">IF($B168="","",IF(AND($B$4="Salary Points 1 to 57",B168&lt;$AA$2),"-",IF(SUMIF(Grades!$A:$A,$B$4,Grades!BO:BO)=0,"-",IF(AND($B$4="Salary Points 1 to 57",B168&gt;=$AA$2),$C168*$AD$1,IF(AND(OR($B$4="New Consultant Contract"),$B168&lt;&gt;""),$C168*$AD$1,IF(AND(OR($B$4="Clinical Lecturer / Medical Research Fellow",$B$4="Clinical Consultant - Old Contract (GP)"),$B168&lt;&gt;""),$C168*$AD$1,IF(AND(OR($B$4="APM Level 7",$B$4="R&amp;T Level 7"),E168&lt;&gt;""),$C168*$AD$1,IF(SUMIF(Grades!$A:$A,$B$4,Grades!BO:BO)=1,$C168*$AD$1,""))))))))</f>
        <v/>
      </c>
      <c r="G168" s="27" t="str">
        <f ca="1">IF(B168="","",IF($B$4="Salary Points 1 to 57","-",IF(SUMIF(Grades!$A:$A,$B$4,Grades!BP:BP)=0,"-",IF(AND(OR($B$4="New Consultant Contract"),$B168&lt;&gt;""),$C168*$AD$2,IF(AND(OR($B$4="Clinical Lecturer / Medical Research Fellow",$B$4="Clinical Consultant - Old Contract (GP)"),$B168&lt;&gt;""),$C168*$AD$2,IF(AND(OR($B$4="APM Level 7",$B$4="R&amp;T Level 7"),F168&lt;&gt;""),$C168*$AD$2,IF(SUMIF(Grades!$A:$A,$B$4,Grades!BP:BP)=1,$C168*$AD$2,"")))))))</f>
        <v/>
      </c>
      <c r="H168" s="27" t="str">
        <f ca="1">IF(B168="","",IF(SUMIF(Grades!$A:$A,$B$4,Grades!BQ:BQ)=0,"-",IF(AND($B$4="Salary Points 1 to 57",B168&gt;$AA$3),"-",IF(AND($B$4="Salary Points 1 to 57",B168&lt;=$AA$3),$C168*$AD$3,IF(AND(OR($B$4="New Consultant Contract"),$B168&lt;&gt;""),$C168*$AD$3,IF(AND(OR($B$4="Clinical Lecturer / Medical Research Fellow",$B$4="Clinical Consultant - Old Contract (GP)"),$B168&lt;&gt;""),$C168*$AD$3,IF(AND(OR($B$4="APM Level 7",$B$4="R&amp;T Level 7"),G168&lt;&gt;""),$C168*$AD$3,IF(SUMIF(Grades!$A:$A,$B$4,Grades!BQ:BQ)=1,$C168*$AD$3,""))))))))</f>
        <v/>
      </c>
      <c r="I168" s="27"/>
      <c r="J168" s="27"/>
      <c r="K168" s="6"/>
      <c r="L168" s="27"/>
      <c r="M168" s="27"/>
      <c r="N168" s="27"/>
      <c r="O168" s="27"/>
      <c r="P168" s="27"/>
      <c r="R168" s="31"/>
      <c r="S168" s="32"/>
      <c r="T168" s="31"/>
      <c r="U168" s="32"/>
    </row>
    <row r="169" spans="2:21" x14ac:dyDescent="0.25">
      <c r="B169" s="6" t="str">
        <f ca="1">IFERROR(INDEX(Points_Lookup!A:A,MATCH($Z171,Points_Lookup!$AE:$AE,0)),"")</f>
        <v/>
      </c>
      <c r="C169" s="27" t="str">
        <f ca="1">IF(B169="","",IF($B$4="Apprenticeship",SUMIF(Points_Lookup!AA:AA,B169,Points_Lookup!AC:AC),IF(AND(OR($B$4="New Consultant Contract"),$B169&lt;&gt;""),INDEX(Points_Lookup!K:K,MATCH($B169,Points_Lookup!$J:$J,0)),IF(AND(OR($B$4="Clinical Lecturer / Medical Research Fellow",$B$4="Clinical Consultant - Old Contract (GP)"),$B169&lt;&gt;""),INDEX(Points_Lookup!H:H,MATCH($B169,Points_Lookup!$G:$G,0)),IF(AND(OR($B$4="APM Level 7",$B$4="R&amp;T Level 7",$B$4="APM Level 8"),B169&lt;&gt;""),INDEX(Points_Lookup!E:E,MATCH($Z169,Points_Lookup!$AE:$AE,0)),IF($B$4="R&amp;T Level 5 - Clinical Lecturers (Vet School)",SUMIF(Points_Lookup!$M:$M,$B169,Points_Lookup!$P:$P),IF($B$4="R&amp;T Level 6 - Clinical Associate Professors and Clinical Readers (Vet School)",SUMIF(Points_Lookup!$T:$T,$B169,Points_Lookup!$W:$W),IFERROR(INDEX(Points_Lookup!B:B,MATCH($Z169,Points_Lookup!$AE:$AE,0)),""))))))))</f>
        <v/>
      </c>
      <c r="D169" s="45"/>
      <c r="E169" s="27" t="str">
        <f ca="1">IF($B169="","",IF($B$4="Apprenticeship","-",SUM(IF(SUM(C169/12)&lt;Thresholds_Rates!$C$7,(SUM(C169/12)-Thresholds_Rates!$C$5)*Thresholds_Rates!$C$9,(Thresholds_Rates!$C$7-Thresholds_Rates!$C$5)*Thresholds_Rates!$C$9),IF(SUM(C169/12)&gt;Thresholds_Rates!$C$7,((SUM(C169/12)-Thresholds_Rates!$C$7)*Thresholds_Rates!$C$10),0),SUM(Thresholds_Rates!$C$5-Thresholds_Rates!$C$4)*-Thresholds_Rates!$C$8)*12))</f>
        <v/>
      </c>
      <c r="F169" s="27" t="str">
        <f ca="1">IF($B169="","",IF(AND($B$4="Salary Points 1 to 57",B169&lt;$AA$2),"-",IF(SUMIF(Grades!$A:$A,$B$4,Grades!BO:BO)=0,"-",IF(AND($B$4="Salary Points 1 to 57",B169&gt;=$AA$2),$C169*$AD$1,IF(AND(OR($B$4="New Consultant Contract"),$B169&lt;&gt;""),$C169*$AD$1,IF(AND(OR($B$4="Clinical Lecturer / Medical Research Fellow",$B$4="Clinical Consultant - Old Contract (GP)"),$B169&lt;&gt;""),$C169*$AD$1,IF(AND(OR($B$4="APM Level 7",$B$4="R&amp;T Level 7"),E169&lt;&gt;""),$C169*$AD$1,IF(SUMIF(Grades!$A:$A,$B$4,Grades!BO:BO)=1,$C169*$AD$1,""))))))))</f>
        <v/>
      </c>
      <c r="G169" s="27" t="str">
        <f ca="1">IF(B169="","",IF($B$4="Salary Points 1 to 57","-",IF(SUMIF(Grades!$A:$A,$B$4,Grades!BP:BP)=0,"-",IF(AND(OR($B$4="New Consultant Contract"),$B169&lt;&gt;""),$C169*$AD$2,IF(AND(OR($B$4="Clinical Lecturer / Medical Research Fellow",$B$4="Clinical Consultant - Old Contract (GP)"),$B169&lt;&gt;""),$C169*$AD$2,IF(AND(OR($B$4="APM Level 7",$B$4="R&amp;T Level 7"),F169&lt;&gt;""),$C169*$AD$2,IF(SUMIF(Grades!$A:$A,$B$4,Grades!BP:BP)=1,$C169*$AD$2,"")))))))</f>
        <v/>
      </c>
      <c r="H169" s="27" t="str">
        <f ca="1">IF(B169="","",IF(SUMIF(Grades!$A:$A,$B$4,Grades!BQ:BQ)=0,"-",IF(AND($B$4="Salary Points 1 to 57",B169&gt;$AA$3),"-",IF(AND($B$4="Salary Points 1 to 57",B169&lt;=$AA$3),$C169*$AD$3,IF(AND(OR($B$4="New Consultant Contract"),$B169&lt;&gt;""),$C169*$AD$3,IF(AND(OR($B$4="Clinical Lecturer / Medical Research Fellow",$B$4="Clinical Consultant - Old Contract (GP)"),$B169&lt;&gt;""),$C169*$AD$3,IF(AND(OR($B$4="APM Level 7",$B$4="R&amp;T Level 7"),G169&lt;&gt;""),$C169*$AD$3,IF(SUMIF(Grades!$A:$A,$B$4,Grades!BQ:BQ)=1,$C169*$AD$3,""))))))))</f>
        <v/>
      </c>
      <c r="I169" s="27"/>
      <c r="J169" s="27"/>
      <c r="K169" s="6"/>
      <c r="L169" s="27"/>
      <c r="M169" s="27"/>
      <c r="N169" s="27"/>
      <c r="O169" s="27"/>
      <c r="P169" s="27"/>
      <c r="R169" s="31"/>
      <c r="S169" s="32"/>
      <c r="T169" s="31"/>
      <c r="U169" s="32"/>
    </row>
    <row r="170" spans="2:21" x14ac:dyDescent="0.25">
      <c r="B170" s="6" t="str">
        <f ca="1">IFERROR(INDEX(Points_Lookup!A:A,MATCH($Z172,Points_Lookup!$AE:$AE,0)),"")</f>
        <v/>
      </c>
      <c r="C170" s="27" t="str">
        <f ca="1">IF(B170="","",IF($B$4="Apprenticeship",SUMIF(Points_Lookup!AA:AA,B170,Points_Lookup!AC:AC),IF(AND(OR($B$4="New Consultant Contract"),$B170&lt;&gt;""),INDEX(Points_Lookup!K:K,MATCH($B170,Points_Lookup!$J:$J,0)),IF(AND(OR($B$4="Clinical Lecturer / Medical Research Fellow",$B$4="Clinical Consultant - Old Contract (GP)"),$B170&lt;&gt;""),INDEX(Points_Lookup!H:H,MATCH($B170,Points_Lookup!$G:$G,0)),IF(AND(OR($B$4="APM Level 7",$B$4="R&amp;T Level 7",$B$4="APM Level 8"),B170&lt;&gt;""),INDEX(Points_Lookup!E:E,MATCH($Z170,Points_Lookup!$AE:$AE,0)),IF($B$4="R&amp;T Level 5 - Clinical Lecturers (Vet School)",SUMIF(Points_Lookup!$M:$M,$B170,Points_Lookup!$P:$P),IF($B$4="R&amp;T Level 6 - Clinical Associate Professors and Clinical Readers (Vet School)",SUMIF(Points_Lookup!$T:$T,$B170,Points_Lookup!$W:$W),IFERROR(INDEX(Points_Lookup!B:B,MATCH($Z170,Points_Lookup!$AE:$AE,0)),""))))))))</f>
        <v/>
      </c>
      <c r="D170" s="45"/>
      <c r="E170" s="27" t="str">
        <f ca="1">IF($B170="","",IF($B$4="Apprenticeship","-",SUM(IF(SUM(C170/12)&lt;Thresholds_Rates!$C$7,(SUM(C170/12)-Thresholds_Rates!$C$5)*Thresholds_Rates!$C$9,(Thresholds_Rates!$C$7-Thresholds_Rates!$C$5)*Thresholds_Rates!$C$9),IF(SUM(C170/12)&gt;Thresholds_Rates!$C$7,((SUM(C170/12)-Thresholds_Rates!$C$7)*Thresholds_Rates!$C$10),0),SUM(Thresholds_Rates!$C$5-Thresholds_Rates!$C$4)*-Thresholds_Rates!$C$8)*12))</f>
        <v/>
      </c>
      <c r="F170" s="27" t="str">
        <f ca="1">IF($B170="","",IF(AND($B$4="Salary Points 1 to 57",B170&lt;$AA$2),"-",IF(SUMIF(Grades!$A:$A,$B$4,Grades!BO:BO)=0,"-",IF(AND($B$4="Salary Points 1 to 57",B170&gt;=$AA$2),$C170*$AD$1,IF(AND(OR($B$4="New Consultant Contract"),$B170&lt;&gt;""),$C170*$AD$1,IF(AND(OR($B$4="Clinical Lecturer / Medical Research Fellow",$B$4="Clinical Consultant - Old Contract (GP)"),$B170&lt;&gt;""),$C170*$AD$1,IF(AND(OR($B$4="APM Level 7",$B$4="R&amp;T Level 7"),E170&lt;&gt;""),$C170*$AD$1,IF(SUMIF(Grades!$A:$A,$B$4,Grades!BO:BO)=1,$C170*$AD$1,""))))))))</f>
        <v/>
      </c>
      <c r="G170" s="27" t="str">
        <f ca="1">IF(B170="","",IF($B$4="Salary Points 1 to 57","-",IF(SUMIF(Grades!$A:$A,$B$4,Grades!BP:BP)=0,"-",IF(AND(OR($B$4="New Consultant Contract"),$B170&lt;&gt;""),$C170*$AD$2,IF(AND(OR($B$4="Clinical Lecturer / Medical Research Fellow",$B$4="Clinical Consultant - Old Contract (GP)"),$B170&lt;&gt;""),$C170*$AD$2,IF(AND(OR($B$4="APM Level 7",$B$4="R&amp;T Level 7"),F170&lt;&gt;""),$C170*$AD$2,IF(SUMIF(Grades!$A:$A,$B$4,Grades!BP:BP)=1,$C170*$AD$2,"")))))))</f>
        <v/>
      </c>
      <c r="H170" s="27" t="str">
        <f ca="1">IF(B170="","",IF(SUMIF(Grades!$A:$A,$B$4,Grades!BQ:BQ)=0,"-",IF(AND($B$4="Salary Points 1 to 57",B170&gt;$AA$3),"-",IF(AND($B$4="Salary Points 1 to 57",B170&lt;=$AA$3),$C170*$AD$3,IF(AND(OR($B$4="New Consultant Contract"),$B170&lt;&gt;""),$C170*$AD$3,IF(AND(OR($B$4="Clinical Lecturer / Medical Research Fellow",$B$4="Clinical Consultant - Old Contract (GP)"),$B170&lt;&gt;""),$C170*$AD$3,IF(AND(OR($B$4="APM Level 7",$B$4="R&amp;T Level 7"),G170&lt;&gt;""),$C170*$AD$3,IF(SUMIF(Grades!$A:$A,$B$4,Grades!BQ:BQ)=1,$C170*$AD$3,""))))))))</f>
        <v/>
      </c>
      <c r="I170" s="27"/>
      <c r="J170" s="27"/>
      <c r="K170" s="6"/>
      <c r="L170" s="27"/>
      <c r="M170" s="27"/>
      <c r="N170" s="27"/>
      <c r="O170" s="27"/>
      <c r="P170" s="27"/>
      <c r="R170" s="31"/>
      <c r="S170" s="32"/>
      <c r="T170" s="31"/>
      <c r="U170" s="32"/>
    </row>
    <row r="171" spans="2:21" x14ac:dyDescent="0.25">
      <c r="B171" s="6" t="str">
        <f ca="1">IFERROR(INDEX(Points_Lookup!A:A,MATCH($Z173,Points_Lookup!$AE:$AE,0)),"")</f>
        <v/>
      </c>
      <c r="C171" s="27" t="str">
        <f ca="1">IF(B171="","",IF($B$4="Apprenticeship",SUMIF(Points_Lookup!AA:AA,B171,Points_Lookup!AC:AC),IF(AND(OR($B$4="New Consultant Contract"),$B171&lt;&gt;""),INDEX(Points_Lookup!K:K,MATCH($B171,Points_Lookup!$J:$J,0)),IF(AND(OR($B$4="Clinical Lecturer / Medical Research Fellow",$B$4="Clinical Consultant - Old Contract (GP)"),$B171&lt;&gt;""),INDEX(Points_Lookup!H:H,MATCH($B171,Points_Lookup!$G:$G,0)),IF(AND(OR($B$4="APM Level 7",$B$4="R&amp;T Level 7",$B$4="APM Level 8"),B171&lt;&gt;""),INDEX(Points_Lookup!E:E,MATCH($Z171,Points_Lookup!$AE:$AE,0)),IF($B$4="R&amp;T Level 5 - Clinical Lecturers (Vet School)",SUMIF(Points_Lookup!$M:$M,$B171,Points_Lookup!$P:$P),IF($B$4="R&amp;T Level 6 - Clinical Associate Professors and Clinical Readers (Vet School)",SUMIF(Points_Lookup!$T:$T,$B171,Points_Lookup!$W:$W),IFERROR(INDEX(Points_Lookup!B:B,MATCH($Z171,Points_Lookup!$AE:$AE,0)),""))))))))</f>
        <v/>
      </c>
      <c r="D171" s="45"/>
      <c r="E171" s="27" t="str">
        <f ca="1">IF($B171="","",IF($B$4="Apprenticeship","-",SUM(IF(SUM(C171/12)&lt;Thresholds_Rates!$C$7,(SUM(C171/12)-Thresholds_Rates!$C$5)*Thresholds_Rates!$C$9,(Thresholds_Rates!$C$7-Thresholds_Rates!$C$5)*Thresholds_Rates!$C$9),IF(SUM(C171/12)&gt;Thresholds_Rates!$C$7,((SUM(C171/12)-Thresholds_Rates!$C$7)*Thresholds_Rates!$C$10),0),SUM(Thresholds_Rates!$C$5-Thresholds_Rates!$C$4)*-Thresholds_Rates!$C$8)*12))</f>
        <v/>
      </c>
      <c r="F171" s="27" t="str">
        <f ca="1">IF($B171="","",IF(AND($B$4="Salary Points 1 to 57",B171&lt;$AA$2),"-",IF(SUMIF(Grades!$A:$A,$B$4,Grades!BO:BO)=0,"-",IF(AND($B$4="Salary Points 1 to 57",B171&gt;=$AA$2),$C171*$AD$1,IF(AND(OR($B$4="New Consultant Contract"),$B171&lt;&gt;""),$C171*$AD$1,IF(AND(OR($B$4="Clinical Lecturer / Medical Research Fellow",$B$4="Clinical Consultant - Old Contract (GP)"),$B171&lt;&gt;""),$C171*$AD$1,IF(AND(OR($B$4="APM Level 7",$B$4="R&amp;T Level 7"),E171&lt;&gt;""),$C171*$AD$1,IF(SUMIF(Grades!$A:$A,$B$4,Grades!BO:BO)=1,$C171*$AD$1,""))))))))</f>
        <v/>
      </c>
      <c r="G171" s="27" t="str">
        <f ca="1">IF(B171="","",IF($B$4="Salary Points 1 to 57","-",IF(SUMIF(Grades!$A:$A,$B$4,Grades!BP:BP)=0,"-",IF(AND(OR($B$4="New Consultant Contract"),$B171&lt;&gt;""),$C171*$AD$2,IF(AND(OR($B$4="Clinical Lecturer / Medical Research Fellow",$B$4="Clinical Consultant - Old Contract (GP)"),$B171&lt;&gt;""),$C171*$AD$2,IF(AND(OR($B$4="APM Level 7",$B$4="R&amp;T Level 7"),F171&lt;&gt;""),$C171*$AD$2,IF(SUMIF(Grades!$A:$A,$B$4,Grades!BP:BP)=1,$C171*$AD$2,"")))))))</f>
        <v/>
      </c>
      <c r="H171" s="27" t="str">
        <f ca="1">IF(B171="","",IF(SUMIF(Grades!$A:$A,$B$4,Grades!BQ:BQ)=0,"-",IF(AND($B$4="Salary Points 1 to 57",B171&gt;$AA$3),"-",IF(AND($B$4="Salary Points 1 to 57",B171&lt;=$AA$3),$C171*$AD$3,IF(AND(OR($B$4="New Consultant Contract"),$B171&lt;&gt;""),$C171*$AD$3,IF(AND(OR($B$4="Clinical Lecturer / Medical Research Fellow",$B$4="Clinical Consultant - Old Contract (GP)"),$B171&lt;&gt;""),$C171*$AD$3,IF(AND(OR($B$4="APM Level 7",$B$4="R&amp;T Level 7"),G171&lt;&gt;""),$C171*$AD$3,IF(SUMIF(Grades!$A:$A,$B$4,Grades!BQ:BQ)=1,$C171*$AD$3,""))))))))</f>
        <v/>
      </c>
      <c r="I171" s="27"/>
      <c r="J171" s="27"/>
      <c r="K171" s="6"/>
      <c r="L171" s="27"/>
      <c r="M171" s="27"/>
      <c r="N171" s="27"/>
      <c r="O171" s="27"/>
      <c r="P171" s="27"/>
      <c r="R171" s="31"/>
      <c r="S171" s="32"/>
      <c r="T171" s="31"/>
      <c r="U171" s="32"/>
    </row>
    <row r="172" spans="2:21" x14ac:dyDescent="0.25">
      <c r="B172" s="6" t="str">
        <f ca="1">IFERROR(INDEX(Points_Lookup!A:A,MATCH($Z174,Points_Lookup!$AE:$AE,0)),"")</f>
        <v/>
      </c>
      <c r="C172" s="27" t="str">
        <f ca="1">IF(B172="","",IF($B$4="Apprenticeship",SUMIF(Points_Lookup!AA:AA,B172,Points_Lookup!AC:AC),IF(AND(OR($B$4="New Consultant Contract"),$B172&lt;&gt;""),INDEX(Points_Lookup!K:K,MATCH($B172,Points_Lookup!$J:$J,0)),IF(AND(OR($B$4="Clinical Lecturer / Medical Research Fellow",$B$4="Clinical Consultant - Old Contract (GP)"),$B172&lt;&gt;""),INDEX(Points_Lookup!H:H,MATCH($B172,Points_Lookup!$G:$G,0)),IF(AND(OR($B$4="APM Level 7",$B$4="R&amp;T Level 7",$B$4="APM Level 8"),B172&lt;&gt;""),INDEX(Points_Lookup!E:E,MATCH($Z172,Points_Lookup!$AE:$AE,0)),IF($B$4="R&amp;T Level 5 - Clinical Lecturers (Vet School)",SUMIF(Points_Lookup!$M:$M,$B172,Points_Lookup!$P:$P),IF($B$4="R&amp;T Level 6 - Clinical Associate Professors and Clinical Readers (Vet School)",SUMIF(Points_Lookup!$T:$T,$B172,Points_Lookup!$W:$W),IFERROR(INDEX(Points_Lookup!B:B,MATCH($Z172,Points_Lookup!$AE:$AE,0)),""))))))))</f>
        <v/>
      </c>
      <c r="D172" s="45"/>
      <c r="E172" s="27" t="str">
        <f ca="1">IF($B172="","",IF($B$4="Apprenticeship","-",SUM(IF(SUM(C172/12)&lt;Thresholds_Rates!$C$7,(SUM(C172/12)-Thresholds_Rates!$C$5)*Thresholds_Rates!$C$9,(Thresholds_Rates!$C$7-Thresholds_Rates!$C$5)*Thresholds_Rates!$C$9),IF(SUM(C172/12)&gt;Thresholds_Rates!$C$7,((SUM(C172/12)-Thresholds_Rates!$C$7)*Thresholds_Rates!$C$10),0),SUM(Thresholds_Rates!$C$5-Thresholds_Rates!$C$4)*-Thresholds_Rates!$C$8)*12))</f>
        <v/>
      </c>
      <c r="F172" s="27" t="str">
        <f ca="1">IF($B172="","",IF(AND($B$4="Salary Points 1 to 57",B172&lt;$AA$2),"-",IF(SUMIF(Grades!$A:$A,$B$4,Grades!BO:BO)=0,"-",IF(AND($B$4="Salary Points 1 to 57",B172&gt;=$AA$2),$C172*$AD$1,IF(AND(OR($B$4="New Consultant Contract"),$B172&lt;&gt;""),$C172*$AD$1,IF(AND(OR($B$4="Clinical Lecturer / Medical Research Fellow",$B$4="Clinical Consultant - Old Contract (GP)"),$B172&lt;&gt;""),$C172*$AD$1,IF(AND(OR($B$4="APM Level 7",$B$4="R&amp;T Level 7"),E172&lt;&gt;""),$C172*$AD$1,IF(SUMIF(Grades!$A:$A,$B$4,Grades!BO:BO)=1,$C172*$AD$1,""))))))))</f>
        <v/>
      </c>
      <c r="G172" s="27" t="str">
        <f ca="1">IF(B172="","",IF($B$4="Salary Points 1 to 57","-",IF(SUMIF(Grades!$A:$A,$B$4,Grades!BP:BP)=0,"-",IF(AND(OR($B$4="New Consultant Contract"),$B172&lt;&gt;""),$C172*$AD$2,IF(AND(OR($B$4="Clinical Lecturer / Medical Research Fellow",$B$4="Clinical Consultant - Old Contract (GP)"),$B172&lt;&gt;""),$C172*$AD$2,IF(AND(OR($B$4="APM Level 7",$B$4="R&amp;T Level 7"),F172&lt;&gt;""),$C172*$AD$2,IF(SUMIF(Grades!$A:$A,$B$4,Grades!BP:BP)=1,$C172*$AD$2,"")))))))</f>
        <v/>
      </c>
      <c r="H172" s="27" t="str">
        <f ca="1">IF(B172="","",IF(SUMIF(Grades!$A:$A,$B$4,Grades!BQ:BQ)=0,"-",IF(AND($B$4="Salary Points 1 to 57",B172&gt;$AA$3),"-",IF(AND($B$4="Salary Points 1 to 57",B172&lt;=$AA$3),$C172*$AD$3,IF(AND(OR($B$4="New Consultant Contract"),$B172&lt;&gt;""),$C172*$AD$3,IF(AND(OR($B$4="Clinical Lecturer / Medical Research Fellow",$B$4="Clinical Consultant - Old Contract (GP)"),$B172&lt;&gt;""),$C172*$AD$3,IF(AND(OR($B$4="APM Level 7",$B$4="R&amp;T Level 7"),G172&lt;&gt;""),$C172*$AD$3,IF(SUMIF(Grades!$A:$A,$B$4,Grades!BQ:BQ)=1,$C172*$AD$3,""))))))))</f>
        <v/>
      </c>
      <c r="I172" s="27"/>
      <c r="J172" s="27"/>
      <c r="K172" s="6"/>
      <c r="L172" s="27"/>
      <c r="M172" s="27"/>
      <c r="N172" s="27"/>
      <c r="O172" s="27"/>
      <c r="P172" s="27"/>
      <c r="R172" s="31"/>
      <c r="S172" s="32"/>
      <c r="T172" s="31"/>
      <c r="U172" s="32"/>
    </row>
  </sheetData>
  <sheetProtection password="CCB2" sheet="1" objects="1" scenarios="1"/>
  <mergeCells count="7">
    <mergeCell ref="B1:J2"/>
    <mergeCell ref="T6:U6"/>
    <mergeCell ref="L6:P6"/>
    <mergeCell ref="R6:S6"/>
    <mergeCell ref="E6:J6"/>
    <mergeCell ref="B4:C4"/>
    <mergeCell ref="F4:I4"/>
  </mergeCells>
  <conditionalFormatting sqref="R6:U7">
    <cfRule type="expression" dxfId="4" priority="6">
      <formula>$R$7&lt;&gt;""</formula>
    </cfRule>
  </conditionalFormatting>
  <conditionalFormatting sqref="B8:P172">
    <cfRule type="expression" dxfId="3" priority="14">
      <formula>$B8=$AA$1</formula>
    </cfRule>
  </conditionalFormatting>
  <conditionalFormatting sqref="F4:I4">
    <cfRule type="expression" dxfId="2" priority="15">
      <formula>AND($AA$1=0,LEFT($B$4,3)&lt;&gt;"O&amp;F")</formula>
    </cfRule>
  </conditionalFormatting>
  <conditionalFormatting sqref="Q8:U172">
    <cfRule type="expression" dxfId="1" priority="17">
      <formula>AND($B8=$AA$1,$R$7&lt;&gt;"")</formula>
    </cfRule>
  </conditionalFormatting>
  <dataValidations count="1">
    <dataValidation type="list" allowBlank="1" showInputMessage="1" showErrorMessage="1" sqref="B4:C4">
      <formula1>LIST</formula1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72" orientation="landscape" r:id="rId1"/>
  <headerFooter>
    <oddHeader>&amp;C&amp;"-,Bold"&amp;20Pay Award Date: 01/08/2014 (01/04/2013 for Clinical Grades)
National Insurance: 2014/15 Tax Year</oddHeader>
    <oddFooter>&amp;CVersion 1, last changed 04/07/2014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62"/>
  <sheetViews>
    <sheetView showGridLines="0" zoomScale="75" zoomScaleNormal="75" workbookViewId="0">
      <pane ySplit="4" topLeftCell="A5" activePane="bottomLeft" state="frozen"/>
      <selection activeCell="C1" sqref="C1"/>
      <selection pane="bottomLeft" activeCell="I53" sqref="I53"/>
    </sheetView>
  </sheetViews>
  <sheetFormatPr defaultRowHeight="15" x14ac:dyDescent="0.25"/>
  <cols>
    <col min="1" max="1" width="1.7109375" style="10" customWidth="1"/>
    <col min="2" max="2" width="9.140625" style="10"/>
    <col min="3" max="3" width="13.28515625" style="10" bestFit="1" customWidth="1"/>
    <col min="4" max="4" width="1.42578125" style="1" customWidth="1"/>
    <col min="5" max="6" width="4.7109375" style="1" customWidth="1"/>
    <col min="7" max="7" width="4.7109375" style="10" customWidth="1"/>
    <col min="8" max="8" width="19.5703125" style="10" customWidth="1"/>
    <col min="9" max="10" width="9.140625" style="10"/>
    <col min="11" max="11" width="19.5703125" style="10" customWidth="1"/>
    <col min="12" max="14" width="4.7109375" style="10" customWidth="1"/>
    <col min="15" max="15" width="1.140625" style="61" customWidth="1"/>
    <col min="16" max="16" width="12.85546875" style="10" customWidth="1"/>
    <col min="17" max="17" width="5.5703125" style="10" customWidth="1"/>
    <col min="18" max="18" width="1.5703125" style="10" customWidth="1"/>
    <col min="19" max="19" width="13.28515625" style="10" bestFit="1" customWidth="1"/>
    <col min="20" max="16384" width="9.140625" style="10"/>
  </cols>
  <sheetData>
    <row r="1" spans="1:20" x14ac:dyDescent="0.25">
      <c r="A1" s="116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8"/>
    </row>
    <row r="2" spans="1:20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</row>
    <row r="4" spans="1:20" s="13" customFormat="1" ht="35.1" customHeight="1" x14ac:dyDescent="0.25">
      <c r="I4" s="46" t="s">
        <v>95</v>
      </c>
      <c r="J4" s="47" t="s">
        <v>1</v>
      </c>
      <c r="O4" s="48"/>
    </row>
    <row r="5" spans="1:20" ht="24" customHeight="1" x14ac:dyDescent="0.25">
      <c r="H5" s="125" t="s">
        <v>93</v>
      </c>
      <c r="I5" s="49">
        <v>2</v>
      </c>
      <c r="J5" s="50">
        <f>SUMIF(Points_Lookup!A:A,I5,Points_Lookup!B:B)</f>
        <v>14421</v>
      </c>
      <c r="K5" s="93"/>
      <c r="L5" s="157" t="s">
        <v>120</v>
      </c>
      <c r="M5" s="160" t="s">
        <v>119</v>
      </c>
      <c r="N5" s="144"/>
      <c r="O5" s="52"/>
      <c r="P5" s="128" t="s">
        <v>94</v>
      </c>
    </row>
    <row r="6" spans="1:20" ht="24" customHeight="1" x14ac:dyDescent="0.25">
      <c r="H6" s="126"/>
      <c r="I6" s="49">
        <v>3</v>
      </c>
      <c r="J6" s="50">
        <f>SUMIF(Points_Lookup!A:A,I6,Points_Lookup!B:B)</f>
        <v>14631</v>
      </c>
      <c r="K6" s="53"/>
      <c r="L6" s="158"/>
      <c r="M6" s="135"/>
      <c r="N6" s="144"/>
      <c r="O6" s="52"/>
      <c r="P6" s="129"/>
    </row>
    <row r="7" spans="1:20" ht="24" customHeight="1" x14ac:dyDescent="0.25">
      <c r="H7" s="126"/>
      <c r="I7" s="49">
        <v>4</v>
      </c>
      <c r="J7" s="50">
        <f>SUMIF(Points_Lookup!A:A,I7,Points_Lookup!B:B)</f>
        <v>14959</v>
      </c>
      <c r="K7" s="53"/>
      <c r="L7" s="158"/>
      <c r="M7" s="135"/>
      <c r="N7" s="144"/>
      <c r="O7" s="52"/>
      <c r="P7" s="129"/>
    </row>
    <row r="8" spans="1:20" ht="24" customHeight="1" x14ac:dyDescent="0.25">
      <c r="H8" s="126"/>
      <c r="I8" s="49">
        <v>5</v>
      </c>
      <c r="J8" s="50">
        <f>SUMIF(Points_Lookup!A:A,I8,Points_Lookup!B:B)</f>
        <v>15356</v>
      </c>
      <c r="K8" s="53"/>
      <c r="L8" s="158"/>
      <c r="M8" s="135"/>
      <c r="N8" s="144"/>
      <c r="O8" s="52"/>
      <c r="P8" s="129"/>
    </row>
    <row r="9" spans="1:20" ht="24" customHeight="1" x14ac:dyDescent="0.25">
      <c r="H9" s="127"/>
      <c r="I9" s="49">
        <v>6</v>
      </c>
      <c r="J9" s="50">
        <f>SUMIF(Points_Lookup!A:A,I9,Points_Lookup!B:B)</f>
        <v>15765</v>
      </c>
      <c r="K9" s="81" t="s">
        <v>96</v>
      </c>
      <c r="L9" s="158"/>
      <c r="M9" s="135"/>
      <c r="N9" s="144"/>
      <c r="O9" s="52"/>
      <c r="P9" s="129"/>
    </row>
    <row r="10" spans="1:20" ht="24" customHeight="1" x14ac:dyDescent="0.25">
      <c r="I10" s="49">
        <v>7</v>
      </c>
      <c r="J10" s="50">
        <f>SUMIF(Points_Lookup!A:A,I10,Points_Lookup!B:B)</f>
        <v>16131</v>
      </c>
      <c r="K10" s="53"/>
      <c r="L10" s="158"/>
      <c r="M10" s="135"/>
      <c r="N10" s="144"/>
      <c r="O10" s="52"/>
      <c r="P10" s="129"/>
    </row>
    <row r="11" spans="1:20" ht="24" customHeight="1" x14ac:dyDescent="0.25">
      <c r="I11" s="49">
        <v>8</v>
      </c>
      <c r="J11" s="50">
        <f>SUMIF(Points_Lookup!A:A,I11,Points_Lookup!B:B)</f>
        <v>16577</v>
      </c>
      <c r="K11" s="53"/>
      <c r="L11" s="158"/>
      <c r="M11" s="135"/>
      <c r="N11" s="144"/>
      <c r="O11" s="52"/>
      <c r="P11" s="129"/>
    </row>
    <row r="12" spans="1:20" ht="24" customHeight="1" x14ac:dyDescent="0.25">
      <c r="C12" s="137" t="s">
        <v>92</v>
      </c>
      <c r="F12" s="140" t="s">
        <v>91</v>
      </c>
      <c r="G12" s="145" t="s">
        <v>90</v>
      </c>
      <c r="H12" s="54"/>
      <c r="I12" s="49">
        <v>9</v>
      </c>
      <c r="J12" s="50">
        <f>SUMIF(Points_Lookup!A:A,I12,Points_Lookup!B:B)</f>
        <v>17039</v>
      </c>
      <c r="K12" s="53"/>
      <c r="L12" s="158"/>
      <c r="M12" s="135"/>
      <c r="N12" s="144"/>
      <c r="O12" s="52"/>
      <c r="P12" s="130"/>
      <c r="R12" s="55"/>
      <c r="S12" s="56"/>
      <c r="T12" s="154" t="s">
        <v>89</v>
      </c>
    </row>
    <row r="13" spans="1:20" ht="24" customHeight="1" x14ac:dyDescent="0.25">
      <c r="C13" s="138"/>
      <c r="F13" s="140"/>
      <c r="G13" s="145"/>
      <c r="H13" s="57"/>
      <c r="I13" s="49">
        <v>10</v>
      </c>
      <c r="J13" s="50">
        <f>SUMIF(Points_Lookup!A:A,I13,Points_Lookup!B:B)</f>
        <v>17528</v>
      </c>
      <c r="K13" s="53"/>
      <c r="L13" s="158"/>
      <c r="M13" s="135"/>
      <c r="N13" s="144"/>
      <c r="O13" s="52"/>
      <c r="R13" s="58"/>
      <c r="S13" s="59"/>
      <c r="T13" s="155"/>
    </row>
    <row r="14" spans="1:20" ht="24" customHeight="1" x14ac:dyDescent="0.25">
      <c r="C14" s="138"/>
      <c r="F14" s="140"/>
      <c r="G14" s="145"/>
      <c r="H14" s="57"/>
      <c r="I14" s="49">
        <v>11</v>
      </c>
      <c r="J14" s="50">
        <f>SUMIF(Points_Lookup!A:A,I14,Points_Lookup!B:B)</f>
        <v>18031</v>
      </c>
      <c r="K14" s="53"/>
      <c r="L14" s="158"/>
      <c r="M14" s="135"/>
      <c r="N14" s="144"/>
      <c r="O14" s="52"/>
      <c r="R14" s="58"/>
      <c r="S14" s="59"/>
      <c r="T14" s="155"/>
    </row>
    <row r="15" spans="1:20" ht="24" customHeight="1" x14ac:dyDescent="0.25">
      <c r="C15" s="138"/>
      <c r="F15" s="140"/>
      <c r="G15" s="145"/>
      <c r="H15" s="57"/>
      <c r="I15" s="49">
        <v>12</v>
      </c>
      <c r="J15" s="50">
        <f>SUMIF(Points_Lookup!A:A,I15,Points_Lookup!B:B)</f>
        <v>18549</v>
      </c>
      <c r="K15" s="60"/>
      <c r="L15" s="159"/>
      <c r="M15" s="136"/>
      <c r="N15" s="144"/>
      <c r="O15" s="52"/>
      <c r="R15" s="152" t="s">
        <v>12</v>
      </c>
      <c r="S15" s="153"/>
      <c r="T15" s="155"/>
    </row>
    <row r="16" spans="1:20" ht="24" customHeight="1" x14ac:dyDescent="0.25">
      <c r="C16" s="138"/>
      <c r="F16" s="140"/>
      <c r="G16" s="145"/>
      <c r="H16" s="57"/>
      <c r="I16" s="49">
        <v>13</v>
      </c>
      <c r="J16" s="50">
        <f>SUMIF(Points_Lookup!A:A,I16,Points_Lookup!B:B)</f>
        <v>19083</v>
      </c>
      <c r="R16" s="58"/>
      <c r="S16" s="59"/>
      <c r="T16" s="155"/>
    </row>
    <row r="17" spans="2:20" ht="24" customHeight="1" x14ac:dyDescent="0.25">
      <c r="C17" s="138"/>
      <c r="F17" s="140"/>
      <c r="G17" s="145"/>
      <c r="H17" s="57"/>
      <c r="I17" s="49">
        <v>14</v>
      </c>
      <c r="J17" s="50">
        <f>SUMIF(Points_Lookup!A:A,I17,Points_Lookup!B:B)</f>
        <v>19632</v>
      </c>
      <c r="R17" s="58"/>
      <c r="S17" s="59"/>
      <c r="T17" s="155"/>
    </row>
    <row r="18" spans="2:20" ht="24" customHeight="1" x14ac:dyDescent="0.25">
      <c r="C18" s="138"/>
      <c r="F18" s="140"/>
      <c r="G18" s="145"/>
      <c r="H18" s="81" t="s">
        <v>97</v>
      </c>
      <c r="I18" s="49">
        <v>15</v>
      </c>
      <c r="J18" s="50">
        <f>SUMIF(Points_Lookup!A:A,I18,Points_Lookup!B:B)</f>
        <v>20198</v>
      </c>
      <c r="R18" s="62"/>
      <c r="S18" s="63"/>
      <c r="T18" s="156"/>
    </row>
    <row r="19" spans="2:20" ht="24" customHeight="1" x14ac:dyDescent="0.25">
      <c r="C19" s="138"/>
      <c r="F19" s="140"/>
      <c r="G19" s="145"/>
      <c r="H19" s="57"/>
      <c r="I19" s="49">
        <v>16</v>
      </c>
      <c r="J19" s="50">
        <f>SUMIF(Points_Lookup!A:A,I19,Points_Lookup!B:B)</f>
        <v>20781</v>
      </c>
      <c r="R19" s="55"/>
      <c r="S19" s="56"/>
      <c r="T19" s="154" t="s">
        <v>88</v>
      </c>
    </row>
    <row r="20" spans="2:20" ht="24" customHeight="1" x14ac:dyDescent="0.25">
      <c r="C20" s="138"/>
      <c r="F20" s="140"/>
      <c r="G20" s="145"/>
      <c r="H20" s="57"/>
      <c r="I20" s="49">
        <v>17</v>
      </c>
      <c r="J20" s="50">
        <f>SUMIF(Points_Lookup!A:A,I20,Points_Lookup!B:B)</f>
        <v>21391</v>
      </c>
      <c r="R20" s="58"/>
      <c r="S20" s="59"/>
      <c r="T20" s="155"/>
    </row>
    <row r="21" spans="2:20" ht="24" customHeight="1" x14ac:dyDescent="0.25">
      <c r="C21" s="139"/>
      <c r="F21" s="140"/>
      <c r="G21" s="145"/>
      <c r="H21" s="57"/>
      <c r="I21" s="49">
        <v>18</v>
      </c>
      <c r="J21" s="50">
        <f>SUMIF(Points_Lookup!A:A,I21,Points_Lookup!B:B)</f>
        <v>22029</v>
      </c>
      <c r="K21" s="51"/>
      <c r="L21" s="131" t="s">
        <v>87</v>
      </c>
      <c r="M21" s="134" t="s">
        <v>86</v>
      </c>
      <c r="N21" s="144"/>
      <c r="O21" s="64"/>
      <c r="P21" s="137" t="s">
        <v>85</v>
      </c>
      <c r="R21" s="58"/>
      <c r="S21" s="59"/>
      <c r="T21" s="155"/>
    </row>
    <row r="22" spans="2:20" ht="24" customHeight="1" x14ac:dyDescent="0.25">
      <c r="F22" s="140"/>
      <c r="G22" s="145"/>
      <c r="H22" s="57"/>
      <c r="I22" s="49">
        <v>19</v>
      </c>
      <c r="J22" s="50">
        <f>SUMIF(Points_Lookup!A:A,I22,Points_Lookup!B:B)</f>
        <v>22685</v>
      </c>
      <c r="K22" s="53"/>
      <c r="L22" s="132"/>
      <c r="M22" s="135"/>
      <c r="N22" s="144"/>
      <c r="O22" s="64"/>
      <c r="P22" s="138"/>
      <c r="R22" s="152" t="s">
        <v>12</v>
      </c>
      <c r="S22" s="153"/>
      <c r="T22" s="155"/>
    </row>
    <row r="23" spans="2:20" ht="24" customHeight="1" x14ac:dyDescent="0.25">
      <c r="F23" s="140"/>
      <c r="G23" s="145"/>
      <c r="H23" s="57"/>
      <c r="I23" s="49">
        <v>20</v>
      </c>
      <c r="J23" s="50">
        <f>SUMIF(Points_Lookup!A:A,I23,Points_Lookup!B:B)</f>
        <v>23386</v>
      </c>
      <c r="K23" s="53"/>
      <c r="L23" s="132"/>
      <c r="M23" s="135"/>
      <c r="N23" s="144"/>
      <c r="O23" s="64"/>
      <c r="P23" s="138"/>
      <c r="R23" s="58"/>
      <c r="S23" s="59"/>
      <c r="T23" s="155"/>
    </row>
    <row r="24" spans="2:20" ht="24" customHeight="1" x14ac:dyDescent="0.25">
      <c r="F24" s="140"/>
      <c r="G24" s="145"/>
      <c r="H24" s="65"/>
      <c r="I24" s="49">
        <v>21</v>
      </c>
      <c r="J24" s="50">
        <f>SUMIF(Points_Lookup!A:A,I24,Points_Lookup!B:B)</f>
        <v>24057</v>
      </c>
      <c r="K24" s="53"/>
      <c r="L24" s="132"/>
      <c r="M24" s="135"/>
      <c r="N24" s="144"/>
      <c r="O24" s="64"/>
      <c r="P24" s="138"/>
      <c r="R24" s="58"/>
      <c r="S24" s="59"/>
      <c r="T24" s="155"/>
    </row>
    <row r="25" spans="2:20" ht="24" customHeight="1" x14ac:dyDescent="0.25">
      <c r="I25" s="49">
        <v>22</v>
      </c>
      <c r="J25" s="50">
        <f>SUMIF(Points_Lookup!A:A,I25,Points_Lookup!B:B)</f>
        <v>24775</v>
      </c>
      <c r="K25" s="53"/>
      <c r="L25" s="132"/>
      <c r="M25" s="135"/>
      <c r="N25" s="144"/>
      <c r="O25" s="64"/>
      <c r="P25" s="138"/>
      <c r="R25" s="62"/>
      <c r="S25" s="63"/>
      <c r="T25" s="156"/>
    </row>
    <row r="26" spans="2:20" ht="24" customHeight="1" x14ac:dyDescent="0.25">
      <c r="B26" s="164" t="s">
        <v>84</v>
      </c>
      <c r="C26" s="66"/>
      <c r="F26" s="141" t="s">
        <v>83</v>
      </c>
      <c r="G26" s="161" t="s">
        <v>82</v>
      </c>
      <c r="H26" s="67"/>
      <c r="I26" s="49">
        <v>23</v>
      </c>
      <c r="J26" s="50">
        <f>SUMIF(Points_Lookup!A:A,I26,Points_Lookup!B:B)</f>
        <v>25513</v>
      </c>
      <c r="K26" s="53"/>
      <c r="L26" s="132"/>
      <c r="M26" s="135"/>
      <c r="N26" s="144"/>
      <c r="O26" s="64"/>
      <c r="P26" s="138"/>
    </row>
    <row r="27" spans="2:20" ht="24" customHeight="1" x14ac:dyDescent="0.25">
      <c r="B27" s="165"/>
      <c r="C27" s="68"/>
      <c r="F27" s="142"/>
      <c r="G27" s="162"/>
      <c r="H27" s="69"/>
      <c r="I27" s="49">
        <v>24</v>
      </c>
      <c r="J27" s="50">
        <f>SUMIF(Points_Lookup!A:A,I27,Points_Lookup!B:B)</f>
        <v>26274</v>
      </c>
      <c r="K27" s="81" t="s">
        <v>98</v>
      </c>
      <c r="L27" s="132"/>
      <c r="M27" s="135"/>
      <c r="N27" s="144"/>
      <c r="O27" s="64"/>
      <c r="P27" s="138"/>
    </row>
    <row r="28" spans="2:20" ht="24" customHeight="1" x14ac:dyDescent="0.25">
      <c r="B28" s="165"/>
      <c r="C28" s="70" t="s">
        <v>81</v>
      </c>
      <c r="F28" s="142"/>
      <c r="G28" s="162"/>
      <c r="H28" s="71" t="s">
        <v>81</v>
      </c>
      <c r="I28" s="49">
        <v>25</v>
      </c>
      <c r="J28" s="50">
        <f>SUMIF(Points_Lookup!A:A,I28,Points_Lookup!B:B)</f>
        <v>27057</v>
      </c>
      <c r="K28" s="53"/>
      <c r="L28" s="132"/>
      <c r="M28" s="135"/>
      <c r="N28" s="144"/>
      <c r="O28" s="64"/>
      <c r="P28" s="138"/>
    </row>
    <row r="29" spans="2:20" ht="24" customHeight="1" x14ac:dyDescent="0.25">
      <c r="B29" s="165"/>
      <c r="C29" s="72" t="s">
        <v>12</v>
      </c>
      <c r="F29" s="143"/>
      <c r="G29" s="163"/>
      <c r="H29" s="73"/>
      <c r="I29" s="49">
        <v>26</v>
      </c>
      <c r="J29" s="50">
        <f>SUMIF(Points_Lookup!A:A,I29,Points_Lookup!B:B)</f>
        <v>27864</v>
      </c>
      <c r="K29" s="53"/>
      <c r="L29" s="132"/>
      <c r="M29" s="135"/>
      <c r="N29" s="144"/>
      <c r="O29" s="64"/>
      <c r="P29" s="138"/>
    </row>
    <row r="30" spans="2:20" ht="24" customHeight="1" x14ac:dyDescent="0.25">
      <c r="B30" s="165"/>
      <c r="C30" s="68"/>
      <c r="E30" s="167" t="s">
        <v>80</v>
      </c>
      <c r="F30" s="170" t="s">
        <v>79</v>
      </c>
      <c r="G30" s="146" t="s">
        <v>78</v>
      </c>
      <c r="H30" s="91"/>
      <c r="I30" s="49">
        <v>27</v>
      </c>
      <c r="J30" s="50">
        <f>SUMIF(Points_Lookup!A:A,I30,Points_Lookup!B:B)</f>
        <v>28695</v>
      </c>
      <c r="K30" s="53"/>
      <c r="L30" s="132"/>
      <c r="M30" s="135"/>
      <c r="N30" s="144"/>
      <c r="O30" s="64"/>
      <c r="P30" s="138"/>
    </row>
    <row r="31" spans="2:20" ht="24" customHeight="1" x14ac:dyDescent="0.25">
      <c r="B31" s="165"/>
      <c r="C31" s="68"/>
      <c r="E31" s="168"/>
      <c r="F31" s="171"/>
      <c r="G31" s="147"/>
      <c r="H31" s="57"/>
      <c r="I31" s="49">
        <v>28</v>
      </c>
      <c r="J31" s="50">
        <f>SUMIF(Points_Lookup!A:A,I31,Points_Lookup!B:B)</f>
        <v>29552</v>
      </c>
      <c r="K31" s="53"/>
      <c r="L31" s="132"/>
      <c r="M31" s="135"/>
      <c r="N31" s="144"/>
      <c r="O31" s="64"/>
      <c r="P31" s="138"/>
    </row>
    <row r="32" spans="2:20" ht="24" customHeight="1" x14ac:dyDescent="0.25">
      <c r="B32" s="165"/>
      <c r="C32" s="68"/>
      <c r="E32" s="168"/>
      <c r="F32" s="171"/>
      <c r="G32" s="147"/>
      <c r="H32" s="57"/>
      <c r="I32" s="49">
        <v>29</v>
      </c>
      <c r="J32" s="50">
        <f>SUMIF(Points_Lookup!A:A,I32,Points_Lookup!B:B)</f>
        <v>30434</v>
      </c>
      <c r="K32" s="53"/>
      <c r="L32" s="132"/>
      <c r="M32" s="135"/>
      <c r="N32" s="144"/>
      <c r="O32" s="64"/>
      <c r="P32" s="138"/>
    </row>
    <row r="33" spans="2:17" ht="24" customHeight="1" x14ac:dyDescent="0.25">
      <c r="B33" s="166"/>
      <c r="C33" s="74"/>
      <c r="E33" s="168"/>
      <c r="F33" s="171"/>
      <c r="G33" s="147"/>
      <c r="H33" s="57"/>
      <c r="I33" s="49">
        <v>30</v>
      </c>
      <c r="J33" s="50">
        <f>SUMIF(Points_Lookup!A:A,I33,Points_Lookup!B:B)</f>
        <v>31342</v>
      </c>
      <c r="K33" s="60"/>
      <c r="L33" s="133"/>
      <c r="M33" s="136"/>
      <c r="N33" s="144"/>
      <c r="O33" s="64"/>
      <c r="P33" s="139"/>
    </row>
    <row r="34" spans="2:17" ht="24" customHeight="1" x14ac:dyDescent="0.25">
      <c r="B34" s="149"/>
      <c r="C34" s="99"/>
      <c r="E34" s="168"/>
      <c r="F34" s="171"/>
      <c r="G34" s="147"/>
      <c r="H34" s="57"/>
      <c r="I34" s="49">
        <v>31</v>
      </c>
      <c r="J34" s="50">
        <f>SUMIF(Points_Lookup!A:A,I34,Points_Lookup!B:B)</f>
        <v>32277</v>
      </c>
    </row>
    <row r="35" spans="2:17" ht="24" customHeight="1" x14ac:dyDescent="0.25">
      <c r="B35" s="150"/>
      <c r="C35" s="100"/>
      <c r="E35" s="168"/>
      <c r="F35" s="171"/>
      <c r="G35" s="147"/>
      <c r="H35" s="57"/>
      <c r="I35" s="49">
        <v>32</v>
      </c>
      <c r="J35" s="50">
        <f>SUMIF(Points_Lookup!A:A,I35,Points_Lookup!B:B)</f>
        <v>33242</v>
      </c>
    </row>
    <row r="36" spans="2:17" ht="24" customHeight="1" x14ac:dyDescent="0.25">
      <c r="B36" s="150"/>
      <c r="C36" s="100"/>
      <c r="E36" s="168"/>
      <c r="F36" s="171"/>
      <c r="G36" s="147"/>
      <c r="H36" s="57"/>
      <c r="I36" s="49">
        <v>33</v>
      </c>
      <c r="J36" s="50">
        <f>SUMIF(Points_Lookup!A:A,I36,Points_Lookup!B:B)</f>
        <v>34233</v>
      </c>
      <c r="P36" s="75"/>
      <c r="Q36" s="122" t="s">
        <v>77</v>
      </c>
    </row>
    <row r="37" spans="2:17" ht="24" customHeight="1" x14ac:dyDescent="0.25">
      <c r="B37" s="150"/>
      <c r="C37" s="100"/>
      <c r="E37" s="168"/>
      <c r="F37" s="171"/>
      <c r="G37" s="147"/>
      <c r="H37" s="57"/>
      <c r="I37" s="49">
        <v>34</v>
      </c>
      <c r="J37" s="50">
        <f>SUMIF(Points_Lookup!A:A,I37,Points_Lookup!B:B)</f>
        <v>35256</v>
      </c>
      <c r="P37" s="76"/>
      <c r="Q37" s="123"/>
    </row>
    <row r="38" spans="2:17" ht="24" customHeight="1" x14ac:dyDescent="0.25">
      <c r="B38" s="150"/>
      <c r="C38" s="100"/>
      <c r="E38" s="168"/>
      <c r="F38" s="171"/>
      <c r="G38" s="147"/>
      <c r="H38" s="57"/>
      <c r="I38" s="49">
        <v>35</v>
      </c>
      <c r="J38" s="50">
        <f>SUMIF(Points_Lookup!A:A,I38,Points_Lookup!B:B)</f>
        <v>36309</v>
      </c>
      <c r="P38" s="76"/>
      <c r="Q38" s="123"/>
    </row>
    <row r="39" spans="2:17" ht="24" customHeight="1" x14ac:dyDescent="0.25">
      <c r="B39" s="150"/>
      <c r="C39" s="101"/>
      <c r="E39" s="168"/>
      <c r="F39" s="171"/>
      <c r="G39" s="147"/>
      <c r="H39" s="92" t="s">
        <v>99</v>
      </c>
      <c r="I39" s="49">
        <v>36</v>
      </c>
      <c r="J39" s="50">
        <f>SUMIF(Points_Lookup!A:A,I39,Points_Lookup!B:B)</f>
        <v>37394</v>
      </c>
      <c r="K39" s="51"/>
      <c r="L39" s="145" t="s">
        <v>76</v>
      </c>
      <c r="M39" s="151" t="s">
        <v>75</v>
      </c>
      <c r="N39" s="140" t="s">
        <v>74</v>
      </c>
      <c r="O39" s="64"/>
      <c r="P39" s="76"/>
      <c r="Q39" s="123"/>
    </row>
    <row r="40" spans="2:17" ht="24" customHeight="1" x14ac:dyDescent="0.25">
      <c r="B40" s="150"/>
      <c r="C40" s="100"/>
      <c r="E40" s="168"/>
      <c r="F40" s="171"/>
      <c r="G40" s="147"/>
      <c r="H40" s="57"/>
      <c r="I40" s="49">
        <v>37</v>
      </c>
      <c r="J40" s="50">
        <f>SUMIF(Points_Lookup!A:A,I40,Points_Lookup!B:B)</f>
        <v>38511</v>
      </c>
      <c r="K40" s="53"/>
      <c r="L40" s="145"/>
      <c r="M40" s="151"/>
      <c r="N40" s="140"/>
      <c r="O40" s="64"/>
      <c r="P40" s="76"/>
      <c r="Q40" s="123"/>
    </row>
    <row r="41" spans="2:17" ht="24" customHeight="1" x14ac:dyDescent="0.25">
      <c r="B41" s="150"/>
      <c r="C41" s="100"/>
      <c r="E41" s="168"/>
      <c r="F41" s="171"/>
      <c r="G41" s="147"/>
      <c r="H41" s="57"/>
      <c r="I41" s="49">
        <v>38</v>
      </c>
      <c r="J41" s="50">
        <f>SUMIF(Points_Lookup!A:A,I41,Points_Lookup!B:B)</f>
        <v>39685</v>
      </c>
      <c r="K41" s="53"/>
      <c r="L41" s="145"/>
      <c r="M41" s="151"/>
      <c r="N41" s="140"/>
      <c r="O41" s="64"/>
      <c r="P41" s="76"/>
      <c r="Q41" s="123"/>
    </row>
    <row r="42" spans="2:17" ht="24" customHeight="1" x14ac:dyDescent="0.25">
      <c r="B42" s="150"/>
      <c r="C42" s="100"/>
      <c r="E42" s="169"/>
      <c r="F42" s="172"/>
      <c r="G42" s="148"/>
      <c r="H42" s="65"/>
      <c r="I42" s="49">
        <v>39</v>
      </c>
      <c r="J42" s="50">
        <f>SUMIF(Points_Lookup!A:A,I42,Points_Lookup!B:B)</f>
        <v>40847</v>
      </c>
      <c r="K42" s="53"/>
      <c r="L42" s="145"/>
      <c r="M42" s="151"/>
      <c r="N42" s="140"/>
      <c r="O42" s="64"/>
      <c r="P42" s="76"/>
      <c r="Q42" s="123"/>
    </row>
    <row r="43" spans="2:17" ht="24" customHeight="1" x14ac:dyDescent="0.25">
      <c r="I43" s="49">
        <v>40</v>
      </c>
      <c r="J43" s="50">
        <f>SUMIF(Points_Lookup!A:A,I43,Points_Lookup!B:B)</f>
        <v>42067</v>
      </c>
      <c r="K43" s="53"/>
      <c r="L43" s="145"/>
      <c r="M43" s="151"/>
      <c r="N43" s="140"/>
      <c r="O43" s="64"/>
      <c r="P43" s="76"/>
      <c r="Q43" s="123"/>
    </row>
    <row r="44" spans="2:17" ht="24" customHeight="1" x14ac:dyDescent="0.25">
      <c r="I44" s="49">
        <v>41</v>
      </c>
      <c r="J44" s="50">
        <f>SUMIF(Points_Lookup!A:A,I44,Points_Lookup!B:B)</f>
        <v>43325</v>
      </c>
      <c r="K44" s="53"/>
      <c r="L44" s="145"/>
      <c r="M44" s="151"/>
      <c r="N44" s="140"/>
      <c r="O44" s="64"/>
      <c r="P44" s="76"/>
      <c r="Q44" s="123"/>
    </row>
    <row r="45" spans="2:17" ht="24" customHeight="1" x14ac:dyDescent="0.25">
      <c r="I45" s="49">
        <v>42</v>
      </c>
      <c r="J45" s="50">
        <f>SUMIF(Points_Lookup!A:A,I45,Points_Lookup!B:B)</f>
        <v>44620</v>
      </c>
      <c r="K45" s="53"/>
      <c r="L45" s="145"/>
      <c r="M45" s="151"/>
      <c r="N45" s="140"/>
      <c r="O45" s="64"/>
      <c r="P45" s="76"/>
      <c r="Q45" s="123"/>
    </row>
    <row r="46" spans="2:17" ht="24" customHeight="1" x14ac:dyDescent="0.25">
      <c r="I46" s="49">
        <v>43</v>
      </c>
      <c r="J46" s="50">
        <f>SUMIF(Points_Lookup!A:A,I46,Points_Lookup!B:B)</f>
        <v>45954</v>
      </c>
      <c r="K46" s="81" t="s">
        <v>100</v>
      </c>
      <c r="L46" s="145"/>
      <c r="M46" s="151"/>
      <c r="N46" s="140"/>
      <c r="O46" s="64"/>
      <c r="P46" s="77" t="s">
        <v>12</v>
      </c>
      <c r="Q46" s="123"/>
    </row>
    <row r="47" spans="2:17" ht="24" customHeight="1" x14ac:dyDescent="0.25">
      <c r="I47" s="49">
        <v>44</v>
      </c>
      <c r="J47" s="50">
        <f>SUMIF(Points_Lookup!A:A,I47,Points_Lookup!B:B)</f>
        <v>47328</v>
      </c>
      <c r="K47" s="53"/>
      <c r="L47" s="145"/>
      <c r="M47" s="151"/>
      <c r="N47" s="140"/>
      <c r="O47" s="64"/>
      <c r="P47" s="76"/>
      <c r="Q47" s="123"/>
    </row>
    <row r="48" spans="2:17" ht="24" customHeight="1" x14ac:dyDescent="0.25">
      <c r="F48" s="151" t="s">
        <v>73</v>
      </c>
      <c r="G48" s="145" t="s">
        <v>72</v>
      </c>
      <c r="H48" s="54"/>
      <c r="I48" s="49">
        <v>45</v>
      </c>
      <c r="J48" s="50">
        <f>SUMIF(Points_Lookup!A:A,I48,Points_Lookup!B:B)</f>
        <v>48743</v>
      </c>
      <c r="K48" s="53"/>
      <c r="L48" s="145"/>
      <c r="M48" s="151"/>
      <c r="N48" s="140"/>
      <c r="O48" s="64"/>
      <c r="P48" s="76"/>
      <c r="Q48" s="123"/>
    </row>
    <row r="49" spans="6:17" ht="24" customHeight="1" x14ac:dyDescent="0.25">
      <c r="F49" s="151"/>
      <c r="G49" s="145"/>
      <c r="H49" s="57"/>
      <c r="I49" s="49">
        <v>46</v>
      </c>
      <c r="J49" s="50">
        <f>SUMIF(Points_Lookup!A:A,I49,Points_Lookup!B:B)</f>
        <v>50200</v>
      </c>
      <c r="K49" s="53"/>
      <c r="L49" s="145"/>
      <c r="M49" s="151"/>
      <c r="N49" s="140"/>
      <c r="O49" s="64"/>
      <c r="P49" s="76"/>
      <c r="Q49" s="123"/>
    </row>
    <row r="50" spans="6:17" ht="24" customHeight="1" x14ac:dyDescent="0.25">
      <c r="F50" s="151"/>
      <c r="G50" s="145"/>
      <c r="H50" s="57"/>
      <c r="I50" s="49">
        <v>47</v>
      </c>
      <c r="J50" s="50">
        <f>SUMIF(Points_Lookup!A:A,I50,Points_Lookup!B:B)</f>
        <v>51702</v>
      </c>
      <c r="K50" s="53"/>
      <c r="L50" s="145"/>
      <c r="M50" s="151"/>
      <c r="N50" s="140"/>
      <c r="O50" s="64"/>
      <c r="P50" s="76"/>
      <c r="Q50" s="123"/>
    </row>
    <row r="51" spans="6:17" ht="24" customHeight="1" x14ac:dyDescent="0.25">
      <c r="F51" s="151"/>
      <c r="G51" s="145"/>
      <c r="H51" s="57"/>
      <c r="I51" s="49">
        <v>48</v>
      </c>
      <c r="J51" s="50">
        <f>SUMIF(Points_Lookup!A:A,I51,Points_Lookup!B:B)</f>
        <v>53248</v>
      </c>
      <c r="K51" s="60"/>
      <c r="L51" s="145"/>
      <c r="M51" s="151"/>
      <c r="N51" s="140"/>
      <c r="O51" s="78"/>
      <c r="P51" s="79"/>
      <c r="Q51" s="124"/>
    </row>
    <row r="52" spans="6:17" ht="24" customHeight="1" x14ac:dyDescent="0.25">
      <c r="F52" s="151"/>
      <c r="G52" s="145"/>
      <c r="H52" s="57"/>
      <c r="I52" s="49">
        <v>49</v>
      </c>
      <c r="J52" s="50">
        <f>SUMIF(Points_Lookup!A:A,I52,Points_Lookup!B:B)</f>
        <v>54841</v>
      </c>
    </row>
    <row r="53" spans="6:17" ht="24" customHeight="1" x14ac:dyDescent="0.25">
      <c r="F53" s="151"/>
      <c r="G53" s="145"/>
      <c r="H53" s="57"/>
      <c r="I53" s="49">
        <v>50</v>
      </c>
      <c r="J53" s="50">
        <f>SUMIF(Points_Lookup!A:A,I53,Points_Lookup!B:B)</f>
        <v>56482</v>
      </c>
    </row>
    <row r="54" spans="6:17" ht="24" customHeight="1" x14ac:dyDescent="0.25">
      <c r="F54" s="151"/>
      <c r="G54" s="145"/>
      <c r="H54" s="81" t="s">
        <v>101</v>
      </c>
      <c r="I54" s="49">
        <v>51</v>
      </c>
      <c r="J54" s="50">
        <f>SUMIF(Points_Lookup!A:A,I54,Points_Lookup!B:B)</f>
        <v>58172</v>
      </c>
    </row>
    <row r="55" spans="6:17" ht="24" customHeight="1" x14ac:dyDescent="0.25">
      <c r="F55" s="151"/>
      <c r="G55" s="145"/>
      <c r="H55" s="57"/>
      <c r="I55" s="49">
        <v>52</v>
      </c>
      <c r="J55" s="50">
        <f>SUMIF(Points_Lookup!A:A,I55,Points_Lookup!B:B)</f>
        <v>59895</v>
      </c>
    </row>
    <row r="56" spans="6:17" ht="24" customHeight="1" x14ac:dyDescent="0.25">
      <c r="F56" s="151"/>
      <c r="G56" s="145"/>
      <c r="H56" s="57"/>
      <c r="I56" s="49">
        <v>53</v>
      </c>
      <c r="J56" s="50">
        <f>SUMIF(Points_Lookup!A:A,I56,Points_Lookup!B:B)</f>
        <v>61688</v>
      </c>
    </row>
    <row r="57" spans="6:17" ht="24" customHeight="1" x14ac:dyDescent="0.25">
      <c r="F57" s="151"/>
      <c r="G57" s="145"/>
      <c r="H57" s="57"/>
      <c r="I57" s="49">
        <v>54</v>
      </c>
      <c r="J57" s="50">
        <f>SUMIF(Points_Lookup!A:A,I57,Points_Lookup!B:B)</f>
        <v>63536</v>
      </c>
    </row>
    <row r="58" spans="6:17" ht="24" customHeight="1" x14ac:dyDescent="0.25">
      <c r="F58" s="151"/>
      <c r="G58" s="145"/>
      <c r="H58" s="57"/>
      <c r="I58" s="49">
        <v>55</v>
      </c>
      <c r="J58" s="50">
        <f>SUMIF(Points_Lookup!A:A,I58,Points_Lookup!B:B)</f>
        <v>65437</v>
      </c>
    </row>
    <row r="59" spans="6:17" ht="24" customHeight="1" x14ac:dyDescent="0.25">
      <c r="F59" s="151"/>
      <c r="G59" s="145"/>
      <c r="H59" s="57"/>
      <c r="I59" s="49">
        <v>56</v>
      </c>
      <c r="J59" s="50">
        <f>SUMIF(Points_Lookup!A:A,I59,Points_Lookup!B:B)</f>
        <v>67394</v>
      </c>
    </row>
    <row r="60" spans="6:17" ht="24" customHeight="1" x14ac:dyDescent="0.25">
      <c r="F60" s="151"/>
      <c r="G60" s="145"/>
      <c r="H60" s="65"/>
      <c r="I60" s="80">
        <v>57</v>
      </c>
      <c r="J60" s="82">
        <f>SUMIF(Points_Lookup!A:A,I60,Points_Lookup!B:B)</f>
        <v>69412</v>
      </c>
    </row>
    <row r="61" spans="6:17" ht="35.1" customHeight="1" x14ac:dyDescent="0.25"/>
    <row r="62" spans="6:17" ht="35.1" customHeight="1" x14ac:dyDescent="0.25"/>
  </sheetData>
  <sheetProtection password="CCB2" sheet="1" objects="1" scenarios="1"/>
  <mergeCells count="30">
    <mergeCell ref="C12:C21"/>
    <mergeCell ref="G26:G29"/>
    <mergeCell ref="B26:B33"/>
    <mergeCell ref="E30:E42"/>
    <mergeCell ref="F30:F42"/>
    <mergeCell ref="L39:L51"/>
    <mergeCell ref="M39:M51"/>
    <mergeCell ref="F48:F60"/>
    <mergeCell ref="R15:S15"/>
    <mergeCell ref="T12:T18"/>
    <mergeCell ref="T19:T25"/>
    <mergeCell ref="R22:S22"/>
    <mergeCell ref="L5:L15"/>
    <mergeCell ref="M5:M15"/>
    <mergeCell ref="A1:T2"/>
    <mergeCell ref="Q36:Q51"/>
    <mergeCell ref="H5:H9"/>
    <mergeCell ref="P5:P12"/>
    <mergeCell ref="L21:L33"/>
    <mergeCell ref="M21:M33"/>
    <mergeCell ref="P21:P33"/>
    <mergeCell ref="F12:F24"/>
    <mergeCell ref="F26:F29"/>
    <mergeCell ref="N5:N15"/>
    <mergeCell ref="G12:G24"/>
    <mergeCell ref="N21:N33"/>
    <mergeCell ref="G30:G42"/>
    <mergeCell ref="N39:N51"/>
    <mergeCell ref="G48:G60"/>
    <mergeCell ref="B34:B42"/>
  </mergeCells>
  <conditionalFormatting sqref="A4:IV27 A37:IV65538 A28:IT36">
    <cfRule type="expression" dxfId="0" priority="1" stopIfTrue="1">
      <formula>RIGHT(A4,12)="Standard Max"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&amp;C&amp;"-,Bold"&amp;36Effective Date of Pay Award: 01/08/2014</oddHeader>
    <oddFooter>&amp;CVersion1, last updated 04/07/2014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showRowColHeaders="0" workbookViewId="0">
      <selection activeCell="F13" sqref="F13"/>
    </sheetView>
  </sheetViews>
  <sheetFormatPr defaultRowHeight="15" x14ac:dyDescent="0.25"/>
  <cols>
    <col min="2" max="2" width="24.42578125" bestFit="1" customWidth="1"/>
    <col min="3" max="3" width="9.140625" style="88"/>
  </cols>
  <sheetData>
    <row r="2" spans="2:4" x14ac:dyDescent="0.25">
      <c r="B2" s="86" t="s">
        <v>113</v>
      </c>
      <c r="C2" s="102">
        <v>2014</v>
      </c>
      <c r="D2" t="s">
        <v>114</v>
      </c>
    </row>
    <row r="3" spans="2:4" x14ac:dyDescent="0.25">
      <c r="C3" s="103"/>
    </row>
    <row r="4" spans="2:4" x14ac:dyDescent="0.25">
      <c r="B4" s="87" t="s">
        <v>108</v>
      </c>
      <c r="C4" s="104">
        <v>481</v>
      </c>
    </row>
    <row r="5" spans="2:4" x14ac:dyDescent="0.25">
      <c r="B5" s="87" t="s">
        <v>109</v>
      </c>
      <c r="C5" s="102">
        <v>663</v>
      </c>
    </row>
    <row r="6" spans="2:4" x14ac:dyDescent="0.25">
      <c r="B6" s="87" t="s">
        <v>111</v>
      </c>
      <c r="C6" s="102">
        <v>663</v>
      </c>
    </row>
    <row r="7" spans="2:4" x14ac:dyDescent="0.25">
      <c r="B7" s="87" t="s">
        <v>110</v>
      </c>
      <c r="C7" s="102">
        <v>3337</v>
      </c>
    </row>
    <row r="8" spans="2:4" x14ac:dyDescent="0.25">
      <c r="B8" s="87" t="s">
        <v>106</v>
      </c>
      <c r="C8" s="89">
        <v>3.4000000000000002E-2</v>
      </c>
    </row>
    <row r="9" spans="2:4" x14ac:dyDescent="0.25">
      <c r="B9" s="87" t="s">
        <v>112</v>
      </c>
      <c r="C9" s="89">
        <v>0.104</v>
      </c>
      <c r="D9" s="85"/>
    </row>
    <row r="10" spans="2:4" x14ac:dyDescent="0.25">
      <c r="B10" s="87" t="s">
        <v>107</v>
      </c>
      <c r="C10" s="89">
        <v>0.13800000000000001</v>
      </c>
    </row>
  </sheetData>
  <sheetProtection password="CCB2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14"/>
  <sheetViews>
    <sheetView showGridLines="0" topLeftCell="A4" zoomScaleNormal="100" workbookViewId="0">
      <selection activeCell="A14" sqref="A14"/>
    </sheetView>
  </sheetViews>
  <sheetFormatPr defaultRowHeight="15" x14ac:dyDescent="0.25"/>
  <cols>
    <col min="1" max="1" width="134.85546875" bestFit="1" customWidth="1"/>
  </cols>
  <sheetData>
    <row r="1" spans="1:1" s="35" customFormat="1" ht="20.100000000000001" customHeight="1" x14ac:dyDescent="0.25">
      <c r="A1" s="42" t="s">
        <v>58</v>
      </c>
    </row>
    <row r="2" spans="1:1" s="35" customFormat="1" ht="34.5" customHeight="1" x14ac:dyDescent="0.25">
      <c r="A2" s="43" t="s">
        <v>66</v>
      </c>
    </row>
    <row r="3" spans="1:1" s="35" customFormat="1" ht="34.5" customHeight="1" x14ac:dyDescent="0.25">
      <c r="A3" s="44" t="s">
        <v>104</v>
      </c>
    </row>
    <row r="4" spans="1:1" s="35" customFormat="1" ht="35.1" customHeight="1" x14ac:dyDescent="0.25">
      <c r="A4" s="43" t="s">
        <v>63</v>
      </c>
    </row>
    <row r="5" spans="1:1" s="35" customFormat="1" ht="35.1" customHeight="1" x14ac:dyDescent="0.25">
      <c r="A5" s="44" t="s">
        <v>61</v>
      </c>
    </row>
    <row r="6" spans="1:1" s="35" customFormat="1" ht="35.1" customHeight="1" x14ac:dyDescent="0.25">
      <c r="A6" s="44" t="s">
        <v>59</v>
      </c>
    </row>
    <row r="7" spans="1:1" s="35" customFormat="1" ht="35.1" customHeight="1" x14ac:dyDescent="0.25">
      <c r="A7" s="44" t="s">
        <v>70</v>
      </c>
    </row>
    <row r="8" spans="1:1" s="35" customFormat="1" ht="35.1" customHeight="1" x14ac:dyDescent="0.25">
      <c r="A8" s="44" t="s">
        <v>117</v>
      </c>
    </row>
    <row r="9" spans="1:1" s="35" customFormat="1" ht="35.1" customHeight="1" x14ac:dyDescent="0.25">
      <c r="A9" s="44"/>
    </row>
    <row r="10" spans="1:1" s="35" customFormat="1" ht="35.1" customHeight="1" x14ac:dyDescent="0.25">
      <c r="A10" s="42" t="s">
        <v>60</v>
      </c>
    </row>
    <row r="11" spans="1:1" s="35" customFormat="1" ht="35.1" customHeight="1" x14ac:dyDescent="0.25">
      <c r="A11" s="44" t="s">
        <v>71</v>
      </c>
    </row>
    <row r="12" spans="1:1" s="35" customFormat="1" ht="35.1" customHeight="1" x14ac:dyDescent="0.25">
      <c r="A12" s="44" t="s">
        <v>64</v>
      </c>
    </row>
    <row r="13" spans="1:1" s="35" customFormat="1" ht="35.1" customHeight="1" x14ac:dyDescent="0.25">
      <c r="A13" s="44" t="s">
        <v>68</v>
      </c>
    </row>
    <row r="14" spans="1:1" ht="35.1" customHeight="1" x14ac:dyDescent="0.25">
      <c r="A14" s="44" t="s">
        <v>62</v>
      </c>
    </row>
  </sheetData>
  <sheetProtection password="CCB2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K286"/>
  <sheetViews>
    <sheetView showGridLines="0" zoomScale="80" zoomScaleNormal="80" workbookViewId="0">
      <pane ySplit="2" topLeftCell="A3" activePane="bottomLeft" state="frozenSplit"/>
      <selection pane="bottomLeft" activeCell="K85" sqref="K85"/>
    </sheetView>
  </sheetViews>
  <sheetFormatPr defaultRowHeight="15" x14ac:dyDescent="0.25"/>
  <cols>
    <col min="1" max="2" width="10.42578125" style="1" customWidth="1"/>
    <col min="3" max="3" width="14.85546875" style="1" customWidth="1"/>
    <col min="4" max="5" width="10.42578125" style="1" customWidth="1"/>
    <col min="6" max="6" width="10.42578125" style="20" customWidth="1"/>
    <col min="7" max="8" width="10.42578125" style="1" customWidth="1"/>
    <col min="9" max="9" width="9.140625" style="20"/>
    <col min="10" max="10" width="11.140625" style="1" customWidth="1"/>
    <col min="11" max="11" width="9.85546875" style="1" bestFit="1" customWidth="1"/>
    <col min="12" max="12" width="9.140625" style="1"/>
    <col min="13" max="13" width="20.28515625" style="1" customWidth="1"/>
    <col min="14" max="14" width="9.140625" style="1"/>
    <col min="15" max="15" width="13.42578125" style="1" bestFit="1" customWidth="1"/>
    <col min="16" max="16" width="9.140625" style="1"/>
    <col min="17" max="17" width="15.42578125" style="1" customWidth="1"/>
    <col min="18" max="18" width="19" style="1" customWidth="1"/>
    <col min="19" max="19" width="9.140625" style="1"/>
    <col min="20" max="20" width="25.42578125" style="1" bestFit="1" customWidth="1"/>
    <col min="21" max="21" width="8.28515625" style="1" bestFit="1" customWidth="1"/>
    <col min="22" max="22" width="8.42578125" style="1" bestFit="1" customWidth="1"/>
    <col min="23" max="23" width="9.5703125" style="1" bestFit="1" customWidth="1"/>
    <col min="24" max="25" width="11" style="1" bestFit="1" customWidth="1"/>
    <col min="26" max="26" width="11" style="1" customWidth="1"/>
    <col min="27" max="28" width="20.140625" style="1" customWidth="1"/>
    <col min="29" max="29" width="11" style="1" customWidth="1"/>
    <col min="30" max="34" width="9.140625" style="1"/>
    <col min="35" max="35" width="12" style="1" customWidth="1"/>
    <col min="36" max="36" width="11.28515625" style="1" bestFit="1" customWidth="1"/>
    <col min="37" max="16384" width="9.140625" style="1"/>
  </cols>
  <sheetData>
    <row r="1" spans="1:37" ht="35.25" customHeight="1" x14ac:dyDescent="0.25">
      <c r="A1" s="6"/>
      <c r="B1" s="6"/>
      <c r="C1" s="6"/>
      <c r="D1" s="6"/>
      <c r="E1" s="6"/>
      <c r="F1" s="9"/>
      <c r="G1" s="6"/>
      <c r="H1" s="6"/>
      <c r="I1" s="9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F1" s="10"/>
      <c r="AG1" s="10"/>
      <c r="AH1" s="10"/>
      <c r="AI1" s="10"/>
      <c r="AJ1" s="10"/>
    </row>
    <row r="2" spans="1:37" ht="91.5" customHeight="1" x14ac:dyDescent="0.25">
      <c r="A2" s="3" t="s">
        <v>0</v>
      </c>
      <c r="B2" s="90" t="s">
        <v>1</v>
      </c>
      <c r="C2" s="11"/>
      <c r="D2" s="3" t="s">
        <v>6</v>
      </c>
      <c r="E2" s="90" t="s">
        <v>1</v>
      </c>
      <c r="F2" s="12"/>
      <c r="G2" s="3" t="s">
        <v>16</v>
      </c>
      <c r="H2" s="98" t="s">
        <v>1</v>
      </c>
      <c r="I2" s="12"/>
      <c r="J2" s="3" t="s">
        <v>15</v>
      </c>
      <c r="K2" s="3" t="s">
        <v>1</v>
      </c>
      <c r="L2" s="6"/>
      <c r="M2" s="3" t="s">
        <v>41</v>
      </c>
      <c r="N2" s="3" t="s">
        <v>55</v>
      </c>
      <c r="O2" s="3" t="s">
        <v>1</v>
      </c>
      <c r="P2" s="3" t="s">
        <v>54</v>
      </c>
      <c r="Q2" s="3" t="s">
        <v>56</v>
      </c>
      <c r="R2" s="3" t="s">
        <v>57</v>
      </c>
      <c r="S2" s="6"/>
      <c r="T2" s="3" t="s">
        <v>43</v>
      </c>
      <c r="U2" s="3" t="s">
        <v>55</v>
      </c>
      <c r="V2" s="3" t="s">
        <v>1</v>
      </c>
      <c r="W2" s="3" t="s">
        <v>54</v>
      </c>
      <c r="X2" s="3" t="s">
        <v>56</v>
      </c>
      <c r="Y2" s="3" t="s">
        <v>57</v>
      </c>
      <c r="Z2" s="6"/>
      <c r="AA2" s="83" t="s">
        <v>102</v>
      </c>
      <c r="AB2" s="83" t="s">
        <v>103</v>
      </c>
      <c r="AC2" s="83" t="s">
        <v>1</v>
      </c>
      <c r="AD2" s="6"/>
      <c r="AE2" s="1" t="s">
        <v>14</v>
      </c>
      <c r="AF2" s="13"/>
      <c r="AG2" s="13"/>
      <c r="AH2" s="13"/>
      <c r="AI2" s="13"/>
      <c r="AJ2" s="13"/>
      <c r="AK2" s="13"/>
    </row>
    <row r="3" spans="1:37" ht="18.75" x14ac:dyDescent="0.25">
      <c r="A3" s="14">
        <v>1</v>
      </c>
      <c r="B3" s="105">
        <v>13953</v>
      </c>
      <c r="C3" s="27"/>
      <c r="D3" s="15">
        <v>1</v>
      </c>
      <c r="E3" s="106">
        <v>58171</v>
      </c>
      <c r="F3" s="45"/>
      <c r="G3" s="15">
        <v>1</v>
      </c>
      <c r="H3" s="97">
        <v>31301</v>
      </c>
      <c r="I3" s="16"/>
      <c r="J3" s="15">
        <v>1</v>
      </c>
      <c r="K3" s="97">
        <v>75249</v>
      </c>
      <c r="L3" s="6"/>
      <c r="M3" s="14">
        <v>36</v>
      </c>
      <c r="N3" s="29">
        <v>0.05</v>
      </c>
      <c r="O3" s="17">
        <f>SUMIF(A:A,M3,B:B)</f>
        <v>37394</v>
      </c>
      <c r="P3" s="14">
        <f t="shared" ref="P3:P15" si="0">ROUND(O3+(O3*N3),0)</f>
        <v>39264</v>
      </c>
      <c r="Q3" s="29">
        <v>0.15</v>
      </c>
      <c r="R3" s="14">
        <f>ROUND(O3*Q3,0)</f>
        <v>5609</v>
      </c>
      <c r="S3" s="6"/>
      <c r="T3" s="14">
        <v>45</v>
      </c>
      <c r="U3" s="29">
        <v>0.1</v>
      </c>
      <c r="V3" s="17">
        <f>SUMIF(A:A,T3,B:B)</f>
        <v>48743</v>
      </c>
      <c r="W3" s="14">
        <f t="shared" ref="W3:W15" si="1">ROUND(V3+(V3*U3),0)</f>
        <v>53617</v>
      </c>
      <c r="X3" s="29">
        <v>0.15</v>
      </c>
      <c r="Y3" s="14">
        <f>ROUND(V3*X3,0)</f>
        <v>7311</v>
      </c>
      <c r="Z3" s="84"/>
      <c r="AA3" s="14">
        <v>1</v>
      </c>
      <c r="AB3" s="14">
        <v>116</v>
      </c>
      <c r="AC3" s="14">
        <f>SUMIF($A:$A,AB3,B:B)</f>
        <v>9767</v>
      </c>
      <c r="AD3" s="6"/>
      <c r="AE3" s="1" t="str">
        <f ca="1">IFERROR(MATCH(A3,OFFSET(Grades!$A$1,MATCH(Rates!$B$4,LIST,0),2,1,SUMIF(Grades!$A:$A,Rates!$B$4,Grades!$B:$B)),0),"")</f>
        <v/>
      </c>
    </row>
    <row r="4" spans="1:37" ht="18.75" x14ac:dyDescent="0.25">
      <c r="A4" s="14">
        <v>2</v>
      </c>
      <c r="B4" s="105">
        <v>14421</v>
      </c>
      <c r="C4" s="27"/>
      <c r="D4" s="15">
        <v>2</v>
      </c>
      <c r="E4" s="106">
        <v>59333</v>
      </c>
      <c r="F4" s="45"/>
      <c r="G4" s="15">
        <v>2</v>
      </c>
      <c r="H4" s="97">
        <v>32852</v>
      </c>
      <c r="I4" s="16"/>
      <c r="J4" s="15">
        <v>2</v>
      </c>
      <c r="K4" s="97">
        <v>77605</v>
      </c>
      <c r="L4" s="6"/>
      <c r="M4" s="14">
        <v>37</v>
      </c>
      <c r="N4" s="29">
        <v>0.05</v>
      </c>
      <c r="O4" s="17">
        <f t="shared" ref="O4:O15" si="2">SUMIF(A:A,M4,B:B)</f>
        <v>38511</v>
      </c>
      <c r="P4" s="14">
        <f t="shared" si="0"/>
        <v>40437</v>
      </c>
      <c r="Q4" s="29">
        <v>0.15</v>
      </c>
      <c r="R4" s="14">
        <f t="shared" ref="R4:R15" si="3">ROUND(O4*Q4,0)</f>
        <v>5777</v>
      </c>
      <c r="S4" s="6"/>
      <c r="T4" s="14">
        <v>46</v>
      </c>
      <c r="U4" s="29">
        <v>0.1</v>
      </c>
      <c r="V4" s="17">
        <f t="shared" ref="V4:V15" si="4">SUMIF(A:A,T4,B:B)</f>
        <v>50200</v>
      </c>
      <c r="W4" s="14">
        <f t="shared" si="1"/>
        <v>55220</v>
      </c>
      <c r="X4" s="29">
        <v>0.15</v>
      </c>
      <c r="Y4" s="14">
        <f t="shared" ref="Y4:Y15" si="5">ROUND(V4*X4,0)</f>
        <v>7530</v>
      </c>
      <c r="Z4" s="84"/>
      <c r="AA4" s="14">
        <v>2</v>
      </c>
      <c r="AB4" s="14">
        <v>216</v>
      </c>
      <c r="AC4" s="17">
        <f>SUM(14257*70%)</f>
        <v>9979.9</v>
      </c>
      <c r="AD4" s="6"/>
      <c r="AE4" s="1">
        <f ca="1">IFERROR(MATCH(A4,OFFSET(Grades!$A$1,MATCH(Rates!$B$4,LIST,0),2,1,SUMIF(Grades!$A:$A,Rates!$B$4,Grades!$B:$B)),0),"")</f>
        <v>1</v>
      </c>
    </row>
    <row r="5" spans="1:37" ht="18.75" x14ac:dyDescent="0.25">
      <c r="A5" s="14">
        <v>3</v>
      </c>
      <c r="B5" s="105">
        <v>14631</v>
      </c>
      <c r="C5" s="27"/>
      <c r="D5" s="15">
        <v>3</v>
      </c>
      <c r="E5" s="106">
        <v>60517</v>
      </c>
      <c r="F5" s="45"/>
      <c r="G5" s="15">
        <v>3</v>
      </c>
      <c r="H5" s="97">
        <v>34402</v>
      </c>
      <c r="I5" s="16"/>
      <c r="J5" s="15">
        <v>3</v>
      </c>
      <c r="K5" s="97">
        <v>79961</v>
      </c>
      <c r="L5" s="6"/>
      <c r="M5" s="14">
        <v>38</v>
      </c>
      <c r="N5" s="29">
        <v>0.05</v>
      </c>
      <c r="O5" s="17">
        <f t="shared" si="2"/>
        <v>39685</v>
      </c>
      <c r="P5" s="14">
        <f t="shared" si="0"/>
        <v>41669</v>
      </c>
      <c r="Q5" s="29">
        <v>0.15</v>
      </c>
      <c r="R5" s="14">
        <f t="shared" si="3"/>
        <v>5953</v>
      </c>
      <c r="S5" s="6"/>
      <c r="T5" s="14">
        <v>47</v>
      </c>
      <c r="U5" s="29">
        <v>0.1</v>
      </c>
      <c r="V5" s="17">
        <f t="shared" si="4"/>
        <v>51702</v>
      </c>
      <c r="W5" s="14">
        <f t="shared" si="1"/>
        <v>56872</v>
      </c>
      <c r="X5" s="29">
        <v>0.15</v>
      </c>
      <c r="Y5" s="14">
        <f t="shared" si="5"/>
        <v>7755</v>
      </c>
      <c r="Z5" s="84"/>
      <c r="AA5" s="14">
        <v>3</v>
      </c>
      <c r="AB5" s="14">
        <v>316</v>
      </c>
      <c r="AC5" s="14">
        <f t="shared" ref="AC5:AC13" si="6">SUMIF($A:$A,AB5,B:B)</f>
        <v>10242</v>
      </c>
      <c r="AD5" s="6"/>
      <c r="AE5" s="1">
        <f ca="1">IFERROR(MATCH(A5,OFFSET(Grades!$A$1,MATCH(Rates!$B$4,LIST,0),2,1,SUMIF(Grades!$A:$A,Rates!$B$4,Grades!$B:$B)),0),"")</f>
        <v>2</v>
      </c>
    </row>
    <row r="6" spans="1:37" ht="18.75" x14ac:dyDescent="0.25">
      <c r="A6" s="14">
        <v>4</v>
      </c>
      <c r="B6" s="105">
        <v>14959</v>
      </c>
      <c r="C6" s="27"/>
      <c r="D6" s="15">
        <v>4</v>
      </c>
      <c r="E6" s="106">
        <v>61724</v>
      </c>
      <c r="F6" s="45"/>
      <c r="G6" s="15">
        <v>4</v>
      </c>
      <c r="H6" s="97">
        <v>35952</v>
      </c>
      <c r="I6" s="16"/>
      <c r="J6" s="15">
        <v>4</v>
      </c>
      <c r="K6" s="97">
        <v>82318</v>
      </c>
      <c r="L6" s="6"/>
      <c r="M6" s="14">
        <v>39</v>
      </c>
      <c r="N6" s="29">
        <v>0.05</v>
      </c>
      <c r="O6" s="17">
        <f t="shared" si="2"/>
        <v>40847</v>
      </c>
      <c r="P6" s="14">
        <f t="shared" si="0"/>
        <v>42889</v>
      </c>
      <c r="Q6" s="29">
        <v>0.15</v>
      </c>
      <c r="R6" s="14">
        <f t="shared" si="3"/>
        <v>6127</v>
      </c>
      <c r="S6" s="6"/>
      <c r="T6" s="14">
        <v>48</v>
      </c>
      <c r="U6" s="29">
        <v>0.1</v>
      </c>
      <c r="V6" s="17">
        <f t="shared" si="4"/>
        <v>53248</v>
      </c>
      <c r="W6" s="14">
        <f t="shared" si="1"/>
        <v>58573</v>
      </c>
      <c r="X6" s="29">
        <v>0.15</v>
      </c>
      <c r="Y6" s="14">
        <f t="shared" si="5"/>
        <v>7987</v>
      </c>
      <c r="Z6" s="84"/>
      <c r="AA6" s="14">
        <v>4</v>
      </c>
      <c r="AB6" s="14">
        <v>117</v>
      </c>
      <c r="AC6" s="14">
        <f t="shared" si="6"/>
        <v>11860</v>
      </c>
      <c r="AD6" s="6"/>
      <c r="AE6" s="1">
        <f ca="1">IFERROR(MATCH(A6,OFFSET(Grades!$A$1,MATCH(Rates!$B$4,LIST,0),2,1,SUMIF(Grades!$A:$A,Rates!$B$4,Grades!$B:$B)),0),"")</f>
        <v>3</v>
      </c>
    </row>
    <row r="7" spans="1:37" ht="18.75" x14ac:dyDescent="0.25">
      <c r="A7" s="14">
        <v>5</v>
      </c>
      <c r="B7" s="105">
        <v>15356</v>
      </c>
      <c r="C7" s="27"/>
      <c r="D7" s="15">
        <v>5</v>
      </c>
      <c r="E7" s="106">
        <v>62956</v>
      </c>
      <c r="F7" s="45"/>
      <c r="G7" s="15">
        <v>5</v>
      </c>
      <c r="H7" s="97">
        <v>37822</v>
      </c>
      <c r="I7" s="16"/>
      <c r="J7" s="15">
        <v>5</v>
      </c>
      <c r="K7" s="97">
        <v>84667</v>
      </c>
      <c r="L7" s="6"/>
      <c r="M7" s="14">
        <v>40</v>
      </c>
      <c r="N7" s="29">
        <v>0.05</v>
      </c>
      <c r="O7" s="17">
        <f t="shared" si="2"/>
        <v>42067</v>
      </c>
      <c r="P7" s="14">
        <f t="shared" si="0"/>
        <v>44170</v>
      </c>
      <c r="Q7" s="29">
        <v>0.15</v>
      </c>
      <c r="R7" s="14">
        <f t="shared" si="3"/>
        <v>6310</v>
      </c>
      <c r="S7" s="6"/>
      <c r="T7" s="14">
        <v>49</v>
      </c>
      <c r="U7" s="29">
        <v>0.1</v>
      </c>
      <c r="V7" s="17">
        <f t="shared" si="4"/>
        <v>54841</v>
      </c>
      <c r="W7" s="14">
        <f t="shared" si="1"/>
        <v>60325</v>
      </c>
      <c r="X7" s="29">
        <v>0.15</v>
      </c>
      <c r="Y7" s="14">
        <f t="shared" si="5"/>
        <v>8226</v>
      </c>
      <c r="Z7" s="84"/>
      <c r="AA7" s="14">
        <v>5</v>
      </c>
      <c r="AB7" s="14">
        <v>217</v>
      </c>
      <c r="AC7" s="17">
        <f>SUM(14257*85%)</f>
        <v>12118.449999999999</v>
      </c>
      <c r="AD7" s="6"/>
      <c r="AE7" s="1">
        <f ca="1">IFERROR(MATCH(A7,OFFSET(Grades!$A$1,MATCH(Rates!$B$4,LIST,0),2,1,SUMIF(Grades!$A:$A,Rates!$B$4,Grades!$B:$B)),0),"")</f>
        <v>4</v>
      </c>
    </row>
    <row r="8" spans="1:37" ht="18.75" x14ac:dyDescent="0.25">
      <c r="A8" s="14">
        <v>6</v>
      </c>
      <c r="B8" s="105">
        <v>15765</v>
      </c>
      <c r="C8" s="27"/>
      <c r="D8" s="15">
        <v>6</v>
      </c>
      <c r="E8" s="106">
        <v>64211</v>
      </c>
      <c r="F8" s="45"/>
      <c r="G8" s="15">
        <v>6</v>
      </c>
      <c r="H8" s="97">
        <v>39693</v>
      </c>
      <c r="I8" s="16"/>
      <c r="J8" s="15">
        <v>6</v>
      </c>
      <c r="K8" s="97">
        <v>90263</v>
      </c>
      <c r="L8" s="6"/>
      <c r="M8" s="14">
        <v>41</v>
      </c>
      <c r="N8" s="29">
        <v>0.05</v>
      </c>
      <c r="O8" s="17">
        <f t="shared" si="2"/>
        <v>43325</v>
      </c>
      <c r="P8" s="14">
        <f t="shared" si="0"/>
        <v>45491</v>
      </c>
      <c r="Q8" s="29">
        <v>0.15</v>
      </c>
      <c r="R8" s="14">
        <f t="shared" si="3"/>
        <v>6499</v>
      </c>
      <c r="S8" s="6"/>
      <c r="T8" s="14">
        <v>50</v>
      </c>
      <c r="U8" s="29">
        <v>0.1</v>
      </c>
      <c r="V8" s="17">
        <f t="shared" si="4"/>
        <v>56482</v>
      </c>
      <c r="W8" s="14">
        <f t="shared" si="1"/>
        <v>62130</v>
      </c>
      <c r="X8" s="29">
        <v>0.15</v>
      </c>
      <c r="Y8" s="14">
        <f t="shared" si="5"/>
        <v>8472</v>
      </c>
      <c r="Z8" s="84"/>
      <c r="AA8" s="14">
        <v>6</v>
      </c>
      <c r="AB8" s="14">
        <v>317</v>
      </c>
      <c r="AC8" s="14">
        <f t="shared" si="6"/>
        <v>12436</v>
      </c>
      <c r="AD8" s="6"/>
      <c r="AE8" s="1">
        <f ca="1">IFERROR(MATCH(A8,OFFSET(Grades!$A$1,MATCH(Rates!$B$4,LIST,0),2,1,SUMIF(Grades!$A:$A,Rates!$B$4,Grades!$B:$B)),0),"")</f>
        <v>5</v>
      </c>
    </row>
    <row r="9" spans="1:37" ht="18.75" x14ac:dyDescent="0.25">
      <c r="A9" s="14">
        <v>7</v>
      </c>
      <c r="B9" s="105">
        <v>16131</v>
      </c>
      <c r="C9" s="27"/>
      <c r="D9" s="15">
        <v>7</v>
      </c>
      <c r="E9" s="106">
        <v>65492</v>
      </c>
      <c r="F9" s="45"/>
      <c r="G9" s="15">
        <v>7</v>
      </c>
      <c r="H9" s="97">
        <v>41564</v>
      </c>
      <c r="I9" s="16"/>
      <c r="J9" s="15">
        <v>7</v>
      </c>
      <c r="K9" s="97">
        <v>95860</v>
      </c>
      <c r="L9" s="6"/>
      <c r="M9" s="14">
        <v>42</v>
      </c>
      <c r="N9" s="29">
        <v>0.05</v>
      </c>
      <c r="O9" s="17">
        <f t="shared" si="2"/>
        <v>44620</v>
      </c>
      <c r="P9" s="14">
        <f t="shared" si="0"/>
        <v>46851</v>
      </c>
      <c r="Q9" s="29">
        <v>0.15</v>
      </c>
      <c r="R9" s="14">
        <f t="shared" si="3"/>
        <v>6693</v>
      </c>
      <c r="S9" s="6"/>
      <c r="T9" s="14">
        <v>51</v>
      </c>
      <c r="U9" s="29">
        <v>0.15</v>
      </c>
      <c r="V9" s="17">
        <f t="shared" si="4"/>
        <v>58172</v>
      </c>
      <c r="W9" s="14">
        <f t="shared" si="1"/>
        <v>66898</v>
      </c>
      <c r="X9" s="29">
        <v>0.2</v>
      </c>
      <c r="Y9" s="14">
        <f t="shared" si="5"/>
        <v>11634</v>
      </c>
      <c r="Z9" s="84"/>
      <c r="AA9" s="14">
        <v>7</v>
      </c>
      <c r="AB9" s="14">
        <v>2</v>
      </c>
      <c r="AC9" s="14">
        <v>14257</v>
      </c>
      <c r="AD9" s="6"/>
      <c r="AE9" s="1">
        <f ca="1">IFERROR(MATCH(A9,OFFSET(Grades!$A$1,MATCH(Rates!$B$4,LIST,0),2,1,SUMIF(Grades!$A:$A,Rates!$B$4,Grades!$B:$B)),0),"")</f>
        <v>6</v>
      </c>
    </row>
    <row r="10" spans="1:37" ht="18.75" x14ac:dyDescent="0.25">
      <c r="A10" s="14">
        <v>8</v>
      </c>
      <c r="B10" s="105">
        <v>16577</v>
      </c>
      <c r="C10" s="27"/>
      <c r="D10" s="15">
        <v>8</v>
      </c>
      <c r="E10" s="106">
        <v>66799</v>
      </c>
      <c r="F10" s="45"/>
      <c r="G10" s="15">
        <v>8</v>
      </c>
      <c r="H10" s="97">
        <v>43434</v>
      </c>
      <c r="I10" s="16"/>
      <c r="J10" s="15">
        <v>8</v>
      </c>
      <c r="K10" s="97">
        <v>101451</v>
      </c>
      <c r="L10" s="6"/>
      <c r="M10" s="14">
        <v>43</v>
      </c>
      <c r="N10" s="29">
        <v>0.1</v>
      </c>
      <c r="O10" s="17">
        <f t="shared" si="2"/>
        <v>45954</v>
      </c>
      <c r="P10" s="14">
        <f t="shared" si="0"/>
        <v>50549</v>
      </c>
      <c r="Q10" s="29">
        <v>0.15</v>
      </c>
      <c r="R10" s="14">
        <f t="shared" si="3"/>
        <v>6893</v>
      </c>
      <c r="S10" s="6"/>
      <c r="T10" s="14">
        <v>52</v>
      </c>
      <c r="U10" s="29">
        <v>0.15</v>
      </c>
      <c r="V10" s="17">
        <f t="shared" si="4"/>
        <v>59895</v>
      </c>
      <c r="W10" s="14">
        <f t="shared" si="1"/>
        <v>68879</v>
      </c>
      <c r="X10" s="29">
        <v>0.2</v>
      </c>
      <c r="Y10" s="14">
        <f t="shared" si="5"/>
        <v>11979</v>
      </c>
      <c r="Z10" s="84"/>
      <c r="AA10" s="14">
        <v>8</v>
      </c>
      <c r="AB10" s="14">
        <v>3</v>
      </c>
      <c r="AC10" s="14">
        <f t="shared" si="6"/>
        <v>14631</v>
      </c>
      <c r="AD10" s="6"/>
      <c r="AE10" s="1">
        <f ca="1">IFERROR(MATCH(A10,OFFSET(Grades!$A$1,MATCH(Rates!$B$4,LIST,0),2,1,SUMIF(Grades!$A:$A,Rates!$B$4,Grades!$B:$B)),0),"")</f>
        <v>7</v>
      </c>
    </row>
    <row r="11" spans="1:37" ht="18.75" x14ac:dyDescent="0.25">
      <c r="A11" s="14">
        <v>9</v>
      </c>
      <c r="B11" s="105">
        <v>17039</v>
      </c>
      <c r="C11" s="27"/>
      <c r="D11" s="15">
        <v>9</v>
      </c>
      <c r="E11" s="106">
        <v>68132</v>
      </c>
      <c r="F11" s="45"/>
      <c r="G11" s="15">
        <v>9</v>
      </c>
      <c r="H11" s="97">
        <v>45304</v>
      </c>
      <c r="I11" s="16"/>
      <c r="J11" s="16"/>
      <c r="K11" s="16"/>
      <c r="L11" s="6"/>
      <c r="M11" s="14">
        <v>44</v>
      </c>
      <c r="N11" s="29">
        <v>0.1</v>
      </c>
      <c r="O11" s="17">
        <f t="shared" si="2"/>
        <v>47328</v>
      </c>
      <c r="P11" s="14">
        <f t="shared" si="0"/>
        <v>52061</v>
      </c>
      <c r="Q11" s="29">
        <v>0.15</v>
      </c>
      <c r="R11" s="14">
        <f t="shared" si="3"/>
        <v>7099</v>
      </c>
      <c r="S11" s="6"/>
      <c r="T11" s="14">
        <v>53</v>
      </c>
      <c r="U11" s="29">
        <v>0.15</v>
      </c>
      <c r="V11" s="17">
        <f t="shared" si="4"/>
        <v>61688</v>
      </c>
      <c r="W11" s="14">
        <f t="shared" si="1"/>
        <v>70941</v>
      </c>
      <c r="X11" s="29">
        <v>0.2</v>
      </c>
      <c r="Y11" s="14">
        <f t="shared" si="5"/>
        <v>12338</v>
      </c>
      <c r="Z11" s="84"/>
      <c r="AA11" s="14">
        <v>9</v>
      </c>
      <c r="AB11" s="14">
        <v>7</v>
      </c>
      <c r="AC11" s="14">
        <f t="shared" si="6"/>
        <v>16131</v>
      </c>
      <c r="AD11" s="6"/>
      <c r="AE11" s="1">
        <f ca="1">IFERROR(MATCH(A11,OFFSET(Grades!$A$1,MATCH(Rates!$B$4,LIST,0),2,1,SUMIF(Grades!$A:$A,Rates!$B$4,Grades!$B:$B)),0),"")</f>
        <v>8</v>
      </c>
    </row>
    <row r="12" spans="1:37" ht="18.75" x14ac:dyDescent="0.25">
      <c r="A12" s="14">
        <v>10</v>
      </c>
      <c r="B12" s="105">
        <v>17528</v>
      </c>
      <c r="C12" s="27"/>
      <c r="D12" s="15">
        <v>10</v>
      </c>
      <c r="E12" s="106">
        <v>69491</v>
      </c>
      <c r="F12" s="45"/>
      <c r="G12" s="15">
        <v>10</v>
      </c>
      <c r="H12" s="97">
        <v>50167</v>
      </c>
      <c r="I12" s="16"/>
      <c r="J12" s="16"/>
      <c r="K12" s="16"/>
      <c r="L12" s="6"/>
      <c r="M12" s="14">
        <v>45</v>
      </c>
      <c r="N12" s="29">
        <v>0.1</v>
      </c>
      <c r="O12" s="17">
        <f t="shared" si="2"/>
        <v>48743</v>
      </c>
      <c r="P12" s="14">
        <f t="shared" si="0"/>
        <v>53617</v>
      </c>
      <c r="Q12" s="29">
        <v>0.15</v>
      </c>
      <c r="R12" s="14">
        <f t="shared" si="3"/>
        <v>7311</v>
      </c>
      <c r="S12" s="6"/>
      <c r="T12" s="14">
        <v>54</v>
      </c>
      <c r="U12" s="29">
        <v>0.15</v>
      </c>
      <c r="V12" s="17">
        <f t="shared" si="4"/>
        <v>63536</v>
      </c>
      <c r="W12" s="14">
        <f t="shared" si="1"/>
        <v>73066</v>
      </c>
      <c r="X12" s="29">
        <v>0.2</v>
      </c>
      <c r="Y12" s="14">
        <f t="shared" si="5"/>
        <v>12707</v>
      </c>
      <c r="Z12" s="84"/>
      <c r="AA12" s="14">
        <v>10</v>
      </c>
      <c r="AB12" s="14">
        <v>8</v>
      </c>
      <c r="AC12" s="14">
        <f t="shared" si="6"/>
        <v>16577</v>
      </c>
      <c r="AD12" s="6"/>
      <c r="AE12" s="1">
        <f ca="1">IFERROR(MATCH(A12,OFFSET(Grades!$A$1,MATCH(Rates!$B$4,LIST,0),2,1,SUMIF(Grades!$A:$A,Rates!$B$4,Grades!$B:$B)),0),"")</f>
        <v>9</v>
      </c>
    </row>
    <row r="13" spans="1:37" ht="18.75" x14ac:dyDescent="0.25">
      <c r="A13" s="14">
        <v>11</v>
      </c>
      <c r="B13" s="105">
        <v>18031</v>
      </c>
      <c r="C13" s="27"/>
      <c r="D13" s="15">
        <v>11</v>
      </c>
      <c r="E13" s="106">
        <v>70877</v>
      </c>
      <c r="F13" s="45"/>
      <c r="G13" s="15">
        <v>11</v>
      </c>
      <c r="H13" s="97">
        <v>54199</v>
      </c>
      <c r="I13" s="16"/>
      <c r="J13" s="16"/>
      <c r="K13" s="16"/>
      <c r="L13" s="6"/>
      <c r="M13" s="14">
        <v>46</v>
      </c>
      <c r="N13" s="29">
        <v>0.1</v>
      </c>
      <c r="O13" s="17">
        <f t="shared" si="2"/>
        <v>50200</v>
      </c>
      <c r="P13" s="14">
        <f t="shared" si="0"/>
        <v>55220</v>
      </c>
      <c r="Q13" s="29">
        <v>0.15</v>
      </c>
      <c r="R13" s="14">
        <f t="shared" si="3"/>
        <v>7530</v>
      </c>
      <c r="S13" s="6"/>
      <c r="T13" s="14">
        <v>55</v>
      </c>
      <c r="U13" s="29">
        <v>0.15</v>
      </c>
      <c r="V13" s="17">
        <f t="shared" si="4"/>
        <v>65437</v>
      </c>
      <c r="W13" s="14">
        <f t="shared" si="1"/>
        <v>75253</v>
      </c>
      <c r="X13" s="29">
        <v>0.2</v>
      </c>
      <c r="Y13" s="14">
        <f t="shared" si="5"/>
        <v>13087</v>
      </c>
      <c r="Z13" s="84"/>
      <c r="AA13" s="14">
        <v>11</v>
      </c>
      <c r="AB13" s="14">
        <v>9</v>
      </c>
      <c r="AC13" s="14">
        <f t="shared" si="6"/>
        <v>17039</v>
      </c>
      <c r="AD13" s="6"/>
      <c r="AE13" s="1">
        <f ca="1">IFERROR(MATCH(A13,OFFSET(Grades!$A$1,MATCH(Rates!$B$4,LIST,0),2,1,SUMIF(Grades!$A:$A,Rates!$B$4,Grades!$B:$B)),0),"")</f>
        <v>10</v>
      </c>
    </row>
    <row r="14" spans="1:37" ht="18.75" x14ac:dyDescent="0.25">
      <c r="A14" s="14">
        <v>12</v>
      </c>
      <c r="B14" s="105">
        <v>18549</v>
      </c>
      <c r="C14" s="27"/>
      <c r="D14" s="15">
        <v>12</v>
      </c>
      <c r="E14" s="106">
        <v>72292</v>
      </c>
      <c r="F14" s="45"/>
      <c r="G14" s="15">
        <v>19</v>
      </c>
      <c r="H14" s="97">
        <v>62478</v>
      </c>
      <c r="I14" s="16"/>
      <c r="J14" s="16"/>
      <c r="K14" s="16"/>
      <c r="L14" s="6"/>
      <c r="M14" s="14">
        <v>47</v>
      </c>
      <c r="N14" s="29">
        <v>0.1</v>
      </c>
      <c r="O14" s="17">
        <f t="shared" si="2"/>
        <v>51702</v>
      </c>
      <c r="P14" s="14">
        <f t="shared" si="0"/>
        <v>56872</v>
      </c>
      <c r="Q14" s="29">
        <v>0.15</v>
      </c>
      <c r="R14" s="14">
        <f t="shared" si="3"/>
        <v>7755</v>
      </c>
      <c r="S14" s="6"/>
      <c r="T14" s="14">
        <v>56</v>
      </c>
      <c r="U14" s="29">
        <v>0.15</v>
      </c>
      <c r="V14" s="17">
        <f t="shared" si="4"/>
        <v>67394</v>
      </c>
      <c r="W14" s="14">
        <f t="shared" si="1"/>
        <v>77503</v>
      </c>
      <c r="X14" s="29">
        <v>0.2</v>
      </c>
      <c r="Y14" s="14">
        <f t="shared" si="5"/>
        <v>13479</v>
      </c>
      <c r="Z14" s="84"/>
      <c r="AA14" s="84"/>
      <c r="AB14" s="84"/>
      <c r="AC14" s="84"/>
      <c r="AD14" s="6"/>
      <c r="AE14" s="1">
        <f ca="1">IFERROR(MATCH(A14,OFFSET(Grades!$A$1,MATCH(Rates!$B$4,LIST,0),2,1,SUMIF(Grades!$A:$A,Rates!$B$4,Grades!$B:$B)),0),"")</f>
        <v>11</v>
      </c>
    </row>
    <row r="15" spans="1:37" ht="18.75" x14ac:dyDescent="0.25">
      <c r="A15" s="14">
        <v>13</v>
      </c>
      <c r="B15" s="105">
        <v>19083</v>
      </c>
      <c r="C15" s="27"/>
      <c r="D15" s="15">
        <v>13</v>
      </c>
      <c r="E15" s="106">
        <v>73734</v>
      </c>
      <c r="F15" s="45"/>
      <c r="G15" s="15">
        <v>20</v>
      </c>
      <c r="H15" s="97">
        <v>66948</v>
      </c>
      <c r="I15" s="16"/>
      <c r="J15" s="16"/>
      <c r="K15" s="16"/>
      <c r="L15" s="6"/>
      <c r="M15" s="14">
        <v>48</v>
      </c>
      <c r="N15" s="29">
        <v>0.1</v>
      </c>
      <c r="O15" s="17">
        <f t="shared" si="2"/>
        <v>53248</v>
      </c>
      <c r="P15" s="14">
        <f t="shared" si="0"/>
        <v>58573</v>
      </c>
      <c r="Q15" s="29">
        <v>0.15</v>
      </c>
      <c r="R15" s="14">
        <f t="shared" si="3"/>
        <v>7987</v>
      </c>
      <c r="S15" s="6"/>
      <c r="T15" s="14">
        <v>57</v>
      </c>
      <c r="U15" s="29">
        <v>0.15</v>
      </c>
      <c r="V15" s="17">
        <f t="shared" si="4"/>
        <v>69412</v>
      </c>
      <c r="W15" s="14">
        <f t="shared" si="1"/>
        <v>79824</v>
      </c>
      <c r="X15" s="29">
        <v>0.2</v>
      </c>
      <c r="Y15" s="14">
        <f t="shared" si="5"/>
        <v>13882</v>
      </c>
      <c r="Z15" s="84"/>
      <c r="AA15" s="84"/>
      <c r="AB15" s="84"/>
      <c r="AC15" s="84"/>
      <c r="AD15" s="6"/>
      <c r="AE15" s="1">
        <f ca="1">IFERROR(MATCH(A15,OFFSET(Grades!$A$1,MATCH(Rates!$B$4,LIST,0),2,1,SUMIF(Grades!$A:$A,Rates!$B$4,Grades!$B:$B)),0),"")</f>
        <v>12</v>
      </c>
    </row>
    <row r="16" spans="1:37" ht="18.75" x14ac:dyDescent="0.25">
      <c r="A16" s="14">
        <v>14</v>
      </c>
      <c r="B16" s="105">
        <v>19632</v>
      </c>
      <c r="C16" s="27"/>
      <c r="D16" s="15">
        <v>14</v>
      </c>
      <c r="E16" s="106">
        <v>75206</v>
      </c>
      <c r="F16" s="45"/>
      <c r="G16" s="15">
        <v>21</v>
      </c>
      <c r="H16" s="97">
        <v>71419</v>
      </c>
      <c r="I16" s="16"/>
      <c r="J16" s="16"/>
      <c r="K16" s="1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1">
        <f ca="1">IFERROR(MATCH(A16,OFFSET(Grades!$A$1,MATCH(Rates!$B$4,LIST,0),2,1,SUMIF(Grades!$A:$A,Rates!$B$4,Grades!$B:$B)),0),"")</f>
        <v>13</v>
      </c>
    </row>
    <row r="17" spans="1:31" ht="18.75" x14ac:dyDescent="0.25">
      <c r="A17" s="14">
        <v>15</v>
      </c>
      <c r="B17" s="105">
        <v>20198</v>
      </c>
      <c r="C17" s="27"/>
      <c r="D17" s="15">
        <v>15</v>
      </c>
      <c r="E17" s="106">
        <v>76708</v>
      </c>
      <c r="F17" s="45"/>
      <c r="G17" s="15">
        <v>22</v>
      </c>
      <c r="H17" s="97">
        <v>75889</v>
      </c>
      <c r="I17" s="16"/>
      <c r="J17" s="16"/>
      <c r="K17" s="1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1">
        <f ca="1">IFERROR(MATCH(A17,OFFSET(Grades!$A$1,MATCH(Rates!$B$4,LIST,0),2,1,SUMIF(Grades!$A:$A,Rates!$B$4,Grades!$B:$B)),0),"")</f>
        <v>14</v>
      </c>
    </row>
    <row r="18" spans="1:31" ht="18.75" x14ac:dyDescent="0.25">
      <c r="A18" s="14">
        <v>16</v>
      </c>
      <c r="B18" s="105">
        <v>20781</v>
      </c>
      <c r="C18" s="27"/>
      <c r="D18" s="15">
        <v>16</v>
      </c>
      <c r="E18" s="106">
        <v>78238</v>
      </c>
      <c r="F18" s="45"/>
      <c r="G18" s="15">
        <v>23</v>
      </c>
      <c r="H18" s="97">
        <v>80988</v>
      </c>
      <c r="I18" s="16"/>
      <c r="J18" s="16"/>
      <c r="K18" s="1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1">
        <f ca="1">IFERROR(MATCH(A18,OFFSET(Grades!$A$1,MATCH(Rates!$B$4,LIST,0),2,1,SUMIF(Grades!$A:$A,Rates!$B$4,Grades!$B:$B)),0),"")</f>
        <v>15</v>
      </c>
    </row>
    <row r="19" spans="1:31" ht="18.75" x14ac:dyDescent="0.25">
      <c r="A19" s="14">
        <v>17</v>
      </c>
      <c r="B19" s="105">
        <v>21391</v>
      </c>
      <c r="C19" s="27"/>
      <c r="D19" s="15">
        <v>17</v>
      </c>
      <c r="E19" s="106">
        <v>79800</v>
      </c>
      <c r="F19" s="45"/>
      <c r="G19" s="16"/>
      <c r="H19" s="16"/>
      <c r="I19" s="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1">
        <f ca="1">IFERROR(MATCH(A19,OFFSET(Grades!$A$1,MATCH(Rates!$B$4,LIST,0),2,1,SUMIF(Grades!$A:$A,Rates!$B$4,Grades!$B:$B)),0),"")</f>
        <v>16</v>
      </c>
    </row>
    <row r="20" spans="1:31" ht="18.75" x14ac:dyDescent="0.25">
      <c r="A20" s="14">
        <v>18</v>
      </c>
      <c r="B20" s="105">
        <v>22029</v>
      </c>
      <c r="C20" s="27"/>
      <c r="D20" s="15">
        <v>18</v>
      </c>
      <c r="E20" s="106">
        <v>81393</v>
      </c>
      <c r="F20" s="45"/>
      <c r="G20" s="16"/>
      <c r="H20" s="16"/>
      <c r="I20" s="9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1">
        <f ca="1">IFERROR(MATCH(A20,OFFSET(Grades!$A$1,MATCH(Rates!$B$4,LIST,0),2,1,SUMIF(Grades!$A:$A,Rates!$B$4,Grades!$B:$B)),0),"")</f>
        <v>17</v>
      </c>
    </row>
    <row r="21" spans="1:31" ht="18.75" x14ac:dyDescent="0.25">
      <c r="A21" s="14">
        <v>19</v>
      </c>
      <c r="B21" s="105">
        <v>22685</v>
      </c>
      <c r="C21" s="27"/>
      <c r="D21" s="15">
        <v>19</v>
      </c>
      <c r="E21" s="106">
        <v>83019</v>
      </c>
      <c r="F21" s="45"/>
      <c r="G21" s="16"/>
      <c r="H21" s="16"/>
      <c r="I21" s="9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1">
        <f ca="1">IFERROR(MATCH(A21,OFFSET(Grades!$A$1,MATCH(Rates!$B$4,LIST,0),2,1,SUMIF(Grades!$A:$A,Rates!$B$4,Grades!$B:$B)),0),"")</f>
        <v>18</v>
      </c>
    </row>
    <row r="22" spans="1:31" ht="18.75" x14ac:dyDescent="0.25">
      <c r="A22" s="14">
        <v>20</v>
      </c>
      <c r="B22" s="105">
        <v>23386</v>
      </c>
      <c r="C22" s="27"/>
      <c r="D22" s="15">
        <v>20</v>
      </c>
      <c r="E22" s="106">
        <v>84675</v>
      </c>
      <c r="F22" s="45"/>
      <c r="G22" s="16"/>
      <c r="H22" s="16"/>
      <c r="I22" s="9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1">
        <f ca="1">IFERROR(MATCH(A22,OFFSET(Grades!$A$1,MATCH(Rates!$B$4,LIST,0),2,1,SUMIF(Grades!$A:$A,Rates!$B$4,Grades!$B:$B)),0),"")</f>
        <v>19</v>
      </c>
    </row>
    <row r="23" spans="1:31" ht="18.75" x14ac:dyDescent="0.25">
      <c r="A23" s="14">
        <v>21</v>
      </c>
      <c r="B23" s="105">
        <v>24057</v>
      </c>
      <c r="C23" s="27"/>
      <c r="D23" s="15">
        <v>21</v>
      </c>
      <c r="E23" s="106">
        <v>86365</v>
      </c>
      <c r="F23" s="45"/>
      <c r="G23" s="16"/>
      <c r="H23" s="16"/>
      <c r="I23" s="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1">
        <f ca="1">IFERROR(MATCH(A23,OFFSET(Grades!$A$1,MATCH(Rates!$B$4,LIST,0),2,1,SUMIF(Grades!$A:$A,Rates!$B$4,Grades!$B:$B)),0),"")</f>
        <v>20</v>
      </c>
    </row>
    <row r="24" spans="1:31" ht="18.75" x14ac:dyDescent="0.25">
      <c r="A24" s="14">
        <v>22</v>
      </c>
      <c r="B24" s="105">
        <v>24775</v>
      </c>
      <c r="C24" s="27"/>
      <c r="D24" s="15">
        <v>22</v>
      </c>
      <c r="E24" s="106">
        <v>88089</v>
      </c>
      <c r="F24" s="45"/>
      <c r="G24" s="16"/>
      <c r="H24" s="16"/>
      <c r="I24" s="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1">
        <f ca="1">IFERROR(MATCH(A24,OFFSET(Grades!$A$1,MATCH(Rates!$B$4,LIST,0),2,1,SUMIF(Grades!$A:$A,Rates!$B$4,Grades!$B:$B)),0),"")</f>
        <v>21</v>
      </c>
    </row>
    <row r="25" spans="1:31" ht="18.75" x14ac:dyDescent="0.25">
      <c r="A25" s="14">
        <v>23</v>
      </c>
      <c r="B25" s="105">
        <v>25513</v>
      </c>
      <c r="C25" s="27"/>
      <c r="D25" s="15">
        <v>23</v>
      </c>
      <c r="E25" s="106">
        <v>89847</v>
      </c>
      <c r="F25" s="45"/>
      <c r="G25" s="16"/>
      <c r="H25" s="16"/>
      <c r="I25" s="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1">
        <f ca="1">IFERROR(MATCH(A25,OFFSET(Grades!$A$1,MATCH(Rates!$B$4,LIST,0),2,1,SUMIF(Grades!$A:$A,Rates!$B$4,Grades!$B:$B)),0),"")</f>
        <v>22</v>
      </c>
    </row>
    <row r="26" spans="1:31" ht="18.75" x14ac:dyDescent="0.25">
      <c r="A26" s="14">
        <v>24</v>
      </c>
      <c r="B26" s="105">
        <v>26274</v>
      </c>
      <c r="C26" s="27"/>
      <c r="D26" s="15">
        <v>24</v>
      </c>
      <c r="E26" s="106">
        <v>91641</v>
      </c>
      <c r="F26" s="45"/>
      <c r="G26" s="16"/>
      <c r="H26" s="16"/>
      <c r="I26" s="9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">
        <f ca="1">IFERROR(MATCH(A26,OFFSET(Grades!$A$1,MATCH(Rates!$B$4,LIST,0),2,1,SUMIF(Grades!$A:$A,Rates!$B$4,Grades!$B:$B)),0),"")</f>
        <v>23</v>
      </c>
    </row>
    <row r="27" spans="1:31" ht="18.75" x14ac:dyDescent="0.25">
      <c r="A27" s="14">
        <v>25</v>
      </c>
      <c r="B27" s="105">
        <v>27057</v>
      </c>
      <c r="C27" s="27"/>
      <c r="D27" s="15">
        <v>25</v>
      </c>
      <c r="E27" s="106">
        <v>93470</v>
      </c>
      <c r="F27" s="45"/>
      <c r="G27" s="16"/>
      <c r="H27" s="16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1">
        <f ca="1">IFERROR(MATCH(A27,OFFSET(Grades!$A$1,MATCH(Rates!$B$4,LIST,0),2,1,SUMIF(Grades!$A:$A,Rates!$B$4,Grades!$B:$B)),0),"")</f>
        <v>24</v>
      </c>
    </row>
    <row r="28" spans="1:31" ht="18.75" x14ac:dyDescent="0.25">
      <c r="A28" s="14">
        <v>26</v>
      </c>
      <c r="B28" s="105">
        <v>27864</v>
      </c>
      <c r="C28" s="27"/>
      <c r="D28" s="15">
        <v>26</v>
      </c>
      <c r="E28" s="106">
        <v>95336</v>
      </c>
      <c r="F28" s="45"/>
      <c r="G28" s="16"/>
      <c r="H28" s="16"/>
      <c r="I28" s="9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1">
        <f ca="1">IFERROR(MATCH(A28,OFFSET(Grades!$A$1,MATCH(Rates!$B$4,LIST,0),2,1,SUMIF(Grades!$A:$A,Rates!$B$4,Grades!$B:$B)),0),"")</f>
        <v>25</v>
      </c>
    </row>
    <row r="29" spans="1:31" ht="18.75" x14ac:dyDescent="0.25">
      <c r="A29" s="14">
        <v>27</v>
      </c>
      <c r="B29" s="105">
        <v>28695</v>
      </c>
      <c r="C29" s="27"/>
      <c r="D29" s="6"/>
      <c r="E29" s="6"/>
      <c r="F29" s="9"/>
      <c r="G29" s="6"/>
      <c r="H29" s="6"/>
      <c r="I29" s="9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">
        <f ca="1">IFERROR(MATCH(A29,OFFSET(Grades!$A$1,MATCH(Rates!$B$4,LIST,0),2,1,SUMIF(Grades!$A:$A,Rates!$B$4,Grades!$B:$B)),0),"")</f>
        <v>26</v>
      </c>
    </row>
    <row r="30" spans="1:31" ht="18.75" x14ac:dyDescent="0.25">
      <c r="A30" s="14">
        <v>28</v>
      </c>
      <c r="B30" s="105">
        <v>29552</v>
      </c>
      <c r="C30" s="27"/>
      <c r="D30" s="6"/>
      <c r="E30" s="6"/>
      <c r="F30" s="9"/>
      <c r="G30" s="6"/>
      <c r="H30" s="6"/>
      <c r="I30" s="9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1">
        <f ca="1">IFERROR(MATCH(A30,OFFSET(Grades!$A$1,MATCH(Rates!$B$4,LIST,0),2,1,SUMIF(Grades!$A:$A,Rates!$B$4,Grades!$B:$B)),0),"")</f>
        <v>27</v>
      </c>
    </row>
    <row r="31" spans="1:31" ht="18.75" x14ac:dyDescent="0.25">
      <c r="A31" s="14">
        <v>29</v>
      </c>
      <c r="B31" s="105">
        <v>30434</v>
      </c>
      <c r="C31" s="27"/>
      <c r="D31" s="6"/>
      <c r="E31" s="6"/>
      <c r="F31" s="9"/>
      <c r="G31" s="6"/>
      <c r="H31" s="6"/>
      <c r="I31" s="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">
        <f ca="1">IFERROR(MATCH(A31,OFFSET(Grades!$A$1,MATCH(Rates!$B$4,LIST,0),2,1,SUMIF(Grades!$A:$A,Rates!$B$4,Grades!$B:$B)),0),"")</f>
        <v>28</v>
      </c>
    </row>
    <row r="32" spans="1:31" ht="18.75" x14ac:dyDescent="0.25">
      <c r="A32" s="14">
        <v>30</v>
      </c>
      <c r="B32" s="105">
        <v>31342</v>
      </c>
      <c r="C32" s="27"/>
      <c r="D32" s="6"/>
      <c r="E32" s="6"/>
      <c r="F32" s="9"/>
      <c r="G32" s="6"/>
      <c r="H32" s="6"/>
      <c r="I32" s="9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1">
        <f ca="1">IFERROR(MATCH(A32,OFFSET(Grades!$A$1,MATCH(Rates!$B$4,LIST,0),2,1,SUMIF(Grades!$A:$A,Rates!$B$4,Grades!$B:$B)),0),"")</f>
        <v>29</v>
      </c>
    </row>
    <row r="33" spans="1:31" ht="18.75" x14ac:dyDescent="0.25">
      <c r="A33" s="14">
        <v>31</v>
      </c>
      <c r="B33" s="105">
        <v>32277</v>
      </c>
      <c r="C33" s="27"/>
      <c r="D33" s="6"/>
      <c r="E33" s="6"/>
      <c r="F33" s="9"/>
      <c r="G33" s="6"/>
      <c r="H33" s="6"/>
      <c r="I33" s="9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1">
        <f ca="1">IFERROR(MATCH(A33,OFFSET(Grades!$A$1,MATCH(Rates!$B$4,LIST,0),2,1,SUMIF(Grades!$A:$A,Rates!$B$4,Grades!$B:$B)),0),"")</f>
        <v>30</v>
      </c>
    </row>
    <row r="34" spans="1:31" ht="18.75" x14ac:dyDescent="0.25">
      <c r="A34" s="14">
        <v>32</v>
      </c>
      <c r="B34" s="105">
        <v>33242</v>
      </c>
      <c r="C34" s="27"/>
      <c r="D34" s="6"/>
      <c r="E34" s="6"/>
      <c r="F34" s="9"/>
      <c r="G34" s="6"/>
      <c r="H34" s="6"/>
      <c r="I34" s="9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1">
        <f ca="1">IFERROR(MATCH(A34,OFFSET(Grades!$A$1,MATCH(Rates!$B$4,LIST,0),2,1,SUMIF(Grades!$A:$A,Rates!$B$4,Grades!$B:$B)),0),"")</f>
        <v>31</v>
      </c>
    </row>
    <row r="35" spans="1:31" ht="18.75" x14ac:dyDescent="0.25">
      <c r="A35" s="14">
        <v>33</v>
      </c>
      <c r="B35" s="105">
        <v>34233</v>
      </c>
      <c r="C35" s="27"/>
      <c r="D35" s="6"/>
      <c r="E35" s="6"/>
      <c r="F35" s="9"/>
      <c r="G35" s="6"/>
      <c r="H35" s="6"/>
      <c r="I35" s="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1">
        <f ca="1">IFERROR(MATCH(A35,OFFSET(Grades!$A$1,MATCH(Rates!$B$4,LIST,0),2,1,SUMIF(Grades!$A:$A,Rates!$B$4,Grades!$B:$B)),0),"")</f>
        <v>32</v>
      </c>
    </row>
    <row r="36" spans="1:31" ht="18.75" x14ac:dyDescent="0.25">
      <c r="A36" s="14">
        <v>34</v>
      </c>
      <c r="B36" s="105">
        <v>35256</v>
      </c>
      <c r="C36" s="27"/>
      <c r="D36" s="6"/>
      <c r="E36" s="6"/>
      <c r="F36" s="9"/>
      <c r="G36" s="6"/>
      <c r="H36" s="6"/>
      <c r="I36" s="9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1">
        <f ca="1">IFERROR(MATCH(A36,OFFSET(Grades!$A$1,MATCH(Rates!$B$4,LIST,0),2,1,SUMIF(Grades!$A:$A,Rates!$B$4,Grades!$B:$B)),0),"")</f>
        <v>33</v>
      </c>
    </row>
    <row r="37" spans="1:31" ht="18.75" x14ac:dyDescent="0.25">
      <c r="A37" s="14">
        <v>35</v>
      </c>
      <c r="B37" s="105">
        <v>36309</v>
      </c>
      <c r="C37" s="27"/>
      <c r="D37" s="6"/>
      <c r="E37" s="6"/>
      <c r="F37" s="9"/>
      <c r="G37" s="6"/>
      <c r="H37" s="6"/>
      <c r="I37" s="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1">
        <f ca="1">IFERROR(MATCH(A37,OFFSET(Grades!$A$1,MATCH(Rates!$B$4,LIST,0),2,1,SUMIF(Grades!$A:$A,Rates!$B$4,Grades!$B:$B)),0),"")</f>
        <v>34</v>
      </c>
    </row>
    <row r="38" spans="1:31" ht="18.75" x14ac:dyDescent="0.25">
      <c r="A38" s="14">
        <v>36</v>
      </c>
      <c r="B38" s="105">
        <v>37394</v>
      </c>
      <c r="C38" s="27"/>
      <c r="D38" s="6"/>
      <c r="E38" s="6"/>
      <c r="F38" s="9"/>
      <c r="G38" s="6"/>
      <c r="H38" s="6"/>
      <c r="I38" s="9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1">
        <f ca="1">IFERROR(MATCH(A38,OFFSET(Grades!$A$1,MATCH(Rates!$B$4,LIST,0),2,1,SUMIF(Grades!$A:$A,Rates!$B$4,Grades!$B:$B)),0),"")</f>
        <v>35</v>
      </c>
    </row>
    <row r="39" spans="1:31" ht="18.75" x14ac:dyDescent="0.25">
      <c r="A39" s="14">
        <v>37</v>
      </c>
      <c r="B39" s="105">
        <v>38511</v>
      </c>
      <c r="C39" s="27"/>
      <c r="D39" s="6"/>
      <c r="E39" s="6"/>
      <c r="F39" s="9"/>
      <c r="G39" s="6"/>
      <c r="H39" s="6"/>
      <c r="I39" s="9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1">
        <f ca="1">IFERROR(MATCH(A39,OFFSET(Grades!$A$1,MATCH(Rates!$B$4,LIST,0),2,1,SUMIF(Grades!$A:$A,Rates!$B$4,Grades!$B:$B)),0),"")</f>
        <v>36</v>
      </c>
    </row>
    <row r="40" spans="1:31" ht="18.75" x14ac:dyDescent="0.25">
      <c r="A40" s="14">
        <v>38</v>
      </c>
      <c r="B40" s="105">
        <v>39685</v>
      </c>
      <c r="C40" s="27"/>
      <c r="D40" s="6"/>
      <c r="E40" s="6"/>
      <c r="F40" s="9"/>
      <c r="G40" s="6"/>
      <c r="H40" s="6"/>
      <c r="I40" s="9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1">
        <f ca="1">IFERROR(MATCH(A40,OFFSET(Grades!$A$1,MATCH(Rates!$B$4,LIST,0),2,1,SUMIF(Grades!$A:$A,Rates!$B$4,Grades!$B:$B)),0),"")</f>
        <v>37</v>
      </c>
    </row>
    <row r="41" spans="1:31" ht="18.75" x14ac:dyDescent="0.25">
      <c r="A41" s="14">
        <v>39</v>
      </c>
      <c r="B41" s="105">
        <v>40847</v>
      </c>
      <c r="C41" s="27"/>
      <c r="D41" s="6"/>
      <c r="E41" s="6"/>
      <c r="F41" s="9"/>
      <c r="G41" s="6"/>
      <c r="H41" s="6"/>
      <c r="I41" s="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1">
        <f ca="1">IFERROR(MATCH(A41,OFFSET(Grades!$A$1,MATCH(Rates!$B$4,LIST,0),2,1,SUMIF(Grades!$A:$A,Rates!$B$4,Grades!$B:$B)),0),"")</f>
        <v>38</v>
      </c>
    </row>
    <row r="42" spans="1:31" ht="18.75" x14ac:dyDescent="0.25">
      <c r="A42" s="14">
        <v>40</v>
      </c>
      <c r="B42" s="105">
        <v>42067</v>
      </c>
      <c r="C42" s="27"/>
      <c r="D42" s="6"/>
      <c r="E42" s="6"/>
      <c r="F42" s="9"/>
      <c r="G42" s="6"/>
      <c r="H42" s="6"/>
      <c r="I42" s="9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1">
        <f ca="1">IFERROR(MATCH(A42,OFFSET(Grades!$A$1,MATCH(Rates!$B$4,LIST,0),2,1,SUMIF(Grades!$A:$A,Rates!$B$4,Grades!$B:$B)),0),"")</f>
        <v>39</v>
      </c>
    </row>
    <row r="43" spans="1:31" ht="18.75" x14ac:dyDescent="0.25">
      <c r="A43" s="14">
        <v>41</v>
      </c>
      <c r="B43" s="105">
        <v>43325</v>
      </c>
      <c r="C43" s="27"/>
      <c r="D43" s="6"/>
      <c r="E43" s="6"/>
      <c r="F43" s="9"/>
      <c r="G43" s="6"/>
      <c r="H43" s="6"/>
      <c r="I43" s="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1">
        <f ca="1">IFERROR(MATCH(A43,OFFSET(Grades!$A$1,MATCH(Rates!$B$4,LIST,0),2,1,SUMIF(Grades!$A:$A,Rates!$B$4,Grades!$B:$B)),0),"")</f>
        <v>40</v>
      </c>
    </row>
    <row r="44" spans="1:31" ht="18.75" x14ac:dyDescent="0.25">
      <c r="A44" s="14">
        <v>42</v>
      </c>
      <c r="B44" s="105">
        <v>44620</v>
      </c>
      <c r="C44" s="27"/>
      <c r="D44" s="6"/>
      <c r="E44" s="6"/>
      <c r="F44" s="9"/>
      <c r="G44" s="6"/>
      <c r="H44" s="6"/>
      <c r="I44" s="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">
        <f ca="1">IFERROR(MATCH(A44,OFFSET(Grades!$A$1,MATCH(Rates!$B$4,LIST,0),2,1,SUMIF(Grades!$A:$A,Rates!$B$4,Grades!$B:$B)),0),"")</f>
        <v>41</v>
      </c>
    </row>
    <row r="45" spans="1:31" ht="18.75" x14ac:dyDescent="0.25">
      <c r="A45" s="14">
        <v>43</v>
      </c>
      <c r="B45" s="105">
        <v>45954</v>
      </c>
      <c r="C45" s="27"/>
      <c r="D45" s="6"/>
      <c r="E45" s="6"/>
      <c r="F45" s="9"/>
      <c r="G45" s="6"/>
      <c r="H45" s="6"/>
      <c r="I45" s="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1">
        <f ca="1">IFERROR(MATCH(A45,OFFSET(Grades!$A$1,MATCH(Rates!$B$4,LIST,0),2,1,SUMIF(Grades!$A:$A,Rates!$B$4,Grades!$B:$B)),0),"")</f>
        <v>42</v>
      </c>
    </row>
    <row r="46" spans="1:31" ht="18.75" x14ac:dyDescent="0.25">
      <c r="A46" s="14">
        <v>44</v>
      </c>
      <c r="B46" s="105">
        <v>47328</v>
      </c>
      <c r="C46" s="27"/>
      <c r="D46" s="6"/>
      <c r="E46" s="6"/>
      <c r="F46" s="9"/>
      <c r="G46" s="6"/>
      <c r="H46" s="6"/>
      <c r="I46" s="9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1">
        <f ca="1">IFERROR(MATCH(A46,OFFSET(Grades!$A$1,MATCH(Rates!$B$4,LIST,0),2,1,SUMIF(Grades!$A:$A,Rates!$B$4,Grades!$B:$B)),0),"")</f>
        <v>43</v>
      </c>
    </row>
    <row r="47" spans="1:31" ht="18.75" x14ac:dyDescent="0.25">
      <c r="A47" s="14">
        <v>45</v>
      </c>
      <c r="B47" s="105">
        <v>48743</v>
      </c>
      <c r="C47" s="27"/>
      <c r="D47" s="6"/>
      <c r="E47" s="6"/>
      <c r="F47" s="9"/>
      <c r="G47" s="6"/>
      <c r="H47" s="6"/>
      <c r="I47" s="9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1">
        <f ca="1">IFERROR(MATCH(A47,OFFSET(Grades!$A$1,MATCH(Rates!$B$4,LIST,0),2,1,SUMIF(Grades!$A:$A,Rates!$B$4,Grades!$B:$B)),0),"")</f>
        <v>44</v>
      </c>
    </row>
    <row r="48" spans="1:31" ht="18.75" x14ac:dyDescent="0.25">
      <c r="A48" s="14">
        <v>46</v>
      </c>
      <c r="B48" s="105">
        <v>50200</v>
      </c>
      <c r="C48" s="27"/>
      <c r="D48" s="6"/>
      <c r="E48" s="6"/>
      <c r="F48" s="9"/>
      <c r="G48" s="6"/>
      <c r="H48" s="6"/>
      <c r="I48" s="9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1">
        <f ca="1">IFERROR(MATCH(A48,OFFSET(Grades!$A$1,MATCH(Rates!$B$4,LIST,0),2,1,SUMIF(Grades!$A:$A,Rates!$B$4,Grades!$B:$B)),0),"")</f>
        <v>45</v>
      </c>
    </row>
    <row r="49" spans="1:31" ht="18.75" x14ac:dyDescent="0.25">
      <c r="A49" s="14">
        <v>47</v>
      </c>
      <c r="B49" s="105">
        <v>51702</v>
      </c>
      <c r="C49" s="27"/>
      <c r="D49" s="6"/>
      <c r="E49" s="6"/>
      <c r="F49" s="9"/>
      <c r="G49" s="6"/>
      <c r="H49" s="6"/>
      <c r="I49" s="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1">
        <f ca="1">IFERROR(MATCH(A49,OFFSET(Grades!$A$1,MATCH(Rates!$B$4,LIST,0),2,1,SUMIF(Grades!$A:$A,Rates!$B$4,Grades!$B:$B)),0),"")</f>
        <v>46</v>
      </c>
    </row>
    <row r="50" spans="1:31" ht="18.75" x14ac:dyDescent="0.25">
      <c r="A50" s="14">
        <v>48</v>
      </c>
      <c r="B50" s="105">
        <v>53248</v>
      </c>
      <c r="C50" s="27"/>
      <c r="D50" s="6"/>
      <c r="E50" s="6"/>
      <c r="F50" s="9"/>
      <c r="G50" s="6"/>
      <c r="H50" s="6"/>
      <c r="I50" s="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1">
        <f ca="1">IFERROR(MATCH(A50,OFFSET(Grades!$A$1,MATCH(Rates!$B$4,LIST,0),2,1,SUMIF(Grades!$A:$A,Rates!$B$4,Grades!$B:$B)),0),"")</f>
        <v>47</v>
      </c>
    </row>
    <row r="51" spans="1:31" ht="18.75" x14ac:dyDescent="0.25">
      <c r="A51" s="14">
        <v>49</v>
      </c>
      <c r="B51" s="105">
        <v>54841</v>
      </c>
      <c r="C51" s="27"/>
      <c r="D51" s="6"/>
      <c r="E51" s="6"/>
      <c r="F51" s="9"/>
      <c r="G51" s="6"/>
      <c r="H51" s="6"/>
      <c r="I51" s="9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1">
        <f ca="1">IFERROR(MATCH(A51,OFFSET(Grades!$A$1,MATCH(Rates!$B$4,LIST,0),2,1,SUMIF(Grades!$A:$A,Rates!$B$4,Grades!$B:$B)),0),"")</f>
        <v>48</v>
      </c>
    </row>
    <row r="52" spans="1:31" ht="18.75" x14ac:dyDescent="0.25">
      <c r="A52" s="14">
        <v>50</v>
      </c>
      <c r="B52" s="105">
        <v>56482</v>
      </c>
      <c r="C52" s="27"/>
      <c r="D52" s="6"/>
      <c r="E52" s="6"/>
      <c r="F52" s="9"/>
      <c r="G52" s="6"/>
      <c r="H52" s="6"/>
      <c r="I52" s="9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1">
        <f ca="1">IFERROR(MATCH(A52,OFFSET(Grades!$A$1,MATCH(Rates!$B$4,LIST,0),2,1,SUMIF(Grades!$A:$A,Rates!$B$4,Grades!$B:$B)),0),"")</f>
        <v>49</v>
      </c>
    </row>
    <row r="53" spans="1:31" ht="18.75" x14ac:dyDescent="0.25">
      <c r="A53" s="14">
        <v>51</v>
      </c>
      <c r="B53" s="105">
        <v>58172</v>
      </c>
      <c r="C53" s="27"/>
      <c r="D53" s="6"/>
      <c r="E53" s="6"/>
      <c r="F53" s="9"/>
      <c r="G53" s="6"/>
      <c r="H53" s="6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1">
        <f ca="1">IFERROR(MATCH(A53,OFFSET(Grades!$A$1,MATCH(Rates!$B$4,LIST,0),2,1,SUMIF(Grades!$A:$A,Rates!$B$4,Grades!$B:$B)),0),"")</f>
        <v>50</v>
      </c>
    </row>
    <row r="54" spans="1:31" ht="18.75" x14ac:dyDescent="0.25">
      <c r="A54" s="17">
        <v>52</v>
      </c>
      <c r="B54" s="105">
        <v>59895</v>
      </c>
      <c r="C54" s="27"/>
      <c r="D54" s="6"/>
      <c r="E54" s="6"/>
      <c r="F54" s="9"/>
      <c r="G54" s="6"/>
      <c r="H54" s="6"/>
      <c r="I54" s="9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1">
        <f ca="1">IFERROR(MATCH(A54,OFFSET(Grades!$A$1,MATCH(Rates!$B$4,LIST,0),2,1,SUMIF(Grades!$A:$A,Rates!$B$4,Grades!$B:$B)),0),"")</f>
        <v>51</v>
      </c>
    </row>
    <row r="55" spans="1:31" ht="18.75" x14ac:dyDescent="0.25">
      <c r="A55" s="17">
        <v>53</v>
      </c>
      <c r="B55" s="105">
        <v>61688</v>
      </c>
      <c r="C55" s="27"/>
      <c r="D55" s="6"/>
      <c r="E55" s="6"/>
      <c r="F55" s="9"/>
      <c r="G55" s="6"/>
      <c r="H55" s="6"/>
      <c r="I55" s="9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1">
        <f ca="1">IFERROR(MATCH(A55,OFFSET(Grades!$A$1,MATCH(Rates!$B$4,LIST,0),2,1,SUMIF(Grades!$A:$A,Rates!$B$4,Grades!$B:$B)),0),"")</f>
        <v>52</v>
      </c>
    </row>
    <row r="56" spans="1:31" ht="18.75" x14ac:dyDescent="0.25">
      <c r="A56" s="17">
        <v>54</v>
      </c>
      <c r="B56" s="105">
        <v>63536</v>
      </c>
      <c r="C56" s="27"/>
      <c r="D56" s="6"/>
      <c r="E56" s="6"/>
      <c r="F56" s="9"/>
      <c r="G56" s="6"/>
      <c r="H56" s="6"/>
      <c r="I56" s="9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1">
        <f ca="1">IFERROR(MATCH(A56,OFFSET(Grades!$A$1,MATCH(Rates!$B$4,LIST,0),2,1,SUMIF(Grades!$A:$A,Rates!$B$4,Grades!$B:$B)),0),"")</f>
        <v>53</v>
      </c>
    </row>
    <row r="57" spans="1:31" ht="18.75" x14ac:dyDescent="0.25">
      <c r="A57" s="17">
        <v>55</v>
      </c>
      <c r="B57" s="105">
        <v>65437</v>
      </c>
      <c r="C57" s="27"/>
      <c r="D57" s="6"/>
      <c r="E57" s="6"/>
      <c r="F57" s="9"/>
      <c r="G57" s="6"/>
      <c r="H57" s="6"/>
      <c r="I57" s="9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1">
        <f ca="1">IFERROR(MATCH(A57,OFFSET(Grades!$A$1,MATCH(Rates!$B$4,LIST,0),2,1,SUMIF(Grades!$A:$A,Rates!$B$4,Grades!$B:$B)),0),"")</f>
        <v>54</v>
      </c>
    </row>
    <row r="58" spans="1:31" ht="18.75" x14ac:dyDescent="0.25">
      <c r="A58" s="17">
        <v>56</v>
      </c>
      <c r="B58" s="105">
        <v>67394</v>
      </c>
      <c r="C58" s="27"/>
      <c r="D58" s="6"/>
      <c r="E58" s="6"/>
      <c r="F58" s="9"/>
      <c r="G58" s="6"/>
      <c r="H58" s="6"/>
      <c r="I58" s="9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1">
        <f ca="1">IFERROR(MATCH(A58,OFFSET(Grades!$A$1,MATCH(Rates!$B$4,LIST,0),2,1,SUMIF(Grades!$A:$A,Rates!$B$4,Grades!$B:$B)),0),"")</f>
        <v>55</v>
      </c>
    </row>
    <row r="59" spans="1:31" ht="18.75" x14ac:dyDescent="0.25">
      <c r="A59" s="17">
        <v>57</v>
      </c>
      <c r="B59" s="105">
        <v>69412</v>
      </c>
      <c r="C59" s="27"/>
      <c r="D59" s="6"/>
      <c r="E59" s="6"/>
      <c r="F59" s="9"/>
      <c r="G59" s="6"/>
      <c r="H59" s="6"/>
      <c r="I59" s="9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1">
        <f ca="1">IFERROR(MATCH(A59,OFFSET(Grades!$A$1,MATCH(Rates!$B$4,LIST,0),2,1,SUMIF(Grades!$A:$A,Rates!$B$4,Grades!$B:$B)),0),"")</f>
        <v>56</v>
      </c>
    </row>
    <row r="60" spans="1:31" ht="18.75" x14ac:dyDescent="0.25">
      <c r="A60" s="17">
        <v>116</v>
      </c>
      <c r="B60" s="14">
        <f>ROUND(B3*70%,0)</f>
        <v>9767</v>
      </c>
      <c r="C60" s="6"/>
      <c r="D60" s="6"/>
      <c r="E60" s="6"/>
      <c r="F60" s="9"/>
      <c r="G60" s="6"/>
      <c r="H60" s="6"/>
      <c r="I60" s="9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1" t="str">
        <f ca="1">IFERROR(MATCH(A60,OFFSET(Grades!$A$1,MATCH(Rates!$B$4,LIST,0),2,1,SUMIF(Grades!$A:$A,Rates!$B$4,Grades!$B:$B)),0),"")</f>
        <v/>
      </c>
    </row>
    <row r="61" spans="1:31" ht="18.75" x14ac:dyDescent="0.25">
      <c r="A61" s="17">
        <v>216</v>
      </c>
      <c r="B61" s="14">
        <f>ROUND(B4*70%,0)</f>
        <v>10095</v>
      </c>
      <c r="C61" s="94"/>
      <c r="D61" s="6"/>
      <c r="E61" s="6"/>
      <c r="F61" s="9"/>
      <c r="G61" s="6"/>
      <c r="H61" s="6"/>
      <c r="I61" s="9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1" t="str">
        <f ca="1">IFERROR(MATCH(A61,OFFSET(Grades!$A$1,MATCH(Rates!$B$4,LIST,0),2,1,SUMIF(Grades!$A:$A,Rates!$B$4,Grades!$B:$B)),0),"")</f>
        <v/>
      </c>
    </row>
    <row r="62" spans="1:31" ht="18.75" x14ac:dyDescent="0.25">
      <c r="A62" s="17">
        <v>316</v>
      </c>
      <c r="B62" s="14">
        <f t="shared" ref="B62:B68" si="7">ROUND(B5*70%,0)</f>
        <v>10242</v>
      </c>
      <c r="C62" s="6"/>
      <c r="D62" s="18"/>
      <c r="E62" s="18"/>
      <c r="F62" s="19"/>
      <c r="G62" s="18"/>
      <c r="H62" s="18"/>
      <c r="AE62" s="1" t="str">
        <f ca="1">IFERROR(MATCH(A62,OFFSET(Grades!$A$1,MATCH(Rates!$B$4,LIST,0),2,1,SUMIF(Grades!$A:$A,Rates!$B$4,Grades!$B:$B)),0),"")</f>
        <v/>
      </c>
    </row>
    <row r="63" spans="1:31" ht="18.75" x14ac:dyDescent="0.25">
      <c r="A63" s="17">
        <v>416</v>
      </c>
      <c r="B63" s="14">
        <f t="shared" si="7"/>
        <v>10471</v>
      </c>
      <c r="C63" s="6"/>
      <c r="D63" s="18"/>
      <c r="E63" s="18"/>
      <c r="F63" s="19"/>
      <c r="G63" s="18"/>
      <c r="H63" s="18"/>
      <c r="AE63" s="1" t="str">
        <f ca="1">IFERROR(MATCH(A63,OFFSET(Grades!$A$1,MATCH(Rates!$B$4,LIST,0),2,1,SUMIF(Grades!$A:$A,Rates!$B$4,Grades!$B:$B)),0),"")</f>
        <v/>
      </c>
    </row>
    <row r="64" spans="1:31" ht="18.75" x14ac:dyDescent="0.25">
      <c r="A64" s="17">
        <v>516</v>
      </c>
      <c r="B64" s="14">
        <f t="shared" si="7"/>
        <v>10749</v>
      </c>
      <c r="C64" s="6"/>
      <c r="D64" s="18"/>
      <c r="E64" s="18"/>
      <c r="F64" s="19"/>
      <c r="G64" s="18"/>
      <c r="H64" s="18"/>
      <c r="AE64" s="1" t="str">
        <f ca="1">IFERROR(MATCH(A64,OFFSET(Grades!$A$1,MATCH(Rates!$B$4,LIST,0),2,1,SUMIF(Grades!$A:$A,Rates!$B$4,Grades!$B:$B)),0),"")</f>
        <v/>
      </c>
    </row>
    <row r="65" spans="1:31" ht="18.75" x14ac:dyDescent="0.25">
      <c r="A65" s="17">
        <v>616</v>
      </c>
      <c r="B65" s="14">
        <f t="shared" si="7"/>
        <v>11036</v>
      </c>
      <c r="C65" s="6"/>
      <c r="D65" s="18"/>
      <c r="E65" s="18"/>
      <c r="F65" s="19"/>
      <c r="G65" s="18"/>
      <c r="H65" s="18"/>
      <c r="AE65" s="1" t="str">
        <f ca="1">IFERROR(MATCH(A65,OFFSET(Grades!$A$1,MATCH(Rates!$B$4,LIST,0),2,1,SUMIF(Grades!$A:$A,Rates!$B$4,Grades!$B:$B)),0),"")</f>
        <v/>
      </c>
    </row>
    <row r="66" spans="1:31" ht="18.75" x14ac:dyDescent="0.25">
      <c r="A66" s="17">
        <v>716</v>
      </c>
      <c r="B66" s="14">
        <f t="shared" si="7"/>
        <v>11292</v>
      </c>
      <c r="C66" s="6"/>
      <c r="D66" s="18"/>
      <c r="E66" s="18"/>
      <c r="F66" s="19"/>
      <c r="G66" s="18"/>
      <c r="H66" s="18"/>
      <c r="AE66" s="1" t="str">
        <f ca="1">IFERROR(MATCH(A66,OFFSET(Grades!$A$1,MATCH(Rates!$B$4,LIST,0),2,1,SUMIF(Grades!$A:$A,Rates!$B$4,Grades!$B:$B)),0),"")</f>
        <v/>
      </c>
    </row>
    <row r="67" spans="1:31" ht="18.75" x14ac:dyDescent="0.25">
      <c r="A67" s="17">
        <v>816</v>
      </c>
      <c r="B67" s="14">
        <f t="shared" si="7"/>
        <v>11604</v>
      </c>
      <c r="C67" s="6"/>
      <c r="D67" s="18"/>
      <c r="E67" s="18"/>
      <c r="F67" s="19"/>
      <c r="G67" s="18"/>
      <c r="H67" s="95"/>
      <c r="AE67" s="1" t="str">
        <f ca="1">IFERROR(MATCH(A67,OFFSET(Grades!$A$1,MATCH(Rates!$B$4,LIST,0),2,1,SUMIF(Grades!$A:$A,Rates!$B$4,Grades!$B:$B)),0),"")</f>
        <v/>
      </c>
    </row>
    <row r="68" spans="1:31" ht="18.75" x14ac:dyDescent="0.25">
      <c r="A68" s="17">
        <v>916</v>
      </c>
      <c r="B68" s="14">
        <f t="shared" si="7"/>
        <v>11927</v>
      </c>
      <c r="C68" s="6"/>
      <c r="D68" s="18"/>
      <c r="E68" s="18"/>
      <c r="F68" s="19"/>
      <c r="G68" s="18"/>
      <c r="H68" s="18"/>
      <c r="AE68" s="1" t="str">
        <f ca="1">IFERROR(MATCH(A68,OFFSET(Grades!$A$1,MATCH(Rates!$B$4,LIST,0),2,1,SUMIF(Grades!$A:$A,Rates!$B$4,Grades!$B:$B)),0),"")</f>
        <v/>
      </c>
    </row>
    <row r="69" spans="1:31" ht="18.75" x14ac:dyDescent="0.25">
      <c r="A69" s="17">
        <v>117</v>
      </c>
      <c r="B69" s="14">
        <f>ROUND(B3*85%,0)</f>
        <v>11860</v>
      </c>
      <c r="C69" s="6"/>
      <c r="AE69" s="1" t="str">
        <f ca="1">IFERROR(MATCH(A69,OFFSET(Grades!$A$1,MATCH(Rates!$B$4,LIST,0),2,1,SUMIF(Grades!$A:$A,Rates!$B$4,Grades!$B:$B)),0),"")</f>
        <v/>
      </c>
    </row>
    <row r="70" spans="1:31" ht="18.75" x14ac:dyDescent="0.25">
      <c r="A70" s="17">
        <v>217</v>
      </c>
      <c r="B70" s="14">
        <f>ROUND(B4*85%,0)</f>
        <v>12258</v>
      </c>
      <c r="C70" s="94"/>
      <c r="AE70" s="1" t="str">
        <f ca="1">IFERROR(MATCH(A70,OFFSET(Grades!$A$1,MATCH(Rates!$B$4,LIST,0),2,1,SUMIF(Grades!$A:$A,Rates!$B$4,Grades!$B:$B)),0),"")</f>
        <v/>
      </c>
    </row>
    <row r="71" spans="1:31" ht="18.75" x14ac:dyDescent="0.25">
      <c r="A71" s="17">
        <v>317</v>
      </c>
      <c r="B71" s="14">
        <f t="shared" ref="B71:B77" si="8">ROUND(B5*85%,0)</f>
        <v>12436</v>
      </c>
      <c r="C71" s="6"/>
      <c r="AE71" s="1" t="str">
        <f ca="1">IFERROR(MATCH(A71,OFFSET(Grades!$A$1,MATCH(Rates!$B$4,LIST,0),2,1,SUMIF(Grades!$A:$A,Rates!$B$4,Grades!$B:$B)),0),"")</f>
        <v/>
      </c>
    </row>
    <row r="72" spans="1:31" ht="18.75" x14ac:dyDescent="0.25">
      <c r="A72" s="17">
        <v>417</v>
      </c>
      <c r="B72" s="14">
        <f t="shared" si="8"/>
        <v>12715</v>
      </c>
      <c r="C72" s="6"/>
      <c r="AE72" s="1" t="str">
        <f ca="1">IFERROR(MATCH(A72,OFFSET(Grades!$A$1,MATCH(Rates!$B$4,LIST,0),2,1,SUMIF(Grades!$A:$A,Rates!$B$4,Grades!$B:$B)),0),"")</f>
        <v/>
      </c>
    </row>
    <row r="73" spans="1:31" ht="18.75" x14ac:dyDescent="0.25">
      <c r="A73" s="17">
        <v>517</v>
      </c>
      <c r="B73" s="14">
        <f t="shared" si="8"/>
        <v>13053</v>
      </c>
      <c r="C73" s="6"/>
      <c r="AE73" s="1" t="str">
        <f ca="1">IFERROR(MATCH(A73,OFFSET(Grades!$A$1,MATCH(Rates!$B$4,LIST,0),2,1,SUMIF(Grades!$A:$A,Rates!$B$4,Grades!$B:$B)),0),"")</f>
        <v/>
      </c>
    </row>
    <row r="74" spans="1:31" ht="18.75" x14ac:dyDescent="0.25">
      <c r="A74" s="17">
        <v>617</v>
      </c>
      <c r="B74" s="14">
        <f t="shared" si="8"/>
        <v>13400</v>
      </c>
      <c r="C74" s="6"/>
      <c r="AE74" s="1" t="str">
        <f ca="1">IFERROR(MATCH(A74,OFFSET(Grades!$A$1,MATCH(Rates!$B$4,LIST,0),2,1,SUMIF(Grades!$A:$A,Rates!$B$4,Grades!$B:$B)),0),"")</f>
        <v/>
      </c>
    </row>
    <row r="75" spans="1:31" ht="18.75" x14ac:dyDescent="0.25">
      <c r="A75" s="17">
        <v>717</v>
      </c>
      <c r="B75" s="14">
        <f t="shared" si="8"/>
        <v>13711</v>
      </c>
      <c r="C75" s="6"/>
      <c r="AE75" s="1" t="str">
        <f ca="1">IFERROR(MATCH(A75,OFFSET(Grades!$A$1,MATCH(Rates!$B$4,LIST,0),2,1,SUMIF(Grades!$A:$A,Rates!$B$4,Grades!$B:$B)),0),"")</f>
        <v/>
      </c>
    </row>
    <row r="76" spans="1:31" ht="18.75" x14ac:dyDescent="0.25">
      <c r="A76" s="17">
        <v>817</v>
      </c>
      <c r="B76" s="14">
        <f t="shared" si="8"/>
        <v>14090</v>
      </c>
      <c r="C76" s="6"/>
      <c r="AE76" s="1" t="str">
        <f ca="1">IFERROR(MATCH(A76,OFFSET(Grades!$A$1,MATCH(Rates!$B$4,LIST,0),2,1,SUMIF(Grades!$A:$A,Rates!$B$4,Grades!$B:$B)),0),"")</f>
        <v/>
      </c>
    </row>
    <row r="77" spans="1:31" ht="18.75" x14ac:dyDescent="0.25">
      <c r="A77" s="17">
        <v>917</v>
      </c>
      <c r="B77" s="14">
        <f t="shared" si="8"/>
        <v>14483</v>
      </c>
      <c r="C77" s="6"/>
      <c r="AE77" s="1" t="str">
        <f ca="1">IFERROR(MATCH(A77,OFFSET(Grades!$A$1,MATCH(Rates!$B$4,LIST,0),2,1,SUMIF(Grades!$A:$A,Rates!$B$4,Grades!$B:$B)),0),"")</f>
        <v/>
      </c>
    </row>
    <row r="78" spans="1:31" ht="18.75" x14ac:dyDescent="0.25">
      <c r="A78" s="17"/>
      <c r="B78" s="14"/>
      <c r="AE78" s="1" t="str">
        <f ca="1">IFERROR(MATCH(A78,OFFSET(Grades!$A$1,MATCH(Rates!$B$4,LIST,0),2,1,SUMIF(Grades!$A:$A,Rates!$B$4,Grades!$B:$B)),0),"")</f>
        <v/>
      </c>
    </row>
    <row r="79" spans="1:31" ht="18.75" x14ac:dyDescent="0.25">
      <c r="A79" s="17" t="s">
        <v>118</v>
      </c>
      <c r="B79" s="14">
        <v>13953</v>
      </c>
      <c r="C79" s="96"/>
      <c r="AE79" s="1" t="str">
        <f ca="1">IFERROR(MATCH(A79,OFFSET(Grades!$A$1,MATCH(Rates!$B$4,LIST,0),2,1,SUMIF(Grades!$A:$A,Rates!$B$4,Grades!$B:$B)),0),"")</f>
        <v/>
      </c>
    </row>
    <row r="80" spans="1:31" ht="18.75" x14ac:dyDescent="0.25">
      <c r="A80" s="17"/>
      <c r="B80" s="14"/>
      <c r="AE80" s="1" t="str">
        <f ca="1">IFERROR(MATCH(A80,OFFSET(Grades!$A$1,MATCH(Rates!$B$4,LIST,0),2,1,SUMIF(Grades!$A:$A,Rates!$B$4,Grades!$B:$B)),0),"")</f>
        <v/>
      </c>
    </row>
    <row r="81" spans="1:31" ht="18.75" x14ac:dyDescent="0.25">
      <c r="A81" s="17"/>
      <c r="B81" s="14"/>
      <c r="AE81" s="1" t="str">
        <f ca="1">IFERROR(MATCH(A81,OFFSET(Grades!$A$1,MATCH(Rates!$B$4,LIST,0),2,1,SUMIF(Grades!$A:$A,Rates!$B$4,Grades!$B:$B)),0),"")</f>
        <v/>
      </c>
    </row>
    <row r="82" spans="1:31" ht="18.75" x14ac:dyDescent="0.25">
      <c r="A82" s="17"/>
      <c r="B82" s="14"/>
      <c r="AE82" s="1" t="str">
        <f ca="1">IFERROR(MATCH(A82,OFFSET(Grades!$A$1,MATCH(Rates!$B$4,LIST,0),2,1,SUMIF(Grades!$A:$A,Rates!$B$4,Grades!$B:$B)),0),"")</f>
        <v/>
      </c>
    </row>
    <row r="83" spans="1:31" ht="18.75" x14ac:dyDescent="0.25">
      <c r="A83" s="17"/>
      <c r="B83" s="14"/>
      <c r="AE83" s="1" t="str">
        <f ca="1">IFERROR(MATCH(A83,OFFSET(Grades!$A$1,MATCH(Rates!$B$4,LIST,0),2,1,SUMIF(Grades!$A:$A,Rates!$B$4,Grades!$B:$B)),0),"")</f>
        <v/>
      </c>
    </row>
    <row r="84" spans="1:31" ht="18.75" x14ac:dyDescent="0.25">
      <c r="A84" s="17"/>
      <c r="B84" s="14"/>
      <c r="AE84" s="1" t="str">
        <f ca="1">IFERROR(MATCH(A84,OFFSET(Grades!$A$1,MATCH(Rates!$B$4,LIST,0),2,1,SUMIF(Grades!$A:$A,Rates!$B$4,Grades!$B:$B)),0),"")</f>
        <v/>
      </c>
    </row>
    <row r="85" spans="1:31" ht="18.75" x14ac:dyDescent="0.25">
      <c r="A85" s="17"/>
      <c r="B85" s="14"/>
      <c r="AE85" s="1" t="str">
        <f ca="1">IFERROR(MATCH(A85,OFFSET(Grades!$A$1,MATCH(Rates!$B$4,LIST,0),2,1,SUMIF(Grades!$A:$A,Rates!$B$4,Grades!$B:$B)),0),"")</f>
        <v/>
      </c>
    </row>
    <row r="86" spans="1:31" ht="18.75" x14ac:dyDescent="0.25">
      <c r="A86" s="17"/>
      <c r="B86" s="14"/>
      <c r="AE86" s="1" t="str">
        <f ca="1">IFERROR(MATCH(A86,OFFSET(Grades!$A$1,MATCH(Rates!$B$4,LIST,0),2,1,SUMIF(Grades!$A:$A,Rates!$B$4,Grades!$B:$B)),0),"")</f>
        <v/>
      </c>
    </row>
    <row r="87" spans="1:31" ht="18.75" x14ac:dyDescent="0.25">
      <c r="A87" s="17"/>
      <c r="B87" s="14"/>
      <c r="AE87" s="1" t="str">
        <f ca="1">IFERROR(MATCH(A87,OFFSET(Grades!$A$1,MATCH(Rates!$B$4,LIST,0),2,1,SUMIF(Grades!$A:$A,Rates!$B$4,Grades!$B:$B)),0),"")</f>
        <v/>
      </c>
    </row>
    <row r="88" spans="1:31" ht="18.75" x14ac:dyDescent="0.25">
      <c r="A88" s="17"/>
      <c r="B88" s="14"/>
      <c r="AE88" s="1" t="str">
        <f ca="1">IFERROR(MATCH(A88,OFFSET(Grades!$A$1,MATCH(Rates!$B$4,LIST,0),2,1,SUMIF(Grades!$A:$A,Rates!$B$4,Grades!$B:$B)),0),"")</f>
        <v/>
      </c>
    </row>
    <row r="89" spans="1:31" ht="18.75" x14ac:dyDescent="0.25">
      <c r="A89" s="17"/>
      <c r="B89" s="14"/>
      <c r="AE89" s="1" t="str">
        <f ca="1">IFERROR(MATCH(A89,OFFSET(Grades!$A$1,MATCH(Rates!$B$4,LIST,0),2,1,SUMIF(Grades!$A:$A,Rates!$B$4,Grades!$B:$B)),0),"")</f>
        <v/>
      </c>
    </row>
    <row r="90" spans="1:31" ht="18.75" x14ac:dyDescent="0.25">
      <c r="A90" s="17"/>
      <c r="B90" s="14"/>
      <c r="AE90" s="1" t="str">
        <f ca="1">IFERROR(MATCH(A90,OFFSET(Grades!$A$1,MATCH(Rates!$B$4,LIST,0),2,1,SUMIF(Grades!$A:$A,Rates!$B$4,Grades!$B:$B)),0),"")</f>
        <v/>
      </c>
    </row>
    <row r="91" spans="1:31" ht="18.75" x14ac:dyDescent="0.25">
      <c r="A91" s="17"/>
      <c r="B91" s="14"/>
      <c r="AE91" s="1" t="str">
        <f ca="1">IFERROR(MATCH(A91,OFFSET(Grades!$A$1,MATCH(Rates!$B$4,LIST,0),2,1,SUMIF(Grades!$A:$A,Rates!$B$4,Grades!$B:$B)),0),"")</f>
        <v/>
      </c>
    </row>
    <row r="92" spans="1:31" ht="18.75" x14ac:dyDescent="0.25">
      <c r="A92" s="17"/>
      <c r="B92" s="14"/>
      <c r="AE92" s="1" t="str">
        <f ca="1">IFERROR(MATCH(A92,OFFSET(Grades!$A$1,MATCH(Rates!$B$4,LIST,0),2,1,SUMIF(Grades!$A:$A,Rates!$B$4,Grades!$B:$B)),0),"")</f>
        <v/>
      </c>
    </row>
    <row r="93" spans="1:31" ht="18.75" x14ac:dyDescent="0.25">
      <c r="A93" s="17"/>
      <c r="B93" s="14"/>
      <c r="AE93" s="1" t="str">
        <f ca="1">IFERROR(MATCH(A93,OFFSET(Grades!$A$1,MATCH(Rates!$B$4,LIST,0),2,1,SUMIF(Grades!$A:$A,Rates!$B$4,Grades!$B:$B)),0),"")</f>
        <v/>
      </c>
    </row>
    <row r="94" spans="1:31" ht="18.75" x14ac:dyDescent="0.25">
      <c r="A94" s="17"/>
      <c r="B94" s="14"/>
      <c r="AE94" s="1" t="str">
        <f ca="1">IFERROR(MATCH(A94,OFFSET(Grades!$A$1,MATCH(Rates!$B$4,LIST,0),2,1,SUMIF(Grades!$A:$A,Rates!$B$4,Grades!$B:$B)),0),"")</f>
        <v/>
      </c>
    </row>
    <row r="95" spans="1:31" ht="18.75" x14ac:dyDescent="0.25">
      <c r="A95" s="17"/>
      <c r="B95" s="14"/>
      <c r="AE95" s="1" t="str">
        <f ca="1">IFERROR(MATCH(A95,OFFSET(Grades!$A$1,MATCH(Rates!$B$4,LIST,0),2,1,SUMIF(Grades!$A:$A,Rates!$B$4,Grades!$B:$B)),0),"")</f>
        <v/>
      </c>
    </row>
    <row r="96" spans="1:31" ht="18.75" x14ac:dyDescent="0.25">
      <c r="A96" s="17"/>
      <c r="B96" s="14"/>
      <c r="AE96" s="1" t="str">
        <f ca="1">IFERROR(MATCH(A96,OFFSET(Grades!$A$1,MATCH(Rates!$B$4,LIST,0),2,1,SUMIF(Grades!$A:$A,Rates!$B$4,Grades!$B:$B)),0),"")</f>
        <v/>
      </c>
    </row>
    <row r="97" spans="1:31" ht="18.75" x14ac:dyDescent="0.25">
      <c r="A97" s="17"/>
      <c r="B97" s="14"/>
      <c r="AE97" s="1" t="str">
        <f ca="1">IFERROR(MATCH(A97,OFFSET(Grades!$A$1,MATCH(Rates!$B$4,LIST,0),2,1,SUMIF(Grades!$A:$A,Rates!$B$4,Grades!$B:$B)),0),"")</f>
        <v/>
      </c>
    </row>
    <row r="98" spans="1:31" ht="18.75" x14ac:dyDescent="0.25">
      <c r="A98" s="17"/>
      <c r="B98" s="14"/>
      <c r="AE98" s="1" t="str">
        <f ca="1">IFERROR(MATCH(A98,OFFSET(Grades!$A$1,MATCH(Rates!$B$4,LIST,0),2,1,SUMIF(Grades!$A:$A,Rates!$B$4,Grades!$B:$B)),0),"")</f>
        <v/>
      </c>
    </row>
    <row r="99" spans="1:31" ht="18.75" x14ac:dyDescent="0.25">
      <c r="A99" s="17"/>
      <c r="B99" s="14"/>
      <c r="AE99" s="1" t="str">
        <f ca="1">IFERROR(MATCH(A99,OFFSET(Grades!$A$1,MATCH(Rates!$B$4,LIST,0),2,1,SUMIF(Grades!$A:$A,Rates!$B$4,Grades!$B:$B)),0),"")</f>
        <v/>
      </c>
    </row>
    <row r="100" spans="1:31" ht="18.75" x14ac:dyDescent="0.25">
      <c r="A100" s="17"/>
      <c r="B100" s="14"/>
      <c r="AE100" s="1" t="str">
        <f ca="1">IFERROR(MATCH(A100,OFFSET(Grades!$A$1,MATCH(Rates!$B$4,LIST,0),2,1,SUMIF(Grades!$A:$A,Rates!$B$4,Grades!$B:$B)),0),"")</f>
        <v/>
      </c>
    </row>
    <row r="101" spans="1:31" ht="18.75" x14ac:dyDescent="0.25">
      <c r="A101" s="17"/>
      <c r="B101" s="14"/>
      <c r="AE101" s="1" t="str">
        <f ca="1">IFERROR(MATCH(A101,OFFSET(Grades!$A$1,MATCH(Rates!$B$4,LIST,0),2,1,SUMIF(Grades!$A:$A,Rates!$B$4,Grades!$B:$B)),0),"")</f>
        <v/>
      </c>
    </row>
    <row r="102" spans="1:31" ht="18.75" x14ac:dyDescent="0.25">
      <c r="A102" s="17"/>
      <c r="B102" s="14"/>
      <c r="AE102" s="1" t="str">
        <f ca="1">IFERROR(MATCH(A102,OFFSET(Grades!$A$1,MATCH(Rates!$B$4,LIST,0),2,1,SUMIF(Grades!$A:$A,Rates!$B$4,Grades!$B:$B)),0),"")</f>
        <v/>
      </c>
    </row>
    <row r="103" spans="1:31" ht="18.75" x14ac:dyDescent="0.25">
      <c r="A103" s="17"/>
      <c r="B103" s="14"/>
      <c r="AE103" s="1" t="str">
        <f ca="1">IFERROR(MATCH(A103,OFFSET(Grades!$A$1,MATCH(Rates!$B$4,LIST,0),2,1,SUMIF(Grades!$A:$A,Rates!$B$4,Grades!$B:$B)),0),"")</f>
        <v/>
      </c>
    </row>
    <row r="104" spans="1:31" ht="18.75" x14ac:dyDescent="0.25">
      <c r="A104" s="17"/>
      <c r="B104" s="14"/>
      <c r="AE104" s="1" t="str">
        <f ca="1">IFERROR(MATCH(A104,OFFSET(Grades!$A$1,MATCH(Rates!$B$4,LIST,0),2,1,SUMIF(Grades!$A:$A,Rates!$B$4,Grades!$B:$B)),0),"")</f>
        <v/>
      </c>
    </row>
    <row r="105" spans="1:31" ht="18.75" x14ac:dyDescent="0.25">
      <c r="A105" s="17"/>
      <c r="B105" s="14"/>
      <c r="AE105" s="1" t="str">
        <f ca="1">IFERROR(MATCH(A105,OFFSET(Grades!$A$1,MATCH(Rates!$B$4,LIST,0),2,1,SUMIF(Grades!$A:$A,Rates!$B$4,Grades!$B:$B)),0),"")</f>
        <v/>
      </c>
    </row>
    <row r="106" spans="1:31" ht="18.75" x14ac:dyDescent="0.25">
      <c r="A106" s="17"/>
      <c r="B106" s="14"/>
      <c r="AE106" s="1" t="str">
        <f ca="1">IFERROR(MATCH(A106,OFFSET(Grades!$A$1,MATCH(Rates!$B$4,LIST,0),2,1,SUMIF(Grades!$A:$A,Rates!$B$4,Grades!$B:$B)),0),"")</f>
        <v/>
      </c>
    </row>
    <row r="107" spans="1:31" ht="18.75" x14ac:dyDescent="0.25">
      <c r="A107" s="17"/>
      <c r="B107" s="14"/>
      <c r="AE107" s="1" t="str">
        <f ca="1">IFERROR(MATCH(A107,OFFSET(Grades!$A$1,MATCH(Rates!$B$4,LIST,0),2,1,SUMIF(Grades!$A:$A,Rates!$B$4,Grades!$B:$B)),0),"")</f>
        <v/>
      </c>
    </row>
    <row r="108" spans="1:31" ht="18.75" x14ac:dyDescent="0.25">
      <c r="A108" s="17"/>
      <c r="B108" s="14"/>
      <c r="AE108" s="1" t="str">
        <f ca="1">IFERROR(MATCH(A108,OFFSET(Grades!$A$1,MATCH(Rates!$B$4,LIST,0),2,1,SUMIF(Grades!$A:$A,Rates!$B$4,Grades!$B:$B)),0),"")</f>
        <v/>
      </c>
    </row>
    <row r="109" spans="1:31" ht="18.75" x14ac:dyDescent="0.25">
      <c r="A109" s="17"/>
      <c r="B109" s="14"/>
      <c r="AE109" s="1" t="str">
        <f ca="1">IFERROR(MATCH(A109,OFFSET(Grades!$A$1,MATCH(Rates!$B$4,LIST,0),2,1,SUMIF(Grades!$A:$A,Rates!$B$4,Grades!$B:$B)),0),"")</f>
        <v/>
      </c>
    </row>
    <row r="110" spans="1:31" ht="18.75" x14ac:dyDescent="0.25">
      <c r="A110" s="17"/>
      <c r="B110" s="14"/>
      <c r="AE110" s="1" t="str">
        <f ca="1">IFERROR(MATCH(A110,OFFSET(Grades!$A$1,MATCH(Rates!$B$4,LIST,0),2,1,SUMIF(Grades!$A:$A,Rates!$B$4,Grades!$B:$B)),0),"")</f>
        <v/>
      </c>
    </row>
    <row r="111" spans="1:31" ht="18.75" x14ac:dyDescent="0.25">
      <c r="A111" s="17"/>
      <c r="B111" s="14"/>
      <c r="AE111" s="1" t="str">
        <f ca="1">IFERROR(MATCH(A111,OFFSET(Grades!$A$1,MATCH(Rates!$B$4,LIST,0),2,1,SUMIF(Grades!$A:$A,Rates!$B$4,Grades!$B:$B)),0),"")</f>
        <v/>
      </c>
    </row>
    <row r="112" spans="1:31" ht="18.75" x14ac:dyDescent="0.25">
      <c r="A112" s="17"/>
      <c r="B112" s="14"/>
      <c r="AE112" s="1" t="str">
        <f ca="1">IFERROR(MATCH(A112,OFFSET(Grades!$A$1,MATCH(Rates!$B$4,LIST,0),2,1,SUMIF(Grades!$A:$A,Rates!$B$4,Grades!$B:$B)),0),"")</f>
        <v/>
      </c>
    </row>
    <row r="113" spans="1:31" ht="18.75" x14ac:dyDescent="0.25">
      <c r="A113" s="17"/>
      <c r="B113" s="14"/>
      <c r="AE113" s="1" t="str">
        <f ca="1">IFERROR(MATCH(A113,OFFSET(Grades!$A$1,MATCH(Rates!$B$4,LIST,0),2,1,SUMIF(Grades!$A:$A,Rates!$B$4,Grades!$B:$B)),0),"")</f>
        <v/>
      </c>
    </row>
    <row r="114" spans="1:31" ht="18.75" x14ac:dyDescent="0.25">
      <c r="A114" s="17"/>
      <c r="B114" s="14"/>
      <c r="AE114" s="1" t="str">
        <f ca="1">IFERROR(MATCH(A114,OFFSET(Grades!$A$1,MATCH(Rates!$B$4,LIST,0),2,1,SUMIF(Grades!$A:$A,Rates!$B$4,Grades!$B:$B)),0),"")</f>
        <v/>
      </c>
    </row>
    <row r="115" spans="1:31" ht="18.75" x14ac:dyDescent="0.25">
      <c r="A115" s="17"/>
      <c r="B115" s="14"/>
      <c r="AE115" s="1" t="str">
        <f ca="1">IFERROR(MATCH(A115,OFFSET(Grades!$A$1,MATCH(Rates!$B$4,LIST,0),2,1,SUMIF(Grades!$A:$A,Rates!$B$4,Grades!$B:$B)),0),"")</f>
        <v/>
      </c>
    </row>
    <row r="116" spans="1:31" ht="18.75" x14ac:dyDescent="0.25">
      <c r="A116" s="17"/>
      <c r="B116" s="14"/>
      <c r="AE116" s="1" t="str">
        <f ca="1">IFERROR(MATCH(A116,OFFSET(Grades!$A$1,MATCH(Rates!$B$4,LIST,0),2,1,SUMIF(Grades!$A:$A,Rates!$B$4,Grades!$B:$B)),0),"")</f>
        <v/>
      </c>
    </row>
    <row r="117" spans="1:31" ht="18.75" x14ac:dyDescent="0.25">
      <c r="A117" s="17"/>
      <c r="B117" s="14"/>
      <c r="AE117" s="1" t="str">
        <f ca="1">IFERROR(MATCH(A117,OFFSET(Grades!$A$1,MATCH(Rates!$B$4,LIST,0),2,1,SUMIF(Grades!$A:$A,Rates!$B$4,Grades!$B:$B)),0),"")</f>
        <v/>
      </c>
    </row>
    <row r="118" spans="1:31" ht="18.75" x14ac:dyDescent="0.25">
      <c r="A118" s="17"/>
      <c r="B118" s="14"/>
      <c r="AE118" s="1" t="str">
        <f ca="1">IFERROR(MATCH(A118,OFFSET(Grades!$A$1,MATCH(Rates!$B$4,LIST,0),2,1,SUMIF(Grades!$A:$A,Rates!$B$4,Grades!$B:$B)),0),"")</f>
        <v/>
      </c>
    </row>
    <row r="119" spans="1:31" ht="18.75" x14ac:dyDescent="0.25">
      <c r="A119" s="17"/>
      <c r="B119" s="14"/>
      <c r="AE119" s="1" t="str">
        <f ca="1">IFERROR(MATCH(A119,OFFSET(Grades!$A$1,MATCH(Rates!$B$4,LIST,0),2,1,SUMIF(Grades!$A:$A,Rates!$B$4,Grades!$B:$B)),0),"")</f>
        <v/>
      </c>
    </row>
    <row r="120" spans="1:31" ht="18.75" x14ac:dyDescent="0.25">
      <c r="A120" s="17"/>
      <c r="B120" s="14"/>
      <c r="AE120" s="1" t="str">
        <f ca="1">IFERROR(MATCH(A120,OFFSET(Grades!$A$1,MATCH(Rates!$B$4,LIST,0),2,1,SUMIF(Grades!$A:$A,Rates!$B$4,Grades!$B:$B)),0),"")</f>
        <v/>
      </c>
    </row>
    <row r="121" spans="1:31" ht="18.75" x14ac:dyDescent="0.25">
      <c r="A121" s="17"/>
      <c r="B121" s="14"/>
      <c r="AE121" s="1" t="str">
        <f ca="1">IFERROR(MATCH(A121,OFFSET(Grades!$A$1,MATCH(Rates!$B$4,LIST,0),2,1,SUMIF(Grades!$A:$A,Rates!$B$4,Grades!$B:$B)),0),"")</f>
        <v/>
      </c>
    </row>
    <row r="122" spans="1:31" ht="18.75" x14ac:dyDescent="0.25">
      <c r="A122" s="17"/>
      <c r="B122" s="14"/>
      <c r="AE122" s="1" t="str">
        <f ca="1">IFERROR(MATCH(A122,OFFSET(Grades!$A$1,MATCH(Rates!$B$4,LIST,0),2,1,SUMIF(Grades!$A:$A,Rates!$B$4,Grades!$B:$B)),0),"")</f>
        <v/>
      </c>
    </row>
    <row r="123" spans="1:31" ht="18.75" x14ac:dyDescent="0.25">
      <c r="A123" s="17"/>
      <c r="B123" s="14"/>
      <c r="AE123" s="1" t="str">
        <f ca="1">IFERROR(MATCH(A123,OFFSET(Grades!$A$1,MATCH(Rates!$B$4,LIST,0),2,1,SUMIF(Grades!$A:$A,Rates!$B$4,Grades!$B:$B)),0),"")</f>
        <v/>
      </c>
    </row>
    <row r="124" spans="1:31" ht="18.75" x14ac:dyDescent="0.25">
      <c r="A124" s="17"/>
      <c r="B124" s="14"/>
      <c r="AE124" s="1" t="str">
        <f ca="1">IFERROR(MATCH(A124,OFFSET(Grades!$A$1,MATCH(Rates!$B$4,LIST,0),2,1,SUMIF(Grades!$A:$A,Rates!$B$4,Grades!$B:$B)),0),"")</f>
        <v/>
      </c>
    </row>
    <row r="125" spans="1:31" ht="18.75" x14ac:dyDescent="0.25">
      <c r="A125" s="17"/>
      <c r="B125" s="14"/>
      <c r="AE125" s="1" t="str">
        <f ca="1">IFERROR(MATCH(A125,OFFSET(Grades!$A$1,MATCH(Rates!$B$4,LIST,0),2,1,SUMIF(Grades!$A:$A,Rates!$B$4,Grades!$B:$B)),0),"")</f>
        <v/>
      </c>
    </row>
    <row r="126" spans="1:31" ht="18.75" x14ac:dyDescent="0.25">
      <c r="A126" s="17"/>
      <c r="B126" s="14"/>
      <c r="AE126" s="1" t="str">
        <f ca="1">IFERROR(MATCH(A126,OFFSET(Grades!$A$1,MATCH(Rates!$B$4,LIST,0),2,1,SUMIF(Grades!$A:$A,Rates!$B$4,Grades!$B:$B)),0),"")</f>
        <v/>
      </c>
    </row>
    <row r="127" spans="1:31" ht="18.75" x14ac:dyDescent="0.25">
      <c r="A127" s="17"/>
      <c r="B127" s="14"/>
      <c r="AE127" s="1" t="str">
        <f ca="1">IFERROR(MATCH(A127,OFFSET(Grades!$A$1,MATCH(Rates!$B$4,LIST,0),2,1,SUMIF(Grades!$A:$A,Rates!$B$4,Grades!$B:$B)),0),"")</f>
        <v/>
      </c>
    </row>
    <row r="128" spans="1:31" ht="18.75" x14ac:dyDescent="0.25">
      <c r="A128" s="17"/>
      <c r="B128" s="14"/>
      <c r="AE128" s="1" t="str">
        <f ca="1">IFERROR(MATCH(A128,OFFSET(Grades!$A$1,MATCH(Rates!$B$4,LIST,0),2,1,SUMIF(Grades!$A:$A,Rates!$B$4,Grades!$B:$B)),0),"")</f>
        <v/>
      </c>
    </row>
    <row r="129" spans="1:31" ht="18.75" x14ac:dyDescent="0.25">
      <c r="A129" s="17"/>
      <c r="B129" s="14"/>
      <c r="AE129" s="1" t="str">
        <f ca="1">IFERROR(MATCH(A129,OFFSET(Grades!$A$1,MATCH(Rates!$B$4,LIST,0),2,1,SUMIF(Grades!$A:$A,Rates!$B$4,Grades!$B:$B)),0),"")</f>
        <v/>
      </c>
    </row>
    <row r="130" spans="1:31" ht="18.75" x14ac:dyDescent="0.25">
      <c r="A130" s="17"/>
      <c r="B130" s="14"/>
      <c r="AE130" s="1" t="str">
        <f ca="1">IFERROR(MATCH(A130,OFFSET(Grades!$A$1,MATCH(Rates!$B$4,LIST,0),2,1,SUMIF(Grades!$A:$A,Rates!$B$4,Grades!$B:$B)),0),"")</f>
        <v/>
      </c>
    </row>
    <row r="131" spans="1:31" ht="18.75" x14ac:dyDescent="0.25">
      <c r="A131" s="17"/>
      <c r="B131" s="14"/>
      <c r="AE131" s="1" t="str">
        <f ca="1">IFERROR(MATCH(A131,OFFSET(Grades!$A$1,MATCH(Rates!$B$4,LIST,0),2,1,SUMIF(Grades!$A:$A,Rates!$B$4,Grades!$B:$B)),0),"")</f>
        <v/>
      </c>
    </row>
    <row r="132" spans="1:31" ht="18.75" x14ac:dyDescent="0.25">
      <c r="A132" s="17"/>
      <c r="B132" s="14"/>
      <c r="AE132" s="1" t="str">
        <f ca="1">IFERROR(MATCH(A132,OFFSET(Grades!$A$1,MATCH(Rates!$B$4,LIST,0),2,1,SUMIF(Grades!$A:$A,Rates!$B$4,Grades!$B:$B)),0),"")</f>
        <v/>
      </c>
    </row>
    <row r="133" spans="1:31" ht="18.75" x14ac:dyDescent="0.25">
      <c r="A133" s="17"/>
      <c r="B133" s="14"/>
      <c r="AE133" s="1" t="str">
        <f ca="1">IFERROR(MATCH(A133,OFFSET(Grades!$A$1,MATCH(Rates!$B$4,LIST,0),2,1,SUMIF(Grades!$A:$A,Rates!$B$4,Grades!$B:$B)),0),"")</f>
        <v/>
      </c>
    </row>
    <row r="134" spans="1:31" ht="18.75" x14ac:dyDescent="0.25">
      <c r="A134" s="17"/>
      <c r="B134" s="14"/>
      <c r="AE134" s="1" t="str">
        <f ca="1">IFERROR(MATCH(A134,OFFSET(Grades!$A$1,MATCH(Rates!$B$4,LIST,0),2,1,SUMIF(Grades!$A:$A,Rates!$B$4,Grades!$B:$B)),0),"")</f>
        <v/>
      </c>
    </row>
    <row r="135" spans="1:31" ht="18.75" x14ac:dyDescent="0.25">
      <c r="A135" s="17"/>
      <c r="B135" s="14"/>
      <c r="AE135" s="1" t="str">
        <f ca="1">IFERROR(MATCH(A135,OFFSET(Grades!$A$1,MATCH(Rates!$B$4,LIST,0),2,1,SUMIF(Grades!$A:$A,Rates!$B$4,Grades!$B:$B)),0),"")</f>
        <v/>
      </c>
    </row>
    <row r="136" spans="1:31" ht="18.75" x14ac:dyDescent="0.25">
      <c r="A136" s="17"/>
      <c r="B136" s="14"/>
      <c r="AE136" s="1" t="str">
        <f ca="1">IFERROR(MATCH(A136,OFFSET(Grades!$A$1,MATCH(Rates!$B$4,LIST,0),2,1,SUMIF(Grades!$A:$A,Rates!$B$4,Grades!$B:$B)),0),"")</f>
        <v/>
      </c>
    </row>
    <row r="137" spans="1:31" ht="18.75" x14ac:dyDescent="0.25">
      <c r="A137" s="17"/>
      <c r="B137" s="14"/>
      <c r="AE137" s="1" t="str">
        <f ca="1">IFERROR(MATCH(A137,OFFSET(Grades!$A$1,MATCH(Rates!$B$4,LIST,0),2,1,SUMIF(Grades!$A:$A,Rates!$B$4,Grades!$B:$B)),0),"")</f>
        <v/>
      </c>
    </row>
    <row r="138" spans="1:31" ht="18.75" x14ac:dyDescent="0.25">
      <c r="A138" s="17"/>
      <c r="B138" s="14"/>
      <c r="AE138" s="1" t="str">
        <f ca="1">IFERROR(MATCH(A138,OFFSET(Grades!$A$1,MATCH(Rates!$B$4,LIST,0),2,1,SUMIF(Grades!$A:$A,Rates!$B$4,Grades!$B:$B)),0),"")</f>
        <v/>
      </c>
    </row>
    <row r="139" spans="1:31" ht="18.75" x14ac:dyDescent="0.25">
      <c r="A139" s="17"/>
      <c r="B139" s="14"/>
      <c r="AE139" s="1" t="str">
        <f ca="1">IFERROR(MATCH(A139,OFFSET(Grades!$A$1,MATCH(Rates!$B$4,LIST,0),2,1,SUMIF(Grades!$A:$A,Rates!$B$4,Grades!$B:$B)),0),"")</f>
        <v/>
      </c>
    </row>
    <row r="140" spans="1:31" ht="18.75" x14ac:dyDescent="0.25">
      <c r="A140" s="17"/>
      <c r="B140" s="14"/>
      <c r="AE140" s="1" t="str">
        <f ca="1">IFERROR(MATCH(A140,OFFSET(Grades!$A$1,MATCH(Rates!$B$4,LIST,0),2,1,SUMIF(Grades!$A:$A,Rates!$B$4,Grades!$B:$B)),0),"")</f>
        <v/>
      </c>
    </row>
    <row r="141" spans="1:31" ht="18.75" x14ac:dyDescent="0.25">
      <c r="A141" s="17"/>
      <c r="B141" s="14"/>
      <c r="AE141" s="1" t="str">
        <f ca="1">IFERROR(MATCH(A141,OFFSET(Grades!$A$1,MATCH(Rates!$B$4,LIST,0),2,1,SUMIF(Grades!$A:$A,Rates!$B$4,Grades!$B:$B)),0),"")</f>
        <v/>
      </c>
    </row>
    <row r="142" spans="1:31" ht="18.75" x14ac:dyDescent="0.25">
      <c r="A142" s="17"/>
      <c r="B142" s="14"/>
      <c r="AE142" s="1" t="str">
        <f ca="1">IFERROR(MATCH(A142,OFFSET(Grades!$A$1,MATCH(Rates!$B$4,LIST,0),2,1,SUMIF(Grades!$A:$A,Rates!$B$4,Grades!$B:$B)),0),"")</f>
        <v/>
      </c>
    </row>
    <row r="143" spans="1:31" ht="18.75" x14ac:dyDescent="0.25">
      <c r="A143" s="17"/>
      <c r="B143" s="14"/>
      <c r="AE143" s="1" t="str">
        <f ca="1">IFERROR(MATCH(A143,OFFSET(Grades!$A$1,MATCH(Rates!$B$4,LIST,0),2,1,SUMIF(Grades!$A:$A,Rates!$B$4,Grades!$B:$B)),0),"")</f>
        <v/>
      </c>
    </row>
    <row r="144" spans="1:31" ht="18.75" x14ac:dyDescent="0.25">
      <c r="A144" s="17"/>
      <c r="B144" s="14"/>
      <c r="AE144" s="1" t="str">
        <f ca="1">IFERROR(MATCH(A144,OFFSET(Grades!$A$1,MATCH(Rates!$B$4,LIST,0),2,1,SUMIF(Grades!$A:$A,Rates!$B$4,Grades!$B:$B)),0),"")</f>
        <v/>
      </c>
    </row>
    <row r="145" spans="1:31" ht="18.75" x14ac:dyDescent="0.25">
      <c r="A145" s="17"/>
      <c r="B145" s="14"/>
      <c r="AE145" s="1" t="str">
        <f ca="1">IFERROR(MATCH(A145,OFFSET(Grades!$A$1,MATCH(Rates!$B$4,LIST,0),2,1,SUMIF(Grades!$A:$A,Rates!$B$4,Grades!$B:$B)),0),"")</f>
        <v/>
      </c>
    </row>
    <row r="146" spans="1:31" ht="18.75" x14ac:dyDescent="0.25">
      <c r="A146" s="17"/>
      <c r="B146" s="14"/>
      <c r="AE146" s="1" t="str">
        <f ca="1">IFERROR(MATCH(A146,OFFSET(Grades!$A$1,MATCH(Rates!$B$4,LIST,0),2,1,SUMIF(Grades!$A:$A,Rates!$B$4,Grades!$B:$B)),0),"")</f>
        <v/>
      </c>
    </row>
    <row r="147" spans="1:31" ht="18.75" x14ac:dyDescent="0.25">
      <c r="A147" s="17"/>
      <c r="B147" s="14"/>
      <c r="AE147" s="1" t="str">
        <f ca="1">IFERROR(MATCH(A147,OFFSET(Grades!$A$1,MATCH(Rates!$B$4,LIST,0),2,1,SUMIF(Grades!$A:$A,Rates!$B$4,Grades!$B:$B)),0),"")</f>
        <v/>
      </c>
    </row>
    <row r="148" spans="1:31" ht="18.75" x14ac:dyDescent="0.25">
      <c r="A148" s="17"/>
      <c r="B148" s="14"/>
      <c r="AE148" s="1" t="str">
        <f ca="1">IFERROR(MATCH(A148,OFFSET(Grades!$A$1,MATCH(Rates!$B$4,LIST,0),2,1,SUMIF(Grades!$A:$A,Rates!$B$4,Grades!$B:$B)),0),"")</f>
        <v/>
      </c>
    </row>
    <row r="149" spans="1:31" ht="18.75" x14ac:dyDescent="0.25">
      <c r="A149" s="17"/>
      <c r="B149" s="14"/>
      <c r="AE149" s="1" t="str">
        <f ca="1">IFERROR(MATCH(A149,OFFSET(Grades!$A$1,MATCH(Rates!$B$4,LIST,0),2,1,SUMIF(Grades!$A:$A,Rates!$B$4,Grades!$B:$B)),0),"")</f>
        <v/>
      </c>
    </row>
    <row r="150" spans="1:31" ht="18.75" x14ac:dyDescent="0.25">
      <c r="A150" s="17"/>
      <c r="B150" s="14"/>
      <c r="AE150" s="1" t="str">
        <f ca="1">IFERROR(MATCH(A150,OFFSET(Grades!$A$1,MATCH(Rates!$B$4,LIST,0),2,1,SUMIF(Grades!$A:$A,Rates!$B$4,Grades!$B:$B)),0),"")</f>
        <v/>
      </c>
    </row>
    <row r="151" spans="1:31" ht="18.75" x14ac:dyDescent="0.25">
      <c r="A151" s="17"/>
      <c r="B151" s="14"/>
      <c r="AE151" s="1" t="str">
        <f ca="1">IFERROR(MATCH(A151,OFFSET(Grades!$A$1,MATCH(Rates!$B$4,LIST,0),2,1,SUMIF(Grades!$A:$A,Rates!$B$4,Grades!$B:$B)),0),"")</f>
        <v/>
      </c>
    </row>
    <row r="152" spans="1:31" ht="18.75" x14ac:dyDescent="0.25">
      <c r="A152" s="17"/>
      <c r="B152" s="14"/>
      <c r="AE152" s="1" t="str">
        <f ca="1">IFERROR(MATCH(A152,OFFSET(Grades!$A$1,MATCH(Rates!$B$4,LIST,0),2,1,SUMIF(Grades!$A:$A,Rates!$B$4,Grades!$B:$B)),0),"")</f>
        <v/>
      </c>
    </row>
    <row r="153" spans="1:31" ht="18.75" x14ac:dyDescent="0.25">
      <c r="A153" s="17"/>
      <c r="B153" s="14"/>
      <c r="AE153" s="1" t="str">
        <f ca="1">IFERROR(MATCH(A153,OFFSET(Grades!$A$1,MATCH(Rates!$B$4,LIST,0),2,1,SUMIF(Grades!$A:$A,Rates!$B$4,Grades!$B:$B)),0),"")</f>
        <v/>
      </c>
    </row>
    <row r="154" spans="1:31" ht="18.75" x14ac:dyDescent="0.25">
      <c r="A154" s="17"/>
      <c r="B154" s="14"/>
      <c r="AE154" s="1" t="str">
        <f ca="1">IFERROR(MATCH(A154,OFFSET(Grades!$A$1,MATCH(Rates!$B$4,LIST,0),2,1,SUMIF(Grades!$A:$A,Rates!$B$4,Grades!$B:$B)),0),"")</f>
        <v/>
      </c>
    </row>
    <row r="155" spans="1:31" ht="18.75" x14ac:dyDescent="0.25">
      <c r="A155" s="17"/>
      <c r="B155" s="14"/>
      <c r="AE155" s="1" t="str">
        <f ca="1">IFERROR(MATCH(A155,OFFSET(Grades!$A$1,MATCH(Rates!$B$4,LIST,0),2,1,SUMIF(Grades!$A:$A,Rates!$B$4,Grades!$B:$B)),0),"")</f>
        <v/>
      </c>
    </row>
    <row r="156" spans="1:31" ht="18.75" x14ac:dyDescent="0.25">
      <c r="A156" s="17"/>
      <c r="B156" s="14"/>
      <c r="AE156" s="1" t="str">
        <f ca="1">IFERROR(MATCH(A156,OFFSET(Grades!$A$1,MATCH(Rates!$B$4,LIST,0),2,1,SUMIF(Grades!$A:$A,Rates!$B$4,Grades!$B:$B)),0),"")</f>
        <v/>
      </c>
    </row>
    <row r="157" spans="1:31" ht="18.75" x14ac:dyDescent="0.25">
      <c r="A157" s="17"/>
      <c r="B157" s="14"/>
      <c r="AE157" s="1" t="str">
        <f ca="1">IFERROR(MATCH(A157,OFFSET(Grades!$A$1,MATCH(Rates!$B$4,LIST,0),2,1,SUMIF(Grades!$A:$A,Rates!$B$4,Grades!$B:$B)),0),"")</f>
        <v/>
      </c>
    </row>
    <row r="158" spans="1:31" ht="18.75" x14ac:dyDescent="0.25">
      <c r="A158" s="17"/>
      <c r="B158" s="14"/>
      <c r="AE158" s="1" t="str">
        <f ca="1">IFERROR(MATCH(A158,OFFSET(Grades!$A$1,MATCH(Rates!$B$4,LIST,0),2,1,SUMIF(Grades!$A:$A,Rates!$B$4,Grades!$B:$B)),0),"")</f>
        <v/>
      </c>
    </row>
    <row r="159" spans="1:31" ht="18.75" x14ac:dyDescent="0.25">
      <c r="A159" s="17"/>
      <c r="B159" s="14"/>
      <c r="AE159" s="1" t="str">
        <f ca="1">IFERROR(MATCH(A159,OFFSET(Grades!$A$1,MATCH(Rates!$B$4,LIST,0),2,1,SUMIF(Grades!$A:$A,Rates!$B$4,Grades!$B:$B)),0),"")</f>
        <v/>
      </c>
    </row>
    <row r="160" spans="1:31" ht="18.75" x14ac:dyDescent="0.25">
      <c r="A160" s="17"/>
      <c r="B160" s="14"/>
      <c r="AE160" s="1" t="str">
        <f ca="1">IFERROR(MATCH(A160,OFFSET(Grades!$A$1,MATCH(Rates!$B$4,LIST,0),2,1,SUMIF(Grades!$A:$A,Rates!$B$4,Grades!$B:$B)),0),"")</f>
        <v/>
      </c>
    </row>
    <row r="161" spans="1:31" ht="18.75" x14ac:dyDescent="0.25">
      <c r="A161" s="17"/>
      <c r="B161" s="14"/>
      <c r="AE161" s="1" t="str">
        <f ca="1">IFERROR(MATCH(A161,OFFSET(Grades!$A$1,MATCH(Rates!$B$4,LIST,0),2,1,SUMIF(Grades!$A:$A,Rates!$B$4,Grades!$B:$B)),0),"")</f>
        <v/>
      </c>
    </row>
    <row r="162" spans="1:31" ht="18.75" x14ac:dyDescent="0.25">
      <c r="A162" s="17"/>
      <c r="B162" s="14"/>
      <c r="AE162" s="1" t="str">
        <f ca="1">IFERROR(MATCH(A162,OFFSET(Grades!$A$1,MATCH(Rates!$B$4,LIST,0),2,1,SUMIF(Grades!$A:$A,Rates!$B$4,Grades!$B:$B)),0),"")</f>
        <v/>
      </c>
    </row>
    <row r="163" spans="1:31" ht="18.75" x14ac:dyDescent="0.25">
      <c r="A163" s="17"/>
      <c r="B163" s="14"/>
      <c r="AE163" s="1" t="str">
        <f ca="1">IFERROR(MATCH(A163,OFFSET(Grades!$A$1,MATCH(Rates!$B$4,LIST,0),2,1,SUMIF(Grades!$A:$A,Rates!$B$4,Grades!$B:$B)),0),"")</f>
        <v/>
      </c>
    </row>
    <row r="164" spans="1:31" ht="18.75" x14ac:dyDescent="0.25">
      <c r="A164" s="17"/>
      <c r="B164" s="14"/>
      <c r="AE164" s="1" t="str">
        <f ca="1">IFERROR(MATCH(A164,OFFSET(Grades!$A$1,MATCH(Rates!$B$4,LIST,0),2,1,SUMIF(Grades!$A:$A,Rates!$B$4,Grades!$B:$B)),0),"")</f>
        <v/>
      </c>
    </row>
    <row r="165" spans="1:31" ht="18.75" x14ac:dyDescent="0.25">
      <c r="A165" s="17"/>
      <c r="B165" s="14"/>
      <c r="AE165" s="1" t="str">
        <f ca="1">IFERROR(MATCH(A165,OFFSET(Grades!$A$1,MATCH(Rates!$B$4,LIST,0),2,1,SUMIF(Grades!$A:$A,Rates!$B$4,Grades!$B:$B)),0),"")</f>
        <v/>
      </c>
    </row>
    <row r="166" spans="1:31" ht="18.75" x14ac:dyDescent="0.25">
      <c r="A166" s="17"/>
      <c r="B166" s="14"/>
      <c r="AE166" s="1" t="str">
        <f ca="1">IFERROR(MATCH(A166,OFFSET(Grades!$A$1,MATCH(Rates!$B$4,LIST,0),2,1,SUMIF(Grades!$A:$A,Rates!$B$4,Grades!$B:$B)),0),"")</f>
        <v/>
      </c>
    </row>
    <row r="167" spans="1:31" ht="18.75" x14ac:dyDescent="0.25">
      <c r="A167" s="17"/>
      <c r="B167" s="14"/>
      <c r="AE167" s="1" t="str">
        <f ca="1">IFERROR(MATCH(A167,OFFSET(Grades!$A$1,MATCH(Rates!$B$4,LIST,0),2,1,SUMIF(Grades!$A:$A,Rates!$B$4,Grades!$B:$B)),0),"")</f>
        <v/>
      </c>
    </row>
    <row r="168" spans="1:31" ht="18.75" x14ac:dyDescent="0.25">
      <c r="A168" s="17"/>
      <c r="B168" s="14"/>
      <c r="AE168" s="1" t="str">
        <f ca="1">IFERROR(MATCH(A168,OFFSET(Grades!$A$1,MATCH(Rates!$B$4,LIST,0),2,1,SUMIF(Grades!$A:$A,Rates!$B$4,Grades!$B:$B)),0),"")</f>
        <v/>
      </c>
    </row>
    <row r="169" spans="1:31" ht="18.75" x14ac:dyDescent="0.25">
      <c r="A169" s="17"/>
      <c r="B169" s="14"/>
      <c r="AE169" s="1" t="str">
        <f ca="1">IFERROR(MATCH(A169,OFFSET(Grades!$A$1,MATCH(Rates!$B$4,LIST,0),2,1,SUMIF(Grades!$A:$A,Rates!$B$4,Grades!$B:$B)),0),"")</f>
        <v/>
      </c>
    </row>
    <row r="170" spans="1:31" ht="18.75" x14ac:dyDescent="0.25">
      <c r="A170" s="17"/>
      <c r="B170" s="14"/>
      <c r="AE170" s="1" t="str">
        <f ca="1">IFERROR(MATCH(A170,OFFSET(Grades!$A$1,MATCH(Rates!$B$4,LIST,0),2,1,SUMIF(Grades!$A:$A,Rates!$B$4,Grades!$B:$B)),0),"")</f>
        <v/>
      </c>
    </row>
    <row r="171" spans="1:31" ht="18.75" x14ac:dyDescent="0.25">
      <c r="A171" s="17"/>
      <c r="B171" s="14"/>
      <c r="AE171" s="1" t="str">
        <f ca="1">IFERROR(MATCH(A171,OFFSET(Grades!$A$1,MATCH(Rates!$B$4,LIST,0),2,1,SUMIF(Grades!$A:$A,Rates!$B$4,Grades!$B:$B)),0),"")</f>
        <v/>
      </c>
    </row>
    <row r="172" spans="1:31" ht="18.75" x14ac:dyDescent="0.25">
      <c r="A172" s="17"/>
      <c r="B172" s="14"/>
      <c r="AE172" s="1" t="str">
        <f ca="1">IFERROR(MATCH(A172,OFFSET(Grades!$A$1,MATCH(Rates!$B$4,LIST,0),2,1,SUMIF(Grades!$A:$A,Rates!$B$4,Grades!$B:$B)),0),"")</f>
        <v/>
      </c>
    </row>
    <row r="173" spans="1:31" ht="18.75" x14ac:dyDescent="0.25">
      <c r="A173" s="17"/>
      <c r="B173" s="14"/>
      <c r="AE173" s="1" t="str">
        <f ca="1">IFERROR(MATCH(A173,OFFSET(Grades!$A$1,MATCH(Rates!$B$4,LIST,0),2,1,SUMIF(Grades!$A:$A,Rates!$B$4,Grades!$B:$B)),0),"")</f>
        <v/>
      </c>
    </row>
    <row r="174" spans="1:31" ht="18.75" x14ac:dyDescent="0.25">
      <c r="A174" s="17"/>
      <c r="B174" s="14"/>
      <c r="AE174" s="1" t="str">
        <f ca="1">IFERROR(MATCH(A174,OFFSET(Grades!$A$1,MATCH(Rates!$B$4,LIST,0),2,1,SUMIF(Grades!$A:$A,Rates!$B$4,Grades!$B:$B)),0),"")</f>
        <v/>
      </c>
    </row>
    <row r="175" spans="1:31" ht="18.75" x14ac:dyDescent="0.25">
      <c r="A175" s="17"/>
      <c r="B175" s="14"/>
      <c r="AE175" s="1" t="str">
        <f ca="1">IFERROR(MATCH(A175,OFFSET(Grades!$A$1,MATCH(Rates!$B$4,LIST,0),2,1,SUMIF(Grades!$A:$A,Rates!$B$4,Grades!$B:$B)),0),"")</f>
        <v/>
      </c>
    </row>
    <row r="176" spans="1:31" ht="18.75" x14ac:dyDescent="0.25">
      <c r="A176" s="17"/>
      <c r="B176" s="14"/>
      <c r="AE176" s="1" t="str">
        <f ca="1">IFERROR(MATCH(A176,OFFSET(Grades!$A$1,MATCH(Rates!$B$4,LIST,0),2,1,SUMIF(Grades!$A:$A,Rates!$B$4,Grades!$B:$B)),0),"")</f>
        <v/>
      </c>
    </row>
    <row r="177" spans="1:31" ht="18.75" x14ac:dyDescent="0.25">
      <c r="A177" s="17"/>
      <c r="B177" s="14"/>
      <c r="AE177" s="1" t="str">
        <f ca="1">IFERROR(MATCH(A177,OFFSET(Grades!$A$1,MATCH(Rates!$B$4,LIST,0),2,1,SUMIF(Grades!$A:$A,Rates!$B$4,Grades!$B:$B)),0),"")</f>
        <v/>
      </c>
    </row>
    <row r="178" spans="1:31" ht="18.75" x14ac:dyDescent="0.25">
      <c r="A178" s="17"/>
      <c r="B178" s="14"/>
      <c r="AE178" s="1" t="str">
        <f ca="1">IFERROR(MATCH(A178,OFFSET(Grades!$A$1,MATCH(Rates!$B$4,LIST,0),2,1,SUMIF(Grades!$A:$A,Rates!$B$4,Grades!$B:$B)),0),"")</f>
        <v/>
      </c>
    </row>
    <row r="179" spans="1:31" ht="18.75" x14ac:dyDescent="0.25">
      <c r="A179" s="17"/>
      <c r="B179" s="14"/>
      <c r="AE179" s="1" t="str">
        <f ca="1">IFERROR(MATCH(A179,OFFSET(Grades!$A$1,MATCH(Rates!$B$4,LIST,0),2,1,SUMIF(Grades!$A:$A,Rates!$B$4,Grades!$B:$B)),0),"")</f>
        <v/>
      </c>
    </row>
    <row r="180" spans="1:31" ht="18.75" x14ac:dyDescent="0.25">
      <c r="A180" s="17"/>
      <c r="B180" s="14"/>
      <c r="AE180" s="1" t="str">
        <f ca="1">IFERROR(MATCH(A180,OFFSET(Grades!$A$1,MATCH(Rates!$B$4,LIST,0),2,1,SUMIF(Grades!$A:$A,Rates!$B$4,Grades!$B:$B)),0),"")</f>
        <v/>
      </c>
    </row>
    <row r="181" spans="1:31" ht="18.75" x14ac:dyDescent="0.25">
      <c r="A181" s="17"/>
      <c r="B181" s="14"/>
      <c r="AE181" s="1" t="str">
        <f ca="1">IFERROR(MATCH(A181,OFFSET(Grades!$A$1,MATCH(Rates!$B$4,LIST,0),2,1,SUMIF(Grades!$A:$A,Rates!$B$4,Grades!$B:$B)),0),"")</f>
        <v/>
      </c>
    </row>
    <row r="182" spans="1:31" ht="18.75" x14ac:dyDescent="0.25">
      <c r="A182" s="17"/>
      <c r="B182" s="14"/>
      <c r="AE182" s="1" t="str">
        <f ca="1">IFERROR(MATCH(A182,OFFSET(Grades!$A$1,MATCH(Rates!$B$4,LIST,0),2,1,SUMIF(Grades!$A:$A,Rates!$B$4,Grades!$B:$B)),0),"")</f>
        <v/>
      </c>
    </row>
    <row r="183" spans="1:31" ht="18.75" x14ac:dyDescent="0.25">
      <c r="A183" s="17"/>
      <c r="B183" s="14"/>
      <c r="AE183" s="1" t="str">
        <f ca="1">IFERROR(MATCH(A183,OFFSET(Grades!$A$1,MATCH(Rates!$B$4,LIST,0),2,1,SUMIF(Grades!$A:$A,Rates!$B$4,Grades!$B:$B)),0),"")</f>
        <v/>
      </c>
    </row>
    <row r="184" spans="1:31" ht="18.75" x14ac:dyDescent="0.25">
      <c r="A184" s="17"/>
      <c r="B184" s="14"/>
      <c r="AE184" s="1" t="str">
        <f ca="1">IFERROR(MATCH(A184,OFFSET(Grades!$A$1,MATCH(Rates!$B$4,LIST,0),2,1,SUMIF(Grades!$A:$A,Rates!$B$4,Grades!$B:$B)),0),"")</f>
        <v/>
      </c>
    </row>
    <row r="185" spans="1:31" ht="18.75" x14ac:dyDescent="0.25">
      <c r="A185" s="17"/>
      <c r="B185" s="14"/>
      <c r="AE185" s="1" t="str">
        <f ca="1">IFERROR(MATCH(A185,OFFSET(Grades!$A$1,MATCH(Rates!$B$4,LIST,0),2,1,SUMIF(Grades!$A:$A,Rates!$B$4,Grades!$B:$B)),0),"")</f>
        <v/>
      </c>
    </row>
    <row r="186" spans="1:31" ht="18.75" x14ac:dyDescent="0.25">
      <c r="A186" s="17"/>
      <c r="B186" s="14"/>
      <c r="AE186" s="1" t="str">
        <f ca="1">IFERROR(MATCH(A186,OFFSET(Grades!$A$1,MATCH(Rates!$B$4,LIST,0),2,1,SUMIF(Grades!$A:$A,Rates!$B$4,Grades!$B:$B)),0),"")</f>
        <v/>
      </c>
    </row>
    <row r="187" spans="1:31" ht="18.75" x14ac:dyDescent="0.25">
      <c r="A187" s="17"/>
      <c r="B187" s="14"/>
      <c r="AE187" s="1" t="str">
        <f ca="1">IFERROR(MATCH(A187,OFFSET(Grades!$A$1,MATCH(Rates!$B$4,LIST,0),2,1,SUMIF(Grades!$A:$A,Rates!$B$4,Grades!$B:$B)),0),"")</f>
        <v/>
      </c>
    </row>
    <row r="188" spans="1:31" ht="18.75" x14ac:dyDescent="0.25">
      <c r="A188" s="17"/>
      <c r="B188" s="14"/>
      <c r="AE188" s="1" t="str">
        <f ca="1">IFERROR(MATCH(A188,OFFSET(Grades!$A$1,MATCH(Rates!$B$4,LIST,0),2,1,SUMIF(Grades!$A:$A,Rates!$B$4,Grades!$B:$B)),0),"")</f>
        <v/>
      </c>
    </row>
    <row r="189" spans="1:31" ht="18.75" x14ac:dyDescent="0.25">
      <c r="A189" s="17"/>
      <c r="B189" s="14"/>
      <c r="AE189" s="1" t="str">
        <f ca="1">IFERROR(MATCH(A189,OFFSET(Grades!$A$1,MATCH(Rates!$B$4,LIST,0),2,1,SUMIF(Grades!$A:$A,Rates!$B$4,Grades!$B:$B)),0),"")</f>
        <v/>
      </c>
    </row>
    <row r="190" spans="1:31" ht="18.75" x14ac:dyDescent="0.25">
      <c r="A190" s="17"/>
      <c r="B190" s="14"/>
      <c r="AE190" s="1" t="str">
        <f ca="1">IFERROR(MATCH(A190,OFFSET(Grades!$A$1,MATCH(Rates!$B$4,LIST,0),2,1,SUMIF(Grades!$A:$A,Rates!$B$4,Grades!$B:$B)),0),"")</f>
        <v/>
      </c>
    </row>
    <row r="191" spans="1:31" ht="18.75" x14ac:dyDescent="0.25">
      <c r="A191" s="17"/>
      <c r="B191" s="14"/>
      <c r="AE191" s="1" t="str">
        <f ca="1">IFERROR(MATCH(A191,OFFSET(Grades!$A$1,MATCH(Rates!$B$4,LIST,0),2,1,SUMIF(Grades!$A:$A,Rates!$B$4,Grades!$B:$B)),0),"")</f>
        <v/>
      </c>
    </row>
    <row r="192" spans="1:31" ht="18.75" x14ac:dyDescent="0.25">
      <c r="A192" s="17"/>
      <c r="B192" s="14"/>
      <c r="AE192" s="1" t="str">
        <f ca="1">IFERROR(MATCH(A192,OFFSET(Grades!$A$1,MATCH(Rates!$B$4,LIST,0),2,1,SUMIF(Grades!$A:$A,Rates!$B$4,Grades!$B:$B)),0),"")</f>
        <v/>
      </c>
    </row>
    <row r="193" spans="1:31" ht="18.75" x14ac:dyDescent="0.25">
      <c r="A193" s="17"/>
      <c r="B193" s="14"/>
      <c r="AE193" s="1" t="str">
        <f ca="1">IFERROR(MATCH(A193,OFFSET(Grades!$A$1,MATCH(Rates!$B$4,LIST,0),2,1,SUMIF(Grades!$A:$A,Rates!$B$4,Grades!$B:$B)),0),"")</f>
        <v/>
      </c>
    </row>
    <row r="194" spans="1:31" ht="18.75" x14ac:dyDescent="0.25">
      <c r="A194" s="17"/>
      <c r="B194" s="14"/>
      <c r="AE194" s="1" t="str">
        <f ca="1">IFERROR(MATCH(A194,OFFSET(Grades!$A$1,MATCH(Rates!$B$4,LIST,0),2,1,SUMIF(Grades!$A:$A,Rates!$B$4,Grades!$B:$B)),0),"")</f>
        <v/>
      </c>
    </row>
    <row r="195" spans="1:31" ht="18.75" x14ac:dyDescent="0.25">
      <c r="A195" s="17"/>
      <c r="B195" s="14"/>
      <c r="AE195" s="1" t="str">
        <f ca="1">IFERROR(MATCH(A195,OFFSET(Grades!$A$1,MATCH(Rates!$B$4,LIST,0),2,1,SUMIF(Grades!$A:$A,Rates!$B$4,Grades!$B:$B)),0),"")</f>
        <v/>
      </c>
    </row>
    <row r="196" spans="1:31" ht="18.75" x14ac:dyDescent="0.25">
      <c r="A196" s="17"/>
      <c r="B196" s="14"/>
      <c r="AE196" s="1" t="str">
        <f ca="1">IFERROR(MATCH(A196,OFFSET(Grades!$A$1,MATCH(Rates!$B$4,LIST,0),2,1,SUMIF(Grades!$A:$A,Rates!$B$4,Grades!$B:$B)),0),"")</f>
        <v/>
      </c>
    </row>
    <row r="197" spans="1:31" ht="18.75" x14ac:dyDescent="0.25">
      <c r="A197" s="17"/>
      <c r="B197" s="14"/>
      <c r="AE197" s="1" t="str">
        <f ca="1">IFERROR(MATCH(A197,OFFSET(Grades!$A$1,MATCH(Rates!$B$4,LIST,0),2,1,SUMIF(Grades!$A:$A,Rates!$B$4,Grades!$B:$B)),0),"")</f>
        <v/>
      </c>
    </row>
    <row r="198" spans="1:31" ht="18.75" x14ac:dyDescent="0.25">
      <c r="A198" s="17"/>
      <c r="B198" s="14"/>
      <c r="AE198" s="1" t="str">
        <f ca="1">IFERROR(MATCH(A198,OFFSET(Grades!$A$1,MATCH(Rates!$B$4,LIST,0),2,1,SUMIF(Grades!$A:$A,Rates!$B$4,Grades!$B:$B)),0),"")</f>
        <v/>
      </c>
    </row>
    <row r="199" spans="1:31" ht="18.75" x14ac:dyDescent="0.25">
      <c r="A199" s="17"/>
      <c r="B199" s="14"/>
      <c r="AE199" s="1" t="str">
        <f ca="1">IFERROR(MATCH(A199,OFFSET(Grades!$A$1,MATCH(Rates!$B$4,LIST,0),2,1,SUMIF(Grades!$A:$A,Rates!$B$4,Grades!$B:$B)),0),"")</f>
        <v/>
      </c>
    </row>
    <row r="200" spans="1:31" ht="18.75" x14ac:dyDescent="0.25">
      <c r="A200" s="17"/>
      <c r="B200" s="14"/>
      <c r="AE200" s="1" t="str">
        <f ca="1">IFERROR(MATCH(A200,OFFSET(Grades!$A$1,MATCH(Rates!$B$4,LIST,0),2,1,SUMIF(Grades!$A:$A,Rates!$B$4,Grades!$B:$B)),0),"")</f>
        <v/>
      </c>
    </row>
    <row r="201" spans="1:31" ht="18.75" x14ac:dyDescent="0.25">
      <c r="A201" s="17"/>
      <c r="B201" s="14"/>
      <c r="AE201" s="1" t="str">
        <f ca="1">IFERROR(MATCH(A201,OFFSET(Grades!$A$1,MATCH(Rates!$B$4,LIST,0),2,1,SUMIF(Grades!$A:$A,Rates!$B$4,Grades!$B:$B)),0),"")</f>
        <v/>
      </c>
    </row>
    <row r="202" spans="1:31" ht="18.75" x14ac:dyDescent="0.25">
      <c r="A202" s="17"/>
      <c r="B202" s="14"/>
      <c r="AE202" s="1" t="str">
        <f ca="1">IFERROR(MATCH(A202,OFFSET(Grades!$A$1,MATCH(Rates!$B$4,LIST,0),2,1,SUMIF(Grades!$A:$A,Rates!$B$4,Grades!$B:$B)),0),"")</f>
        <v/>
      </c>
    </row>
    <row r="203" spans="1:31" ht="18.75" x14ac:dyDescent="0.25">
      <c r="A203" s="17"/>
      <c r="B203" s="14"/>
      <c r="AE203" s="1" t="str">
        <f ca="1">IFERROR(MATCH(A203,OFFSET(Grades!$A$1,MATCH(Rates!$B$4,LIST,0),2,1,SUMIF(Grades!$A:$A,Rates!$B$4,Grades!$B:$B)),0),"")</f>
        <v/>
      </c>
    </row>
    <row r="204" spans="1:31" ht="18.75" x14ac:dyDescent="0.25">
      <c r="A204" s="17"/>
      <c r="B204" s="14"/>
      <c r="AE204" s="1" t="str">
        <f ca="1">IFERROR(MATCH(A204,OFFSET(Grades!$A$1,MATCH(Rates!$B$4,LIST,0),2,1,SUMIF(Grades!$A:$A,Rates!$B$4,Grades!$B:$B)),0),"")</f>
        <v/>
      </c>
    </row>
    <row r="205" spans="1:31" ht="18.75" x14ac:dyDescent="0.25">
      <c r="A205" s="17"/>
      <c r="B205" s="14"/>
      <c r="AE205" s="1" t="str">
        <f ca="1">IFERROR(MATCH(A205,OFFSET(Grades!$A$1,MATCH(Rates!$B$4,LIST,0),2,1,SUMIF(Grades!$A:$A,Rates!$B$4,Grades!$B:$B)),0),"")</f>
        <v/>
      </c>
    </row>
    <row r="206" spans="1:31" ht="18.75" x14ac:dyDescent="0.25">
      <c r="A206" s="17"/>
      <c r="B206" s="14"/>
      <c r="AE206" s="1" t="str">
        <f ca="1">IFERROR(MATCH(A206,OFFSET(Grades!$A$1,MATCH(Rates!$B$4,LIST,0),2,1,SUMIF(Grades!$A:$A,Rates!$B$4,Grades!$B:$B)),0),"")</f>
        <v/>
      </c>
    </row>
    <row r="207" spans="1:31" ht="18.75" x14ac:dyDescent="0.25">
      <c r="A207" s="17"/>
      <c r="B207" s="14"/>
      <c r="AE207" s="1" t="str">
        <f ca="1">IFERROR(MATCH(A207,OFFSET(Grades!$A$1,MATCH(Rates!$B$4,LIST,0),2,1,SUMIF(Grades!$A:$A,Rates!$B$4,Grades!$B:$B)),0),"")</f>
        <v/>
      </c>
    </row>
    <row r="208" spans="1:31" ht="18.75" x14ac:dyDescent="0.25">
      <c r="A208" s="17"/>
      <c r="B208" s="14"/>
      <c r="AE208" s="1" t="str">
        <f ca="1">IFERROR(MATCH(A208,OFFSET(Grades!$A$1,MATCH(Rates!$B$4,LIST,0),2,1,SUMIF(Grades!$A:$A,Rates!$B$4,Grades!$B:$B)),0),"")</f>
        <v/>
      </c>
    </row>
    <row r="209" spans="1:31" ht="18.75" x14ac:dyDescent="0.25">
      <c r="A209" s="17"/>
      <c r="B209" s="14"/>
      <c r="AE209" s="1" t="str">
        <f ca="1">IFERROR(MATCH(A209,OFFSET(Grades!$A$1,MATCH(Rates!$B$4,LIST,0),2,1,SUMIF(Grades!$A:$A,Rates!$B$4,Grades!$B:$B)),0),"")</f>
        <v/>
      </c>
    </row>
    <row r="210" spans="1:31" ht="18.75" x14ac:dyDescent="0.25">
      <c r="A210" s="17"/>
      <c r="B210" s="14"/>
      <c r="AE210" s="1" t="str">
        <f ca="1">IFERROR(MATCH(A210,OFFSET(Grades!$A$1,MATCH(Rates!$B$4,LIST,0),2,1,SUMIF(Grades!$A:$A,Rates!$B$4,Grades!$B:$B)),0),"")</f>
        <v/>
      </c>
    </row>
    <row r="211" spans="1:31" ht="18.75" x14ac:dyDescent="0.25">
      <c r="A211" s="17"/>
      <c r="B211" s="14"/>
      <c r="AE211" s="1" t="str">
        <f ca="1">IFERROR(MATCH(A211,OFFSET(Grades!$A$1,MATCH(Rates!$B$4,LIST,0),2,1,SUMIF(Grades!$A:$A,Rates!$B$4,Grades!$B:$B)),0),"")</f>
        <v/>
      </c>
    </row>
    <row r="212" spans="1:31" ht="18.75" x14ac:dyDescent="0.25">
      <c r="A212" s="17"/>
      <c r="B212" s="14"/>
      <c r="AE212" s="1" t="str">
        <f ca="1">IFERROR(MATCH(A212,OFFSET(Grades!$A$1,MATCH(Rates!$B$4,LIST,0),2,1,SUMIF(Grades!$A:$A,Rates!$B$4,Grades!$B:$B)),0),"")</f>
        <v/>
      </c>
    </row>
    <row r="213" spans="1:31" ht="18.75" x14ac:dyDescent="0.25">
      <c r="A213" s="17"/>
      <c r="B213" s="14"/>
      <c r="AE213" s="1" t="str">
        <f ca="1">IFERROR(MATCH(A213,OFFSET(Grades!$A$1,MATCH(Rates!$B$4,LIST,0),2,1,SUMIF(Grades!$A:$A,Rates!$B$4,Grades!$B:$B)),0),"")</f>
        <v/>
      </c>
    </row>
    <row r="214" spans="1:31" ht="18.75" x14ac:dyDescent="0.25">
      <c r="A214" s="17"/>
      <c r="B214" s="14"/>
      <c r="AE214" s="1" t="str">
        <f ca="1">IFERROR(MATCH(A214,OFFSET(Grades!$A$1,MATCH(Rates!$B$4,LIST,0),2,1,SUMIF(Grades!$A:$A,Rates!$B$4,Grades!$B:$B)),0),"")</f>
        <v/>
      </c>
    </row>
    <row r="215" spans="1:31" ht="18.75" x14ac:dyDescent="0.25">
      <c r="A215" s="17"/>
      <c r="B215" s="14"/>
      <c r="AE215" s="1" t="str">
        <f ca="1">IFERROR(MATCH(A215,OFFSET(Grades!$A$1,MATCH(Rates!$B$4,LIST,0),2,1,SUMIF(Grades!$A:$A,Rates!$B$4,Grades!$B:$B)),0),"")</f>
        <v/>
      </c>
    </row>
    <row r="216" spans="1:31" ht="18.75" x14ac:dyDescent="0.25">
      <c r="A216" s="17"/>
      <c r="B216" s="14"/>
      <c r="AE216" s="1" t="str">
        <f ca="1">IFERROR(MATCH(A216,OFFSET(Grades!$A$1,MATCH(Rates!$B$4,LIST,0),2,1,SUMIF(Grades!$A:$A,Rates!$B$4,Grades!$B:$B)),0),"")</f>
        <v/>
      </c>
    </row>
    <row r="217" spans="1:31" ht="18.75" x14ac:dyDescent="0.25">
      <c r="A217" s="17"/>
      <c r="B217" s="14"/>
      <c r="AE217" s="1" t="str">
        <f ca="1">IFERROR(MATCH(A217,OFFSET(Grades!$A$1,MATCH(Rates!$B$4,LIST,0),2,1,SUMIF(Grades!$A:$A,Rates!$B$4,Grades!$B:$B)),0),"")</f>
        <v/>
      </c>
    </row>
    <row r="218" spans="1:31" ht="18.75" x14ac:dyDescent="0.25">
      <c r="A218" s="17"/>
      <c r="B218" s="14"/>
      <c r="AE218" s="1" t="str">
        <f ca="1">IFERROR(MATCH(A218,OFFSET(Grades!$A$1,MATCH(Rates!$B$4,LIST,0),2,1,SUMIF(Grades!$A:$A,Rates!$B$4,Grades!$B:$B)),0),"")</f>
        <v/>
      </c>
    </row>
    <row r="219" spans="1:31" ht="18.75" x14ac:dyDescent="0.25">
      <c r="A219" s="17"/>
      <c r="B219" s="14"/>
      <c r="AE219" s="1" t="str">
        <f ca="1">IFERROR(MATCH(A219,OFFSET(Grades!$A$1,MATCH(Rates!$B$4,LIST,0),2,1,SUMIF(Grades!$A:$A,Rates!$B$4,Grades!$B:$B)),0),"")</f>
        <v/>
      </c>
    </row>
    <row r="220" spans="1:31" ht="18.75" x14ac:dyDescent="0.25">
      <c r="A220" s="17"/>
      <c r="B220" s="14"/>
      <c r="AE220" s="1" t="str">
        <f ca="1">IFERROR(MATCH(A220,OFFSET(Grades!$A$1,MATCH(Rates!$B$4,LIST,0),2,1,SUMIF(Grades!$A:$A,Rates!$B$4,Grades!$B:$B)),0),"")</f>
        <v/>
      </c>
    </row>
    <row r="221" spans="1:31" ht="18.75" x14ac:dyDescent="0.25">
      <c r="A221" s="17"/>
      <c r="B221" s="14"/>
      <c r="AE221" s="1" t="str">
        <f ca="1">IFERROR(MATCH(A221,OFFSET(Grades!$A$1,MATCH(Rates!$B$4,LIST,0),2,1,SUMIF(Grades!$A:$A,Rates!$B$4,Grades!$B:$B)),0),"")</f>
        <v/>
      </c>
    </row>
    <row r="222" spans="1:31" ht="18.75" x14ac:dyDescent="0.25">
      <c r="A222" s="17"/>
      <c r="B222" s="14"/>
      <c r="AE222" s="1" t="str">
        <f ca="1">IFERROR(MATCH(A222,OFFSET(Grades!$A$1,MATCH(Rates!$B$4,LIST,0),2,1,SUMIF(Grades!$A:$A,Rates!$B$4,Grades!$B:$B)),0),"")</f>
        <v/>
      </c>
    </row>
    <row r="223" spans="1:31" ht="18.75" x14ac:dyDescent="0.25">
      <c r="A223" s="17"/>
      <c r="B223" s="14"/>
      <c r="AE223" s="1" t="str">
        <f ca="1">IFERROR(MATCH(A223,OFFSET(Grades!$A$1,MATCH(Rates!$B$4,LIST,0),2,1,SUMIF(Grades!$A:$A,Rates!$B$4,Grades!$B:$B)),0),"")</f>
        <v/>
      </c>
    </row>
    <row r="224" spans="1:31" ht="18.75" x14ac:dyDescent="0.25">
      <c r="A224" s="17"/>
      <c r="B224" s="14"/>
      <c r="AE224" s="1" t="str">
        <f ca="1">IFERROR(MATCH(A224,OFFSET(Grades!$A$1,MATCH(Rates!$B$4,LIST,0),2,1,SUMIF(Grades!$A:$A,Rates!$B$4,Grades!$B:$B)),0),"")</f>
        <v/>
      </c>
    </row>
    <row r="225" spans="1:31" ht="18.75" x14ac:dyDescent="0.25">
      <c r="A225" s="17"/>
      <c r="B225" s="14"/>
      <c r="AE225" s="1" t="str">
        <f ca="1">IFERROR(MATCH(A225,OFFSET(Grades!$A$1,MATCH(Rates!$B$4,LIST,0),2,1,SUMIF(Grades!$A:$A,Rates!$B$4,Grades!$B:$B)),0),"")</f>
        <v/>
      </c>
    </row>
    <row r="226" spans="1:31" ht="18.75" x14ac:dyDescent="0.25">
      <c r="A226" s="17"/>
      <c r="B226" s="14"/>
      <c r="AE226" s="1" t="str">
        <f ca="1">IFERROR(MATCH(A226,OFFSET(Grades!$A$1,MATCH(Rates!$B$4,LIST,0),2,1,SUMIF(Grades!$A:$A,Rates!$B$4,Grades!$B:$B)),0),"")</f>
        <v/>
      </c>
    </row>
    <row r="227" spans="1:31" ht="18.75" x14ac:dyDescent="0.25">
      <c r="A227" s="17"/>
      <c r="B227" s="14"/>
      <c r="AE227" s="1" t="str">
        <f ca="1">IFERROR(MATCH(A227,OFFSET(Grades!$A$1,MATCH(Rates!$B$4,LIST,0),2,1,SUMIF(Grades!$A:$A,Rates!$B$4,Grades!$B:$B)),0),"")</f>
        <v/>
      </c>
    </row>
    <row r="228" spans="1:31" ht="18.75" x14ac:dyDescent="0.25">
      <c r="A228" s="17"/>
      <c r="B228" s="14"/>
      <c r="AE228" s="1" t="str">
        <f ca="1">IFERROR(MATCH(A228,OFFSET(Grades!$A$1,MATCH(Rates!$B$4,LIST,0),2,1,SUMIF(Grades!$A:$A,Rates!$B$4,Grades!$B:$B)),0),"")</f>
        <v/>
      </c>
    </row>
    <row r="229" spans="1:31" ht="18.75" x14ac:dyDescent="0.25">
      <c r="A229" s="17"/>
      <c r="B229" s="14"/>
      <c r="AE229" s="1" t="str">
        <f ca="1">IFERROR(MATCH(A229,OFFSET(Grades!$A$1,MATCH(Rates!$B$4,LIST,0),2,1,SUMIF(Grades!$A:$A,Rates!$B$4,Grades!$B:$B)),0),"")</f>
        <v/>
      </c>
    </row>
    <row r="230" spans="1:31" ht="18.75" x14ac:dyDescent="0.25">
      <c r="A230" s="17"/>
      <c r="B230" s="14"/>
      <c r="AE230" s="1" t="str">
        <f ca="1">IFERROR(MATCH(A230,OFFSET(Grades!$A$1,MATCH(Rates!$B$4,LIST,0),2,1,SUMIF(Grades!$A:$A,Rates!$B$4,Grades!$B:$B)),0),"")</f>
        <v/>
      </c>
    </row>
    <row r="231" spans="1:31" ht="18.75" x14ac:dyDescent="0.25">
      <c r="A231" s="17"/>
      <c r="B231" s="14"/>
      <c r="AE231" s="1" t="str">
        <f ca="1">IFERROR(MATCH(A231,OFFSET(Grades!$A$1,MATCH(Rates!$B$4,LIST,0),2,1,SUMIF(Grades!$A:$A,Rates!$B$4,Grades!$B:$B)),0),"")</f>
        <v/>
      </c>
    </row>
    <row r="232" spans="1:31" ht="18.75" x14ac:dyDescent="0.25">
      <c r="A232" s="17"/>
      <c r="B232" s="14"/>
      <c r="AE232" s="1" t="str">
        <f ca="1">IFERROR(MATCH(A232,OFFSET(Grades!$A$1,MATCH(Rates!$B$4,LIST,0),2,1,SUMIF(Grades!$A:$A,Rates!$B$4,Grades!$B:$B)),0),"")</f>
        <v/>
      </c>
    </row>
    <row r="233" spans="1:31" ht="18.75" x14ac:dyDescent="0.25">
      <c r="A233" s="17"/>
      <c r="B233" s="14"/>
      <c r="AE233" s="1" t="str">
        <f ca="1">IFERROR(MATCH(A233,OFFSET(Grades!$A$1,MATCH(Rates!$B$4,LIST,0),2,1,SUMIF(Grades!$A:$A,Rates!$B$4,Grades!$B:$B)),0),"")</f>
        <v/>
      </c>
    </row>
    <row r="234" spans="1:31" ht="18.75" x14ac:dyDescent="0.25">
      <c r="A234" s="17"/>
      <c r="B234" s="14"/>
      <c r="AE234" s="1" t="str">
        <f ca="1">IFERROR(MATCH(A234,OFFSET(Grades!$A$1,MATCH(Rates!$B$4,LIST,0),2,1,SUMIF(Grades!$A:$A,Rates!$B$4,Grades!$B:$B)),0),"")</f>
        <v/>
      </c>
    </row>
    <row r="235" spans="1:31" ht="18.75" x14ac:dyDescent="0.25">
      <c r="A235" s="17"/>
      <c r="B235" s="14"/>
      <c r="AE235" s="1" t="str">
        <f ca="1">IFERROR(MATCH(A235,OFFSET(Grades!$A$1,MATCH(Rates!$B$4,LIST,0),2,1,SUMIF(Grades!$A:$A,Rates!$B$4,Grades!$B:$B)),0),"")</f>
        <v/>
      </c>
    </row>
    <row r="236" spans="1:31" ht="18.75" x14ac:dyDescent="0.25">
      <c r="A236" s="17"/>
      <c r="B236" s="14"/>
      <c r="AE236" s="1" t="str">
        <f ca="1">IFERROR(MATCH(A236,OFFSET(Grades!$A$1,MATCH(Rates!$B$4,LIST,0),2,1,SUMIF(Grades!$A:$A,Rates!$B$4,Grades!$B:$B)),0),"")</f>
        <v/>
      </c>
    </row>
    <row r="237" spans="1:31" ht="18.75" x14ac:dyDescent="0.25">
      <c r="A237" s="17"/>
      <c r="B237" s="14"/>
      <c r="AE237" s="1" t="str">
        <f ca="1">IFERROR(MATCH(A237,OFFSET(Grades!$A$1,MATCH(Rates!$B$4,LIST,0),2,1,SUMIF(Grades!$A:$A,Rates!$B$4,Grades!$B:$B)),0),"")</f>
        <v/>
      </c>
    </row>
    <row r="238" spans="1:31" ht="18.75" x14ac:dyDescent="0.25">
      <c r="A238" s="17"/>
      <c r="B238" s="14"/>
      <c r="AE238" s="1" t="str">
        <f ca="1">IFERROR(MATCH(A238,OFFSET(Grades!$A$1,MATCH(Rates!$B$4,LIST,0),2,1,SUMIF(Grades!$A:$A,Rates!$B$4,Grades!$B:$B)),0),"")</f>
        <v/>
      </c>
    </row>
    <row r="239" spans="1:31" ht="18.75" x14ac:dyDescent="0.25">
      <c r="A239" s="17"/>
      <c r="B239" s="14"/>
      <c r="AE239" s="1" t="str">
        <f ca="1">IFERROR(MATCH(A239,OFFSET(Grades!$A$1,MATCH(Rates!$B$4,LIST,0),2,1,SUMIF(Grades!$A:$A,Rates!$B$4,Grades!$B:$B)),0),"")</f>
        <v/>
      </c>
    </row>
    <row r="240" spans="1:31" ht="18.75" x14ac:dyDescent="0.25">
      <c r="A240" s="17"/>
      <c r="B240" s="14"/>
      <c r="AE240" s="1" t="str">
        <f ca="1">IFERROR(MATCH(A240,OFFSET(Grades!$A$1,MATCH(Rates!$B$4,LIST,0),2,1,SUMIF(Grades!$A:$A,Rates!$B$4,Grades!$B:$B)),0),"")</f>
        <v/>
      </c>
    </row>
    <row r="241" spans="1:31" ht="18.75" x14ac:dyDescent="0.25">
      <c r="A241" s="17"/>
      <c r="B241" s="14"/>
      <c r="AE241" s="1" t="str">
        <f ca="1">IFERROR(MATCH(A241,OFFSET(Grades!$A$1,MATCH(Rates!$B$4,LIST,0),2,1,SUMIF(Grades!$A:$A,Rates!$B$4,Grades!$B:$B)),0),"")</f>
        <v/>
      </c>
    </row>
    <row r="242" spans="1:31" ht="18.75" x14ac:dyDescent="0.25">
      <c r="A242" s="17"/>
      <c r="B242" s="14"/>
      <c r="AE242" s="1" t="str">
        <f ca="1">IFERROR(MATCH(A242,OFFSET(Grades!$A$1,MATCH(Rates!$B$4,LIST,0),2,1,SUMIF(Grades!$A:$A,Rates!$B$4,Grades!$B:$B)),0),"")</f>
        <v/>
      </c>
    </row>
    <row r="243" spans="1:31" ht="18.75" x14ac:dyDescent="0.25">
      <c r="A243" s="17"/>
      <c r="B243" s="14"/>
      <c r="AE243" s="1" t="str">
        <f ca="1">IFERROR(MATCH(A243,OFFSET(Grades!$A$1,MATCH(Rates!$B$4,LIST,0),2,1,SUMIF(Grades!$A:$A,Rates!$B$4,Grades!$B:$B)),0),"")</f>
        <v/>
      </c>
    </row>
    <row r="244" spans="1:31" ht="18.75" x14ac:dyDescent="0.25">
      <c r="A244" s="17"/>
      <c r="B244" s="14"/>
      <c r="AE244" s="1" t="str">
        <f ca="1">IFERROR(MATCH(A244,OFFSET(Grades!$A$1,MATCH(Rates!$B$4,LIST,0),2,1,SUMIF(Grades!$A:$A,Rates!$B$4,Grades!$B:$B)),0),"")</f>
        <v/>
      </c>
    </row>
    <row r="245" spans="1:31" ht="18.75" x14ac:dyDescent="0.25">
      <c r="A245" s="17"/>
      <c r="B245" s="14"/>
      <c r="AE245" s="1" t="str">
        <f ca="1">IFERROR(MATCH(A245,OFFSET(Grades!$A$1,MATCH(Rates!$B$4,LIST,0),2,1,SUMIF(Grades!$A:$A,Rates!$B$4,Grades!$B:$B)),0),"")</f>
        <v/>
      </c>
    </row>
    <row r="246" spans="1:31" ht="18.75" x14ac:dyDescent="0.25">
      <c r="A246" s="17"/>
      <c r="B246" s="14"/>
      <c r="AE246" s="1" t="str">
        <f ca="1">IFERROR(MATCH(A246,OFFSET(Grades!$A$1,MATCH(Rates!$B$4,LIST,0),2,1,SUMIF(Grades!$A:$A,Rates!$B$4,Grades!$B:$B)),0),"")</f>
        <v/>
      </c>
    </row>
    <row r="247" spans="1:31" ht="18.75" x14ac:dyDescent="0.25">
      <c r="A247" s="17"/>
      <c r="B247" s="14"/>
      <c r="AE247" s="1" t="str">
        <f ca="1">IFERROR(MATCH(A247,OFFSET(Grades!$A$1,MATCH(Rates!$B$4,LIST,0),2,1,SUMIF(Grades!$A:$A,Rates!$B$4,Grades!$B:$B)),0),"")</f>
        <v/>
      </c>
    </row>
    <row r="248" spans="1:31" ht="18.75" x14ac:dyDescent="0.25">
      <c r="A248" s="17"/>
      <c r="B248" s="14"/>
      <c r="AE248" s="1" t="str">
        <f ca="1">IFERROR(MATCH(A248,OFFSET(Grades!$A$1,MATCH(Rates!$B$4,LIST,0),2,1,SUMIF(Grades!$A:$A,Rates!$B$4,Grades!$B:$B)),0),"")</f>
        <v/>
      </c>
    </row>
    <row r="249" spans="1:31" ht="18.75" x14ac:dyDescent="0.25">
      <c r="A249" s="17"/>
      <c r="B249" s="14"/>
      <c r="AE249" s="1" t="str">
        <f ca="1">IFERROR(MATCH(A249,OFFSET(Grades!$A$1,MATCH(Rates!$B$4,LIST,0),2,1,SUMIF(Grades!$A:$A,Rates!$B$4,Grades!$B:$B)),0),"")</f>
        <v/>
      </c>
    </row>
    <row r="250" spans="1:31" ht="18.75" x14ac:dyDescent="0.25">
      <c r="A250" s="17"/>
      <c r="B250" s="14"/>
      <c r="AE250" s="1" t="str">
        <f ca="1">IFERROR(MATCH(A250,OFFSET(Grades!$A$1,MATCH(Rates!$B$4,LIST,0),2,1,SUMIF(Grades!$A:$A,Rates!$B$4,Grades!$B:$B)),0),"")</f>
        <v/>
      </c>
    </row>
    <row r="251" spans="1:31" ht="18.75" x14ac:dyDescent="0.25">
      <c r="A251" s="17"/>
      <c r="B251" s="14"/>
      <c r="AE251" s="1" t="str">
        <f ca="1">IFERROR(MATCH(A251,OFFSET(Grades!$A$1,MATCH(Rates!$B$4,LIST,0),2,1,SUMIF(Grades!$A:$A,Rates!$B$4,Grades!$B:$B)),0),"")</f>
        <v/>
      </c>
    </row>
    <row r="252" spans="1:31" ht="18.75" x14ac:dyDescent="0.25">
      <c r="A252" s="17"/>
      <c r="B252" s="14"/>
      <c r="AE252" s="1" t="str">
        <f ca="1">IFERROR(MATCH(A252,OFFSET(Grades!$A$1,MATCH(Rates!$B$4,LIST,0),2,1,SUMIF(Grades!$A:$A,Rates!$B$4,Grades!$B:$B)),0),"")</f>
        <v/>
      </c>
    </row>
    <row r="253" spans="1:31" ht="18.75" x14ac:dyDescent="0.25">
      <c r="A253" s="17"/>
      <c r="B253" s="14"/>
      <c r="AE253" s="1" t="str">
        <f ca="1">IFERROR(MATCH(A253,OFFSET(Grades!$A$1,MATCH(Rates!$B$4,LIST,0),2,1,SUMIF(Grades!$A:$A,Rates!$B$4,Grades!$B:$B)),0),"")</f>
        <v/>
      </c>
    </row>
    <row r="254" spans="1:31" ht="18.75" x14ac:dyDescent="0.25">
      <c r="A254" s="17"/>
      <c r="B254" s="14"/>
      <c r="AE254" s="1" t="str">
        <f ca="1">IFERROR(MATCH(A254,OFFSET(Grades!$A$1,MATCH(Rates!$B$4,LIST,0),2,1,SUMIF(Grades!$A:$A,Rates!$B$4,Grades!$B:$B)),0),"")</f>
        <v/>
      </c>
    </row>
    <row r="255" spans="1:31" ht="18.75" x14ac:dyDescent="0.25">
      <c r="A255" s="17"/>
      <c r="B255" s="14"/>
      <c r="AE255" s="1" t="str">
        <f ca="1">IFERROR(MATCH(A255,OFFSET(Grades!$A$1,MATCH(Rates!$B$4,LIST,0),2,1,SUMIF(Grades!$A:$A,Rates!$B$4,Grades!$B:$B)),0),"")</f>
        <v/>
      </c>
    </row>
    <row r="256" spans="1:31" ht="18.75" x14ac:dyDescent="0.25">
      <c r="A256" s="17"/>
      <c r="B256" s="14"/>
      <c r="AE256" s="1" t="str">
        <f ca="1">IFERROR(MATCH(A256,OFFSET(Grades!$A$1,MATCH(Rates!$B$4,LIST,0),2,1,SUMIF(Grades!$A:$A,Rates!$B$4,Grades!$B:$B)),0),"")</f>
        <v/>
      </c>
    </row>
    <row r="257" spans="1:31" ht="18.75" x14ac:dyDescent="0.25">
      <c r="A257" s="17"/>
      <c r="B257" s="14"/>
      <c r="AE257" s="1" t="str">
        <f ca="1">IFERROR(MATCH(A257,OFFSET(Grades!$A$1,MATCH(Rates!$B$4,LIST,0),2,1,SUMIF(Grades!$A:$A,Rates!$B$4,Grades!$B:$B)),0),"")</f>
        <v/>
      </c>
    </row>
    <row r="258" spans="1:31" ht="18.75" x14ac:dyDescent="0.25">
      <c r="A258" s="17"/>
      <c r="B258" s="14"/>
      <c r="AE258" s="1" t="str">
        <f ca="1">IFERROR(MATCH(A258,OFFSET(Grades!$A$1,MATCH(Rates!$B$4,LIST,0),2,1,SUMIF(Grades!$A:$A,Rates!$B$4,Grades!$B:$B)),0),"")</f>
        <v/>
      </c>
    </row>
    <row r="259" spans="1:31" ht="18.75" x14ac:dyDescent="0.25">
      <c r="A259" s="17"/>
      <c r="B259" s="14"/>
      <c r="AE259" s="1" t="str">
        <f ca="1">IFERROR(MATCH(A259,OFFSET(Grades!$A$1,MATCH(Rates!$B$4,LIST,0),2,1,SUMIF(Grades!$A:$A,Rates!$B$4,Grades!$B:$B)),0),"")</f>
        <v/>
      </c>
    </row>
    <row r="260" spans="1:31" ht="18.75" x14ac:dyDescent="0.25">
      <c r="A260" s="17"/>
      <c r="B260" s="14"/>
      <c r="AE260" s="1" t="str">
        <f ca="1">IFERROR(MATCH(A260,OFFSET(Grades!$A$1,MATCH(Rates!$B$4,LIST,0),2,1,SUMIF(Grades!$A:$A,Rates!$B$4,Grades!$B:$B)),0),"")</f>
        <v/>
      </c>
    </row>
    <row r="261" spans="1:31" ht="18.75" x14ac:dyDescent="0.25">
      <c r="A261" s="17"/>
      <c r="B261" s="14"/>
      <c r="AE261" s="1" t="str">
        <f ca="1">IFERROR(MATCH(A261,OFFSET(Grades!$A$1,MATCH(Rates!$B$4,LIST,0),2,1,SUMIF(Grades!$A:$A,Rates!$B$4,Grades!$B:$B)),0),"")</f>
        <v/>
      </c>
    </row>
    <row r="262" spans="1:31" ht="18.75" x14ac:dyDescent="0.25">
      <c r="A262" s="17"/>
      <c r="B262" s="14"/>
      <c r="AE262" s="1" t="str">
        <f ca="1">IFERROR(MATCH(A262,OFFSET(Grades!$A$1,MATCH(Rates!$B$4,LIST,0),2,1,SUMIF(Grades!$A:$A,Rates!$B$4,Grades!$B:$B)),0),"")</f>
        <v/>
      </c>
    </row>
    <row r="263" spans="1:31" ht="18.75" x14ac:dyDescent="0.25">
      <c r="A263" s="17"/>
      <c r="B263" s="14"/>
      <c r="AE263" s="1" t="str">
        <f ca="1">IFERROR(MATCH(A263,OFFSET(Grades!$A$1,MATCH(Rates!$B$4,LIST,0),2,1,SUMIF(Grades!$A:$A,Rates!$B$4,Grades!$B:$B)),0),"")</f>
        <v/>
      </c>
    </row>
    <row r="264" spans="1:31" ht="18.75" x14ac:dyDescent="0.25">
      <c r="A264" s="17"/>
      <c r="B264" s="14"/>
      <c r="AE264" s="1" t="str">
        <f ca="1">IFERROR(MATCH(A264,OFFSET(Grades!$A$1,MATCH(Rates!$B$4,LIST,0),2,1,SUMIF(Grades!$A:$A,Rates!$B$4,Grades!$B:$B)),0),"")</f>
        <v/>
      </c>
    </row>
    <row r="265" spans="1:31" ht="18.75" x14ac:dyDescent="0.25">
      <c r="A265" s="17"/>
      <c r="B265" s="14"/>
      <c r="AE265" s="1" t="str">
        <f ca="1">IFERROR(MATCH(A265,OFFSET(Grades!$A$1,MATCH(Rates!$B$4,LIST,0),2,1,SUMIF(Grades!$A:$A,Rates!$B$4,Grades!$B:$B)),0),"")</f>
        <v/>
      </c>
    </row>
    <row r="266" spans="1:31" ht="18.75" x14ac:dyDescent="0.25">
      <c r="A266" s="17"/>
      <c r="B266" s="14"/>
      <c r="AE266" s="1" t="str">
        <f ca="1">IFERROR(MATCH(A266,OFFSET(Grades!$A$1,MATCH(Rates!$B$4,LIST,0),2,1,SUMIF(Grades!$A:$A,Rates!$B$4,Grades!$B:$B)),0),"")</f>
        <v/>
      </c>
    </row>
    <row r="267" spans="1:31" ht="18.75" x14ac:dyDescent="0.25">
      <c r="A267" s="17"/>
      <c r="B267" s="14"/>
      <c r="AE267" s="1" t="str">
        <f ca="1">IFERROR(MATCH(A267,OFFSET(Grades!$A$1,MATCH(Rates!$B$4,LIST,0),2,1,SUMIF(Grades!$A:$A,Rates!$B$4,Grades!$B:$B)),0),"")</f>
        <v/>
      </c>
    </row>
    <row r="268" spans="1:31" ht="18.75" x14ac:dyDescent="0.25">
      <c r="A268" s="17"/>
      <c r="B268" s="14"/>
      <c r="AE268" s="1" t="str">
        <f ca="1">IFERROR(MATCH(A268,OFFSET(Grades!$A$1,MATCH(Rates!$B$4,LIST,0),2,1,SUMIF(Grades!$A:$A,Rates!$B$4,Grades!$B:$B)),0),"")</f>
        <v/>
      </c>
    </row>
    <row r="269" spans="1:31" ht="18.75" x14ac:dyDescent="0.25">
      <c r="A269" s="17"/>
      <c r="B269" s="14"/>
      <c r="AE269" s="1" t="str">
        <f ca="1">IFERROR(MATCH(A269,OFFSET(Grades!$A$1,MATCH(Rates!$B$4,LIST,0),2,1,SUMIF(Grades!$A:$A,Rates!$B$4,Grades!$B:$B)),0),"")</f>
        <v/>
      </c>
    </row>
    <row r="270" spans="1:31" ht="18.75" x14ac:dyDescent="0.25">
      <c r="A270" s="17"/>
      <c r="B270" s="14"/>
      <c r="AE270" s="1" t="str">
        <f ca="1">IFERROR(MATCH(A270,OFFSET(Grades!$A$1,MATCH(Rates!$B$4,LIST,0),2,1,SUMIF(Grades!$A:$A,Rates!$B$4,Grades!$B:$B)),0),"")</f>
        <v/>
      </c>
    </row>
    <row r="271" spans="1:31" ht="18.75" x14ac:dyDescent="0.25">
      <c r="A271" s="17"/>
      <c r="B271" s="14"/>
      <c r="AE271" s="1" t="str">
        <f ca="1">IFERROR(MATCH(A271,OFFSET(Grades!$A$1,MATCH(Rates!$B$4,LIST,0),2,1,SUMIF(Grades!$A:$A,Rates!$B$4,Grades!$B:$B)),0),"")</f>
        <v/>
      </c>
    </row>
    <row r="272" spans="1:31" ht="18.75" x14ac:dyDescent="0.25">
      <c r="A272" s="17"/>
      <c r="B272" s="14"/>
      <c r="AE272" s="1" t="str">
        <f ca="1">IFERROR(MATCH(A272,OFFSET(Grades!$A$1,MATCH(Rates!$B$4,LIST,0),2,1,SUMIF(Grades!$A:$A,Rates!$B$4,Grades!$B:$B)),0),"")</f>
        <v/>
      </c>
    </row>
    <row r="273" spans="1:31" ht="18.75" x14ac:dyDescent="0.25">
      <c r="A273" s="17"/>
      <c r="B273" s="14"/>
      <c r="AE273" s="1" t="str">
        <f ca="1">IFERROR(MATCH(A273,OFFSET(Grades!$A$1,MATCH(Rates!$B$4,LIST,0),2,1,SUMIF(Grades!$A:$A,Rates!$B$4,Grades!$B:$B)),0),"")</f>
        <v/>
      </c>
    </row>
    <row r="274" spans="1:31" ht="18.75" x14ac:dyDescent="0.25">
      <c r="A274" s="17"/>
      <c r="B274" s="14"/>
      <c r="AE274" s="1" t="str">
        <f ca="1">IFERROR(MATCH(A274,OFFSET(Grades!$A$1,MATCH(Rates!$B$4,LIST,0),2,1,SUMIF(Grades!$A:$A,Rates!$B$4,Grades!$B:$B)),0),"")</f>
        <v/>
      </c>
    </row>
    <row r="275" spans="1:31" ht="18.75" x14ac:dyDescent="0.25">
      <c r="A275" s="17"/>
      <c r="B275" s="14"/>
      <c r="AE275" s="1" t="str">
        <f ca="1">IFERROR(MATCH(A275,OFFSET(Grades!$A$1,MATCH(Rates!$B$4,LIST,0),2,1,SUMIF(Grades!$A:$A,Rates!$B$4,Grades!$B:$B)),0),"")</f>
        <v/>
      </c>
    </row>
    <row r="276" spans="1:31" ht="18.75" x14ac:dyDescent="0.25">
      <c r="A276" s="17"/>
      <c r="B276" s="14"/>
      <c r="AE276" s="1" t="str">
        <f ca="1">IFERROR(MATCH(A276,OFFSET(Grades!$A$1,MATCH(Rates!$B$4,LIST,0),2,1,SUMIF(Grades!$A:$A,Rates!$B$4,Grades!$B:$B)),0),"")</f>
        <v/>
      </c>
    </row>
    <row r="277" spans="1:31" ht="18.75" x14ac:dyDescent="0.25">
      <c r="A277" s="17"/>
      <c r="B277" s="14"/>
      <c r="AE277" s="1" t="str">
        <f ca="1">IFERROR(MATCH(A277,OFFSET(Grades!$A$1,MATCH(Rates!$B$4,LIST,0),2,1,SUMIF(Grades!$A:$A,Rates!$B$4,Grades!$B:$B)),0),"")</f>
        <v/>
      </c>
    </row>
    <row r="278" spans="1:31" ht="18.75" x14ac:dyDescent="0.25">
      <c r="A278" s="17"/>
      <c r="B278" s="14"/>
      <c r="AE278" s="1" t="str">
        <f ca="1">IFERROR(MATCH(A278,OFFSET(Grades!$A$1,MATCH(Rates!$B$4,LIST,0),2,1,SUMIF(Grades!$A:$A,Rates!$B$4,Grades!$B:$B)),0),"")</f>
        <v/>
      </c>
    </row>
    <row r="279" spans="1:31" ht="18.75" x14ac:dyDescent="0.25">
      <c r="A279" s="17"/>
      <c r="B279" s="14"/>
      <c r="AE279" s="1" t="str">
        <f ca="1">IFERROR(MATCH(A279,OFFSET(Grades!$A$1,MATCH(Rates!$B$4,LIST,0),2,1,SUMIF(Grades!$A:$A,Rates!$B$4,Grades!$B:$B)),0),"")</f>
        <v/>
      </c>
    </row>
    <row r="280" spans="1:31" ht="18.75" x14ac:dyDescent="0.25">
      <c r="A280" s="17"/>
      <c r="B280" s="14"/>
      <c r="AE280" s="1" t="str">
        <f ca="1">IFERROR(MATCH(A280,OFFSET(Grades!$A$1,MATCH(Rates!$B$4,LIST,0),2,1,SUMIF(Grades!$A:$A,Rates!$B$4,Grades!$B:$B)),0),"")</f>
        <v/>
      </c>
    </row>
    <row r="281" spans="1:31" x14ac:dyDescent="0.25">
      <c r="AE281" s="1" t="str">
        <f ca="1">IFERROR(MATCH(A281,OFFSET(Grades!$A$1,MATCH(Rates!$B$4,LIST,0),2,1,SUMIF(Grades!$A:$A,Rates!$B$4,Grades!$B:$B)),0),"")</f>
        <v/>
      </c>
    </row>
    <row r="282" spans="1:31" x14ac:dyDescent="0.25">
      <c r="AE282" s="1" t="str">
        <f ca="1">IFERROR(MATCH(A282,OFFSET(Grades!$A$1,MATCH(Rates!$B$4,LIST,0),2,1,SUMIF(Grades!$A:$A,Rates!$B$4,Grades!$B:$B)),0),"")</f>
        <v/>
      </c>
    </row>
    <row r="283" spans="1:31" x14ac:dyDescent="0.25">
      <c r="AE283" s="1" t="str">
        <f ca="1">IFERROR(MATCH(A283,OFFSET(Grades!$A$1,MATCH(Rates!$B$4,LIST,0),2,1,SUMIF(Grades!$A:$A,Rates!$B$4,Grades!$B:$B)),0),"")</f>
        <v/>
      </c>
    </row>
    <row r="284" spans="1:31" x14ac:dyDescent="0.25">
      <c r="AE284" s="1" t="str">
        <f ca="1">IFERROR(MATCH(A284,OFFSET(Grades!$A$1,MATCH(Rates!$B$4,LIST,0),2,1,SUMIF(Grades!$A:$A,Rates!$B$4,Grades!$B:$B)),0),"")</f>
        <v/>
      </c>
    </row>
    <row r="285" spans="1:31" x14ac:dyDescent="0.25">
      <c r="AE285" s="1" t="str">
        <f ca="1">IFERROR(MATCH(A285,OFFSET(Grades!$A$1,MATCH(Rates!$B$4,LIST,0),2,1,SUMIF(Grades!$A:$A,Rates!$B$4,Grades!$B:$B)),0),"")</f>
        <v/>
      </c>
    </row>
    <row r="286" spans="1:31" x14ac:dyDescent="0.25">
      <c r="AE286" s="1" t="str">
        <f ca="1">IFERROR(MATCH(A286,OFFSET(Grades!$A$1,MATCH(Rates!$B$4,LIST,0),2,1,SUMIF(Grades!$A:$A,Rates!$B$4,Grades!$B:$B)),0),"")</f>
        <v/>
      </c>
    </row>
  </sheetData>
  <sheetProtection selectLockedCells="1"/>
  <printOptions horizontalCentered="1"/>
  <pageMargins left="0.23622047244094491" right="0.23622047244094491" top="0.55118110236220474" bottom="0.39370078740157483" header="0.31496062992125984" footer="0.31496062992125984"/>
  <pageSetup paperSize="9" scale="6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S83"/>
  <sheetViews>
    <sheetView workbookViewId="0">
      <pane xSplit="2" ySplit="1" topLeftCell="C3" activePane="bottomRight" state="frozenSplit"/>
      <selection pane="topRight" activeCell="B1" sqref="B1"/>
      <selection pane="bottomLeft" activeCell="A2" sqref="A2"/>
      <selection pane="bottomRight" activeCell="A23" sqref="A23"/>
    </sheetView>
  </sheetViews>
  <sheetFormatPr defaultRowHeight="15" x14ac:dyDescent="0.25"/>
  <cols>
    <col min="1" max="1" width="89.5703125" style="23" customWidth="1"/>
    <col min="2" max="2" width="10" style="23" customWidth="1"/>
    <col min="3" max="20" width="9.140625" style="23"/>
    <col min="21" max="21" width="10.85546875" style="23" bestFit="1" customWidth="1"/>
    <col min="22" max="22" width="12.140625" style="23" bestFit="1" customWidth="1"/>
    <col min="23" max="16384" width="9.140625" style="23"/>
  </cols>
  <sheetData>
    <row r="1" spans="1:71" ht="25.5" x14ac:dyDescent="0.25">
      <c r="A1" s="21" t="s">
        <v>9</v>
      </c>
      <c r="B1" s="21" t="s">
        <v>10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21" t="s">
        <v>11</v>
      </c>
      <c r="BI1" s="21" t="s">
        <v>12</v>
      </c>
      <c r="BJ1" s="21" t="s">
        <v>13</v>
      </c>
      <c r="BK1" s="173" t="s">
        <v>22</v>
      </c>
      <c r="BL1" s="173"/>
      <c r="BM1" s="173"/>
      <c r="BN1" s="173"/>
      <c r="BO1" s="22" t="s">
        <v>4</v>
      </c>
      <c r="BP1" s="22" t="s">
        <v>5</v>
      </c>
      <c r="BQ1" s="22" t="s">
        <v>2</v>
      </c>
      <c r="BR1" s="22" t="s">
        <v>3</v>
      </c>
      <c r="BS1" s="22"/>
    </row>
    <row r="2" spans="1:71" x14ac:dyDescent="0.25">
      <c r="A2" s="37" t="s">
        <v>65</v>
      </c>
      <c r="B2" s="3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36"/>
      <c r="BI2" s="36"/>
      <c r="BJ2" s="36"/>
      <c r="BK2" s="36"/>
      <c r="BL2" s="36"/>
      <c r="BM2" s="36"/>
      <c r="BN2" s="36"/>
      <c r="BO2" s="22"/>
      <c r="BP2" s="22"/>
      <c r="BQ2" s="22"/>
      <c r="BR2" s="22"/>
      <c r="BS2" s="22"/>
    </row>
    <row r="3" spans="1:71" x14ac:dyDescent="0.25">
      <c r="A3" s="24" t="s">
        <v>115</v>
      </c>
      <c r="B3" s="25">
        <f t="shared" ref="B3:B37" si="0">IF(A3="","",COUNTA(C3:BG3))</f>
        <v>56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>
        <v>8</v>
      </c>
      <c r="J3" s="22">
        <v>9</v>
      </c>
      <c r="K3" s="22">
        <v>10</v>
      </c>
      <c r="L3" s="22">
        <v>11</v>
      </c>
      <c r="M3" s="22">
        <v>12</v>
      </c>
      <c r="N3" s="22">
        <v>13</v>
      </c>
      <c r="O3" s="22">
        <v>14</v>
      </c>
      <c r="P3" s="22">
        <v>15</v>
      </c>
      <c r="Q3" s="22">
        <v>16</v>
      </c>
      <c r="R3" s="22">
        <v>17</v>
      </c>
      <c r="S3" s="22">
        <v>18</v>
      </c>
      <c r="T3" s="22">
        <v>19</v>
      </c>
      <c r="U3" s="22">
        <v>20</v>
      </c>
      <c r="V3" s="22">
        <v>21</v>
      </c>
      <c r="W3" s="22">
        <v>22</v>
      </c>
      <c r="X3" s="22">
        <v>23</v>
      </c>
      <c r="Y3" s="22">
        <v>24</v>
      </c>
      <c r="Z3" s="22">
        <v>25</v>
      </c>
      <c r="AA3" s="22">
        <v>26</v>
      </c>
      <c r="AB3" s="22">
        <v>27</v>
      </c>
      <c r="AC3" s="22">
        <v>28</v>
      </c>
      <c r="AD3" s="22">
        <v>29</v>
      </c>
      <c r="AE3" s="22">
        <v>30</v>
      </c>
      <c r="AF3" s="22">
        <v>31</v>
      </c>
      <c r="AG3" s="22">
        <v>32</v>
      </c>
      <c r="AH3" s="22">
        <v>33</v>
      </c>
      <c r="AI3" s="22">
        <v>34</v>
      </c>
      <c r="AJ3" s="22">
        <v>35</v>
      </c>
      <c r="AK3" s="22">
        <v>36</v>
      </c>
      <c r="AL3" s="22">
        <v>37</v>
      </c>
      <c r="AM3" s="22">
        <v>38</v>
      </c>
      <c r="AN3" s="22">
        <v>39</v>
      </c>
      <c r="AO3" s="22">
        <v>40</v>
      </c>
      <c r="AP3" s="22">
        <v>41</v>
      </c>
      <c r="AQ3" s="22">
        <v>42</v>
      </c>
      <c r="AR3" s="22">
        <v>43</v>
      </c>
      <c r="AS3" s="22">
        <v>44</v>
      </c>
      <c r="AT3" s="22">
        <v>45</v>
      </c>
      <c r="AU3" s="22">
        <v>46</v>
      </c>
      <c r="AV3" s="22">
        <v>47</v>
      </c>
      <c r="AW3" s="22">
        <v>48</v>
      </c>
      <c r="AX3" s="22">
        <v>49</v>
      </c>
      <c r="AY3" s="22">
        <v>50</v>
      </c>
      <c r="AZ3" s="22">
        <v>51</v>
      </c>
      <c r="BA3" s="22">
        <v>52</v>
      </c>
      <c r="BB3" s="22">
        <v>53</v>
      </c>
      <c r="BC3" s="22">
        <v>54</v>
      </c>
      <c r="BD3" s="22">
        <v>55</v>
      </c>
      <c r="BE3" s="22">
        <v>56</v>
      </c>
      <c r="BF3" s="22">
        <v>57</v>
      </c>
      <c r="BG3" s="22"/>
      <c r="BK3" s="22" t="s">
        <v>4</v>
      </c>
      <c r="BL3" s="22" t="s">
        <v>5</v>
      </c>
      <c r="BM3" s="22" t="s">
        <v>2</v>
      </c>
      <c r="BN3" s="22" t="s">
        <v>3</v>
      </c>
      <c r="BO3" s="22">
        <f>COUNTIF($BK3:$BN3,BO$1)</f>
        <v>1</v>
      </c>
      <c r="BP3" s="22">
        <f t="shared" ref="BP3:BR17" si="1">COUNTIF($BK3:$BN3,BP$1)</f>
        <v>1</v>
      </c>
      <c r="BQ3" s="22">
        <f t="shared" si="1"/>
        <v>1</v>
      </c>
      <c r="BR3" s="22">
        <f t="shared" si="1"/>
        <v>1</v>
      </c>
    </row>
    <row r="4" spans="1:71" x14ac:dyDescent="0.25">
      <c r="A4" s="24" t="s">
        <v>17</v>
      </c>
      <c r="B4" s="25">
        <f t="shared" si="0"/>
        <v>11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2">
        <v>11</v>
      </c>
      <c r="M4" s="22">
        <v>12</v>
      </c>
      <c r="N4" s="22"/>
      <c r="BH4" s="22">
        <v>2</v>
      </c>
      <c r="BI4" s="22">
        <v>6</v>
      </c>
      <c r="BJ4" s="22">
        <v>12</v>
      </c>
      <c r="BK4" s="22" t="s">
        <v>2</v>
      </c>
      <c r="BL4" s="22" t="s">
        <v>3</v>
      </c>
      <c r="BO4" s="22">
        <f t="shared" ref="BO4:BR37" si="2">COUNTIF($BK4:$BN4,BO$1)</f>
        <v>0</v>
      </c>
      <c r="BP4" s="22">
        <f t="shared" si="1"/>
        <v>0</v>
      </c>
      <c r="BQ4" s="22">
        <f t="shared" si="1"/>
        <v>1</v>
      </c>
      <c r="BR4" s="22">
        <f t="shared" si="1"/>
        <v>1</v>
      </c>
    </row>
    <row r="5" spans="1:71" x14ac:dyDescent="0.25">
      <c r="A5" s="24" t="s">
        <v>18</v>
      </c>
      <c r="B5" s="25">
        <f t="shared" si="0"/>
        <v>13</v>
      </c>
      <c r="C5" s="22">
        <v>9</v>
      </c>
      <c r="D5" s="22">
        <v>10</v>
      </c>
      <c r="E5" s="22">
        <v>11</v>
      </c>
      <c r="F5" s="22">
        <v>12</v>
      </c>
      <c r="G5" s="22">
        <v>13</v>
      </c>
      <c r="H5" s="22">
        <v>14</v>
      </c>
      <c r="I5" s="22">
        <v>15</v>
      </c>
      <c r="J5" s="22">
        <v>16</v>
      </c>
      <c r="K5" s="22">
        <v>17</v>
      </c>
      <c r="L5" s="22">
        <v>18</v>
      </c>
      <c r="M5" s="22">
        <v>19</v>
      </c>
      <c r="N5" s="22">
        <v>20</v>
      </c>
      <c r="O5" s="22">
        <v>21</v>
      </c>
      <c r="BH5" s="22">
        <v>9</v>
      </c>
      <c r="BI5" s="22">
        <v>15</v>
      </c>
      <c r="BJ5" s="22">
        <v>21</v>
      </c>
      <c r="BK5" s="22" t="s">
        <v>2</v>
      </c>
      <c r="BL5" s="22" t="s">
        <v>3</v>
      </c>
      <c r="BO5" s="22">
        <f t="shared" si="2"/>
        <v>0</v>
      </c>
      <c r="BP5" s="22">
        <f t="shared" si="1"/>
        <v>0</v>
      </c>
      <c r="BQ5" s="22">
        <f t="shared" si="1"/>
        <v>1</v>
      </c>
      <c r="BR5" s="22">
        <f t="shared" si="1"/>
        <v>1</v>
      </c>
    </row>
    <row r="6" spans="1:71" x14ac:dyDescent="0.25">
      <c r="A6" s="24" t="s">
        <v>19</v>
      </c>
      <c r="B6" s="25">
        <f t="shared" si="0"/>
        <v>13</v>
      </c>
      <c r="C6" s="22">
        <v>18</v>
      </c>
      <c r="D6" s="22">
        <v>19</v>
      </c>
      <c r="E6" s="22">
        <v>20</v>
      </c>
      <c r="F6" s="22">
        <v>21</v>
      </c>
      <c r="G6" s="22">
        <v>22</v>
      </c>
      <c r="H6" s="22">
        <v>23</v>
      </c>
      <c r="I6" s="22">
        <v>24</v>
      </c>
      <c r="J6" s="22">
        <v>25</v>
      </c>
      <c r="K6" s="22">
        <v>26</v>
      </c>
      <c r="L6" s="22">
        <v>27</v>
      </c>
      <c r="M6" s="22">
        <v>28</v>
      </c>
      <c r="N6" s="22">
        <v>29</v>
      </c>
      <c r="O6" s="22">
        <v>30</v>
      </c>
      <c r="BH6" s="22">
        <v>18</v>
      </c>
      <c r="BI6" s="22">
        <v>24</v>
      </c>
      <c r="BJ6" s="22">
        <v>30</v>
      </c>
      <c r="BK6" s="22" t="s">
        <v>2</v>
      </c>
      <c r="BL6" s="22" t="s">
        <v>3</v>
      </c>
      <c r="BO6" s="22">
        <f t="shared" si="2"/>
        <v>0</v>
      </c>
      <c r="BP6" s="22">
        <f t="shared" si="1"/>
        <v>0</v>
      </c>
      <c r="BQ6" s="22">
        <f t="shared" si="1"/>
        <v>1</v>
      </c>
      <c r="BR6" s="22">
        <f t="shared" si="1"/>
        <v>1</v>
      </c>
    </row>
    <row r="7" spans="1:71" x14ac:dyDescent="0.25">
      <c r="A7" s="24" t="s">
        <v>20</v>
      </c>
      <c r="B7" s="25">
        <f t="shared" si="0"/>
        <v>13</v>
      </c>
      <c r="C7" s="22">
        <v>27</v>
      </c>
      <c r="D7" s="22">
        <v>28</v>
      </c>
      <c r="E7" s="22">
        <v>29</v>
      </c>
      <c r="F7" s="22">
        <v>30</v>
      </c>
      <c r="G7" s="22">
        <v>31</v>
      </c>
      <c r="H7" s="22">
        <v>32</v>
      </c>
      <c r="I7" s="22">
        <v>33</v>
      </c>
      <c r="J7" s="22">
        <v>34</v>
      </c>
      <c r="K7" s="22">
        <v>35</v>
      </c>
      <c r="L7" s="22">
        <v>36</v>
      </c>
      <c r="M7" s="22">
        <v>37</v>
      </c>
      <c r="N7" s="22">
        <v>38</v>
      </c>
      <c r="O7" s="22">
        <v>39</v>
      </c>
      <c r="BH7" s="22">
        <v>27</v>
      </c>
      <c r="BI7" s="22">
        <v>36</v>
      </c>
      <c r="BJ7" s="22">
        <v>39</v>
      </c>
      <c r="BK7" s="22" t="s">
        <v>4</v>
      </c>
      <c r="BO7" s="22">
        <f t="shared" si="2"/>
        <v>1</v>
      </c>
      <c r="BP7" s="22">
        <f t="shared" si="1"/>
        <v>0</v>
      </c>
      <c r="BQ7" s="22">
        <f t="shared" si="1"/>
        <v>0</v>
      </c>
      <c r="BR7" s="22">
        <f t="shared" si="1"/>
        <v>0</v>
      </c>
    </row>
    <row r="8" spans="1:71" x14ac:dyDescent="0.25">
      <c r="A8" s="24" t="s">
        <v>21</v>
      </c>
      <c r="B8" s="25">
        <f t="shared" si="0"/>
        <v>3</v>
      </c>
      <c r="C8" s="22">
        <v>23</v>
      </c>
      <c r="D8" s="22">
        <v>24</v>
      </c>
      <c r="E8" s="22">
        <v>26</v>
      </c>
      <c r="BH8" s="22"/>
      <c r="BI8" s="22"/>
      <c r="BJ8" s="22"/>
      <c r="BK8" s="22" t="s">
        <v>4</v>
      </c>
      <c r="BO8" s="22">
        <f t="shared" si="2"/>
        <v>1</v>
      </c>
      <c r="BP8" s="22">
        <f t="shared" si="1"/>
        <v>0</v>
      </c>
      <c r="BQ8" s="22">
        <f t="shared" si="1"/>
        <v>0</v>
      </c>
      <c r="BR8" s="22">
        <f t="shared" si="1"/>
        <v>0</v>
      </c>
    </row>
    <row r="9" spans="1:71" x14ac:dyDescent="0.25">
      <c r="A9" s="24" t="s">
        <v>23</v>
      </c>
      <c r="B9" s="25">
        <f t="shared" si="0"/>
        <v>13</v>
      </c>
      <c r="C9" s="22">
        <v>36</v>
      </c>
      <c r="D9" s="22">
        <v>37</v>
      </c>
      <c r="E9" s="22">
        <v>38</v>
      </c>
      <c r="F9" s="22">
        <v>39</v>
      </c>
      <c r="G9" s="22">
        <v>40</v>
      </c>
      <c r="H9" s="22">
        <v>41</v>
      </c>
      <c r="I9" s="22">
        <v>42</v>
      </c>
      <c r="J9" s="22">
        <v>43</v>
      </c>
      <c r="K9" s="22">
        <v>44</v>
      </c>
      <c r="L9" s="22">
        <v>45</v>
      </c>
      <c r="M9" s="22">
        <v>46</v>
      </c>
      <c r="N9" s="22">
        <v>47</v>
      </c>
      <c r="O9" s="22">
        <v>48</v>
      </c>
      <c r="BH9" s="22">
        <v>36</v>
      </c>
      <c r="BI9" s="22">
        <v>43</v>
      </c>
      <c r="BJ9" s="22">
        <v>48</v>
      </c>
      <c r="BK9" s="22" t="s">
        <v>4</v>
      </c>
      <c r="BO9" s="22">
        <f t="shared" si="2"/>
        <v>1</v>
      </c>
      <c r="BP9" s="22">
        <f t="shared" si="1"/>
        <v>0</v>
      </c>
      <c r="BQ9" s="22">
        <f t="shared" si="1"/>
        <v>0</v>
      </c>
      <c r="BR9" s="22">
        <f t="shared" si="1"/>
        <v>0</v>
      </c>
    </row>
    <row r="10" spans="1:71" x14ac:dyDescent="0.25">
      <c r="A10" s="24" t="s">
        <v>24</v>
      </c>
      <c r="B10" s="25">
        <f t="shared" si="0"/>
        <v>13</v>
      </c>
      <c r="C10" s="22">
        <v>45</v>
      </c>
      <c r="D10" s="22">
        <v>46</v>
      </c>
      <c r="E10" s="22">
        <v>47</v>
      </c>
      <c r="F10" s="22">
        <v>48</v>
      </c>
      <c r="G10" s="22">
        <v>49</v>
      </c>
      <c r="H10" s="22">
        <v>50</v>
      </c>
      <c r="I10" s="22">
        <v>51</v>
      </c>
      <c r="J10" s="22">
        <v>52</v>
      </c>
      <c r="K10" s="22">
        <v>53</v>
      </c>
      <c r="L10" s="22">
        <v>54</v>
      </c>
      <c r="M10" s="22">
        <v>55</v>
      </c>
      <c r="N10" s="22">
        <v>56</v>
      </c>
      <c r="O10" s="22">
        <v>57</v>
      </c>
      <c r="BH10" s="22">
        <v>45</v>
      </c>
      <c r="BI10" s="22">
        <v>51</v>
      </c>
      <c r="BJ10" s="22">
        <v>57</v>
      </c>
      <c r="BK10" s="22" t="s">
        <v>4</v>
      </c>
      <c r="BO10" s="22">
        <f t="shared" si="2"/>
        <v>1</v>
      </c>
      <c r="BP10" s="22">
        <f t="shared" si="1"/>
        <v>0</v>
      </c>
      <c r="BQ10" s="22">
        <f t="shared" si="1"/>
        <v>0</v>
      </c>
      <c r="BR10" s="22">
        <f t="shared" si="1"/>
        <v>0</v>
      </c>
    </row>
    <row r="11" spans="1:71" x14ac:dyDescent="0.25">
      <c r="A11" s="24" t="s">
        <v>25</v>
      </c>
      <c r="B11" s="25">
        <f t="shared" si="0"/>
        <v>26</v>
      </c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22">
        <v>12</v>
      </c>
      <c r="O11" s="22">
        <v>13</v>
      </c>
      <c r="P11" s="22">
        <v>14</v>
      </c>
      <c r="Q11" s="22">
        <v>15</v>
      </c>
      <c r="R11" s="22">
        <v>16</v>
      </c>
      <c r="S11" s="22">
        <v>17</v>
      </c>
      <c r="T11" s="22">
        <v>18</v>
      </c>
      <c r="U11" s="22">
        <v>19</v>
      </c>
      <c r="V11" s="22">
        <v>20</v>
      </c>
      <c r="W11" s="22">
        <v>21</v>
      </c>
      <c r="X11" s="22">
        <v>22</v>
      </c>
      <c r="Y11" s="22">
        <v>23</v>
      </c>
      <c r="Z11" s="22">
        <v>24</v>
      </c>
      <c r="AA11" s="22">
        <v>25</v>
      </c>
      <c r="AB11" s="22">
        <v>26</v>
      </c>
      <c r="BH11" s="22">
        <v>1</v>
      </c>
      <c r="BI11" s="22">
        <v>17</v>
      </c>
      <c r="BJ11" s="22">
        <v>26</v>
      </c>
      <c r="BK11" s="22" t="s">
        <v>4</v>
      </c>
      <c r="BO11" s="22">
        <f t="shared" si="2"/>
        <v>1</v>
      </c>
      <c r="BP11" s="22">
        <f t="shared" si="1"/>
        <v>0</v>
      </c>
      <c r="BQ11" s="22">
        <f t="shared" si="1"/>
        <v>0</v>
      </c>
      <c r="BR11" s="22">
        <f t="shared" si="1"/>
        <v>0</v>
      </c>
    </row>
    <row r="12" spans="1:71" x14ac:dyDescent="0.25">
      <c r="A12" s="24" t="s">
        <v>26</v>
      </c>
      <c r="B12" s="25">
        <f t="shared" si="0"/>
        <v>7</v>
      </c>
      <c r="C12" s="22">
        <v>9</v>
      </c>
      <c r="D12" s="22">
        <v>10</v>
      </c>
      <c r="E12" s="22">
        <v>11</v>
      </c>
      <c r="F12" s="22">
        <v>12</v>
      </c>
      <c r="G12" s="22">
        <v>13</v>
      </c>
      <c r="H12" s="22">
        <v>14</v>
      </c>
      <c r="I12" s="22">
        <v>15</v>
      </c>
      <c r="BH12" s="22">
        <v>9</v>
      </c>
      <c r="BI12" s="22">
        <v>12</v>
      </c>
      <c r="BJ12" s="22">
        <v>15</v>
      </c>
      <c r="BK12" s="22" t="s">
        <v>2</v>
      </c>
      <c r="BL12" s="22" t="s">
        <v>3</v>
      </c>
      <c r="BO12" s="22">
        <f t="shared" si="2"/>
        <v>0</v>
      </c>
      <c r="BP12" s="22">
        <f t="shared" si="1"/>
        <v>0</v>
      </c>
      <c r="BQ12" s="22">
        <f t="shared" si="1"/>
        <v>1</v>
      </c>
      <c r="BR12" s="22">
        <f t="shared" si="1"/>
        <v>1</v>
      </c>
    </row>
    <row r="13" spans="1:71" x14ac:dyDescent="0.25">
      <c r="A13" s="24" t="s">
        <v>27</v>
      </c>
      <c r="B13" s="25">
        <f t="shared" si="0"/>
        <v>7</v>
      </c>
      <c r="C13" s="22">
        <v>16</v>
      </c>
      <c r="D13" s="22">
        <v>17</v>
      </c>
      <c r="E13" s="22">
        <v>18</v>
      </c>
      <c r="F13" s="22">
        <v>19</v>
      </c>
      <c r="G13" s="22">
        <v>20</v>
      </c>
      <c r="H13" s="22">
        <v>21</v>
      </c>
      <c r="I13" s="22">
        <v>22</v>
      </c>
      <c r="BH13" s="22">
        <v>16</v>
      </c>
      <c r="BI13" s="22">
        <v>19</v>
      </c>
      <c r="BJ13" s="22">
        <v>22</v>
      </c>
      <c r="BK13" s="22" t="s">
        <v>2</v>
      </c>
      <c r="BL13" s="22" t="s">
        <v>3</v>
      </c>
      <c r="BO13" s="22">
        <f t="shared" si="2"/>
        <v>0</v>
      </c>
      <c r="BP13" s="22">
        <f t="shared" si="1"/>
        <v>0</v>
      </c>
      <c r="BQ13" s="22">
        <f t="shared" si="1"/>
        <v>1</v>
      </c>
      <c r="BR13" s="22">
        <f t="shared" si="1"/>
        <v>1</v>
      </c>
    </row>
    <row r="14" spans="1:71" x14ac:dyDescent="0.25">
      <c r="A14" s="24" t="s">
        <v>28</v>
      </c>
      <c r="B14" s="25">
        <f t="shared" si="0"/>
        <v>8</v>
      </c>
      <c r="C14" s="22">
        <v>1</v>
      </c>
      <c r="D14" s="22">
        <v>2</v>
      </c>
      <c r="E14" s="22">
        <v>3</v>
      </c>
      <c r="F14" s="22">
        <v>4</v>
      </c>
      <c r="G14" s="22">
        <v>5</v>
      </c>
      <c r="H14" s="22">
        <v>6</v>
      </c>
      <c r="I14" s="22">
        <v>7</v>
      </c>
      <c r="J14" s="22">
        <v>8</v>
      </c>
      <c r="BH14" s="22"/>
      <c r="BI14" s="22"/>
      <c r="BJ14" s="22"/>
      <c r="BK14" s="22" t="s">
        <v>4</v>
      </c>
      <c r="BL14" s="22" t="s">
        <v>5</v>
      </c>
      <c r="BO14" s="22">
        <f t="shared" si="2"/>
        <v>1</v>
      </c>
      <c r="BP14" s="22">
        <f t="shared" si="1"/>
        <v>1</v>
      </c>
      <c r="BQ14" s="22">
        <f t="shared" si="1"/>
        <v>0</v>
      </c>
      <c r="BR14" s="22">
        <f t="shared" si="1"/>
        <v>0</v>
      </c>
    </row>
    <row r="15" spans="1:71" x14ac:dyDescent="0.25">
      <c r="A15" s="24" t="s">
        <v>29</v>
      </c>
      <c r="B15" s="25">
        <f t="shared" si="0"/>
        <v>5</v>
      </c>
      <c r="C15" s="22">
        <v>19</v>
      </c>
      <c r="D15" s="22">
        <v>20</v>
      </c>
      <c r="E15" s="22">
        <v>21</v>
      </c>
      <c r="F15" s="22">
        <v>22</v>
      </c>
      <c r="G15" s="22">
        <v>23</v>
      </c>
      <c r="BH15" s="22"/>
      <c r="BI15" s="22"/>
      <c r="BJ15" s="22"/>
      <c r="BK15" s="22" t="s">
        <v>4</v>
      </c>
      <c r="BL15" s="22" t="s">
        <v>5</v>
      </c>
      <c r="BO15" s="22">
        <f t="shared" si="2"/>
        <v>1</v>
      </c>
      <c r="BP15" s="22">
        <f t="shared" si="1"/>
        <v>1</v>
      </c>
      <c r="BQ15" s="22">
        <f t="shared" si="1"/>
        <v>0</v>
      </c>
      <c r="BR15" s="22">
        <f t="shared" si="1"/>
        <v>0</v>
      </c>
    </row>
    <row r="16" spans="1:71" x14ac:dyDescent="0.25">
      <c r="A16" s="24" t="s">
        <v>30</v>
      </c>
      <c r="B16" s="25">
        <f t="shared" si="0"/>
        <v>11</v>
      </c>
      <c r="C16" s="22">
        <v>1</v>
      </c>
      <c r="D16" s="22">
        <v>2</v>
      </c>
      <c r="E16" s="22">
        <v>3</v>
      </c>
      <c r="F16" s="22">
        <v>4</v>
      </c>
      <c r="G16" s="22">
        <v>5</v>
      </c>
      <c r="H16" s="22">
        <v>6</v>
      </c>
      <c r="I16" s="22">
        <v>7</v>
      </c>
      <c r="J16" s="22">
        <v>8</v>
      </c>
      <c r="K16" s="22">
        <v>9</v>
      </c>
      <c r="L16" s="22">
        <v>10</v>
      </c>
      <c r="M16" s="22">
        <v>11</v>
      </c>
      <c r="BH16" s="22"/>
      <c r="BI16" s="22"/>
      <c r="BJ16" s="22"/>
      <c r="BK16" s="22" t="s">
        <v>4</v>
      </c>
      <c r="BL16" s="22" t="s">
        <v>5</v>
      </c>
      <c r="BO16" s="22">
        <f t="shared" si="2"/>
        <v>1</v>
      </c>
      <c r="BP16" s="22">
        <f t="shared" si="1"/>
        <v>1</v>
      </c>
      <c r="BQ16" s="22">
        <f t="shared" si="1"/>
        <v>0</v>
      </c>
      <c r="BR16" s="22">
        <f t="shared" si="1"/>
        <v>0</v>
      </c>
    </row>
    <row r="17" spans="1:70" x14ac:dyDescent="0.25">
      <c r="A17" s="24" t="s">
        <v>102</v>
      </c>
      <c r="B17" s="25">
        <f t="shared" si="0"/>
        <v>11</v>
      </c>
      <c r="C17" s="22">
        <v>1</v>
      </c>
      <c r="D17" s="22">
        <v>2</v>
      </c>
      <c r="E17" s="22">
        <v>3</v>
      </c>
      <c r="F17" s="22">
        <v>4</v>
      </c>
      <c r="G17" s="22">
        <v>5</v>
      </c>
      <c r="H17" s="22">
        <v>6</v>
      </c>
      <c r="I17" s="22">
        <v>7</v>
      </c>
      <c r="J17" s="22">
        <v>8</v>
      </c>
      <c r="K17" s="22">
        <v>9</v>
      </c>
      <c r="L17" s="22">
        <v>10</v>
      </c>
      <c r="M17" s="22">
        <v>11</v>
      </c>
      <c r="BH17" s="22"/>
      <c r="BI17" s="22"/>
      <c r="BJ17" s="22"/>
      <c r="BK17" s="22" t="s">
        <v>2</v>
      </c>
      <c r="BL17" s="22" t="s">
        <v>3</v>
      </c>
      <c r="BO17" s="22">
        <f t="shared" si="2"/>
        <v>0</v>
      </c>
      <c r="BP17" s="22">
        <f t="shared" si="1"/>
        <v>0</v>
      </c>
      <c r="BQ17" s="22">
        <f t="shared" si="1"/>
        <v>1</v>
      </c>
      <c r="BR17" s="22">
        <f t="shared" si="1"/>
        <v>1</v>
      </c>
    </row>
    <row r="18" spans="1:70" x14ac:dyDescent="0.25">
      <c r="A18" s="24" t="s">
        <v>32</v>
      </c>
      <c r="B18" s="25">
        <f t="shared" ref="B18:B19" si="3">IF(A18="","",COUNTA(C18:BG18))</f>
        <v>8</v>
      </c>
      <c r="C18" s="22">
        <v>216</v>
      </c>
      <c r="D18" s="22">
        <v>316</v>
      </c>
      <c r="E18" s="22">
        <v>416</v>
      </c>
      <c r="F18" s="22">
        <v>516</v>
      </c>
      <c r="G18" s="22">
        <v>616</v>
      </c>
      <c r="H18" s="22">
        <v>716</v>
      </c>
      <c r="I18" s="22">
        <v>816</v>
      </c>
      <c r="J18" s="22">
        <v>916</v>
      </c>
      <c r="K18" s="22"/>
      <c r="BH18" s="22"/>
      <c r="BI18" s="22"/>
      <c r="BJ18" s="22"/>
      <c r="BK18" s="22" t="s">
        <v>2</v>
      </c>
      <c r="BL18" s="22" t="s">
        <v>3</v>
      </c>
      <c r="BO18" s="22">
        <f t="shared" si="2"/>
        <v>0</v>
      </c>
      <c r="BP18" s="22">
        <f t="shared" si="2"/>
        <v>0</v>
      </c>
      <c r="BQ18" s="22">
        <f t="shared" si="2"/>
        <v>1</v>
      </c>
      <c r="BR18" s="22">
        <f t="shared" si="2"/>
        <v>1</v>
      </c>
    </row>
    <row r="19" spans="1:70" x14ac:dyDescent="0.25">
      <c r="A19" s="24" t="s">
        <v>33</v>
      </c>
      <c r="B19" s="25">
        <f t="shared" si="3"/>
        <v>8</v>
      </c>
      <c r="C19" s="22">
        <v>217</v>
      </c>
      <c r="D19" s="22">
        <v>317</v>
      </c>
      <c r="E19" s="22">
        <v>417</v>
      </c>
      <c r="F19" s="22">
        <v>517</v>
      </c>
      <c r="G19" s="22">
        <v>617</v>
      </c>
      <c r="H19" s="22">
        <v>717</v>
      </c>
      <c r="I19" s="22">
        <v>817</v>
      </c>
      <c r="J19" s="22">
        <v>917</v>
      </c>
      <c r="K19" s="22"/>
      <c r="BH19" s="22"/>
      <c r="BI19" s="22"/>
      <c r="BJ19" s="22"/>
      <c r="BK19" s="22" t="s">
        <v>2</v>
      </c>
      <c r="BL19" s="22" t="s">
        <v>3</v>
      </c>
      <c r="BO19" s="22">
        <f t="shared" si="2"/>
        <v>0</v>
      </c>
      <c r="BP19" s="22">
        <f t="shared" si="2"/>
        <v>0</v>
      </c>
      <c r="BQ19" s="22">
        <f t="shared" si="2"/>
        <v>1</v>
      </c>
      <c r="BR19" s="22">
        <f t="shared" si="2"/>
        <v>1</v>
      </c>
    </row>
    <row r="20" spans="1:70" x14ac:dyDescent="0.25">
      <c r="A20" s="24" t="s">
        <v>31</v>
      </c>
      <c r="B20" s="25">
        <f t="shared" si="0"/>
        <v>8</v>
      </c>
      <c r="C20" s="22">
        <v>2</v>
      </c>
      <c r="D20" s="22">
        <v>3</v>
      </c>
      <c r="E20" s="22">
        <v>4</v>
      </c>
      <c r="F20" s="22">
        <v>5</v>
      </c>
      <c r="G20" s="22">
        <v>6</v>
      </c>
      <c r="H20" s="22">
        <v>7</v>
      </c>
      <c r="I20" s="22">
        <v>8</v>
      </c>
      <c r="J20" s="22">
        <v>9</v>
      </c>
      <c r="K20" s="22"/>
      <c r="BH20" s="22"/>
      <c r="BI20" s="22"/>
      <c r="BJ20" s="22"/>
      <c r="BK20" s="22" t="s">
        <v>2</v>
      </c>
      <c r="BL20" s="22" t="s">
        <v>3</v>
      </c>
      <c r="BO20" s="22">
        <f t="shared" si="2"/>
        <v>0</v>
      </c>
      <c r="BP20" s="22">
        <f t="shared" si="2"/>
        <v>0</v>
      </c>
      <c r="BQ20" s="22">
        <f t="shared" si="2"/>
        <v>1</v>
      </c>
      <c r="BR20" s="22">
        <f t="shared" si="2"/>
        <v>1</v>
      </c>
    </row>
    <row r="21" spans="1:70" x14ac:dyDescent="0.25">
      <c r="A21" s="24" t="s">
        <v>34</v>
      </c>
      <c r="B21" s="25">
        <f t="shared" si="0"/>
        <v>10</v>
      </c>
      <c r="C21" s="22">
        <v>9</v>
      </c>
      <c r="D21" s="22">
        <v>10</v>
      </c>
      <c r="E21" s="22">
        <v>11</v>
      </c>
      <c r="F21" s="22">
        <v>12</v>
      </c>
      <c r="G21" s="22">
        <v>13</v>
      </c>
      <c r="H21" s="22">
        <v>14</v>
      </c>
      <c r="I21" s="22">
        <v>15</v>
      </c>
      <c r="J21" s="22">
        <v>16</v>
      </c>
      <c r="K21" s="22">
        <v>17</v>
      </c>
      <c r="L21" s="22">
        <v>18</v>
      </c>
      <c r="BH21" s="22"/>
      <c r="BI21" s="22"/>
      <c r="BJ21" s="22"/>
      <c r="BK21" s="22" t="s">
        <v>2</v>
      </c>
      <c r="BL21" s="22" t="s">
        <v>3</v>
      </c>
      <c r="BO21" s="22">
        <f t="shared" si="2"/>
        <v>0</v>
      </c>
      <c r="BP21" s="22">
        <f t="shared" si="2"/>
        <v>0</v>
      </c>
      <c r="BQ21" s="22">
        <f t="shared" si="2"/>
        <v>1</v>
      </c>
      <c r="BR21" s="22">
        <f t="shared" si="2"/>
        <v>1</v>
      </c>
    </row>
    <row r="22" spans="1:70" x14ac:dyDescent="0.25">
      <c r="A22" s="24" t="s">
        <v>35</v>
      </c>
      <c r="B22" s="25">
        <f t="shared" si="0"/>
        <v>13</v>
      </c>
      <c r="C22" s="22">
        <v>18</v>
      </c>
      <c r="D22" s="22">
        <v>19</v>
      </c>
      <c r="E22" s="22">
        <v>20</v>
      </c>
      <c r="F22" s="22">
        <v>21</v>
      </c>
      <c r="G22" s="22">
        <v>22</v>
      </c>
      <c r="H22" s="22">
        <v>23</v>
      </c>
      <c r="I22" s="22">
        <v>24</v>
      </c>
      <c r="J22" s="22">
        <v>25</v>
      </c>
      <c r="K22" s="22">
        <v>26</v>
      </c>
      <c r="L22" s="22">
        <v>27</v>
      </c>
      <c r="M22" s="22">
        <v>28</v>
      </c>
      <c r="N22" s="22">
        <v>29</v>
      </c>
      <c r="O22" s="22">
        <v>30</v>
      </c>
      <c r="BH22" s="22"/>
      <c r="BI22" s="22"/>
      <c r="BJ22" s="22"/>
      <c r="BK22" s="22" t="s">
        <v>2</v>
      </c>
      <c r="BL22" s="22" t="s">
        <v>3</v>
      </c>
      <c r="BO22" s="22">
        <f t="shared" si="2"/>
        <v>0</v>
      </c>
      <c r="BP22" s="22">
        <f t="shared" si="2"/>
        <v>0</v>
      </c>
      <c r="BQ22" s="22">
        <f t="shared" si="2"/>
        <v>1</v>
      </c>
      <c r="BR22" s="22">
        <f t="shared" si="2"/>
        <v>1</v>
      </c>
    </row>
    <row r="23" spans="1:70" x14ac:dyDescent="0.25">
      <c r="A23" s="24" t="s">
        <v>36</v>
      </c>
      <c r="B23" s="25">
        <f t="shared" si="0"/>
        <v>13</v>
      </c>
      <c r="C23" s="22">
        <v>27</v>
      </c>
      <c r="D23" s="22">
        <v>28</v>
      </c>
      <c r="E23" s="22">
        <v>29</v>
      </c>
      <c r="F23" s="22">
        <v>30</v>
      </c>
      <c r="G23" s="22">
        <v>31</v>
      </c>
      <c r="H23" s="22">
        <v>32</v>
      </c>
      <c r="I23" s="22">
        <v>33</v>
      </c>
      <c r="J23" s="22">
        <v>34</v>
      </c>
      <c r="K23" s="22">
        <v>35</v>
      </c>
      <c r="L23" s="22">
        <v>36</v>
      </c>
      <c r="M23" s="22">
        <v>37</v>
      </c>
      <c r="N23" s="22">
        <v>38</v>
      </c>
      <c r="O23" s="22">
        <v>39</v>
      </c>
      <c r="BH23" s="22">
        <v>27</v>
      </c>
      <c r="BI23" s="22">
        <v>36</v>
      </c>
      <c r="BJ23" s="22">
        <v>39</v>
      </c>
      <c r="BK23" s="22" t="s">
        <v>4</v>
      </c>
      <c r="BO23" s="22">
        <f t="shared" si="2"/>
        <v>1</v>
      </c>
      <c r="BP23" s="22">
        <f t="shared" si="2"/>
        <v>0</v>
      </c>
      <c r="BQ23" s="22">
        <f t="shared" si="2"/>
        <v>0</v>
      </c>
      <c r="BR23" s="22">
        <f t="shared" si="2"/>
        <v>0</v>
      </c>
    </row>
    <row r="24" spans="1:70" x14ac:dyDescent="0.25">
      <c r="A24" s="24" t="s">
        <v>37</v>
      </c>
      <c r="B24" s="25">
        <f t="shared" si="0"/>
        <v>7</v>
      </c>
      <c r="C24" s="22">
        <v>23</v>
      </c>
      <c r="D24" s="22">
        <v>24</v>
      </c>
      <c r="E24" s="22">
        <v>26</v>
      </c>
      <c r="F24" s="22">
        <v>27</v>
      </c>
      <c r="G24" s="22">
        <v>28</v>
      </c>
      <c r="H24" s="22">
        <v>29</v>
      </c>
      <c r="I24" s="22">
        <v>30</v>
      </c>
      <c r="BH24" s="22">
        <v>23</v>
      </c>
      <c r="BI24" s="22">
        <v>26</v>
      </c>
      <c r="BJ24" s="22">
        <v>30</v>
      </c>
      <c r="BK24" s="22" t="s">
        <v>4</v>
      </c>
      <c r="BO24" s="22">
        <f t="shared" si="2"/>
        <v>1</v>
      </c>
      <c r="BP24" s="22">
        <f t="shared" si="2"/>
        <v>0</v>
      </c>
      <c r="BQ24" s="22">
        <f t="shared" si="2"/>
        <v>0</v>
      </c>
      <c r="BR24" s="22">
        <f t="shared" si="2"/>
        <v>0</v>
      </c>
    </row>
    <row r="25" spans="1:70" x14ac:dyDescent="0.25">
      <c r="A25" s="24" t="s">
        <v>38</v>
      </c>
      <c r="B25" s="25">
        <f t="shared" si="0"/>
        <v>3</v>
      </c>
      <c r="C25" s="22">
        <v>23</v>
      </c>
      <c r="D25" s="22">
        <v>24</v>
      </c>
      <c r="E25" s="22">
        <v>26</v>
      </c>
      <c r="BH25" s="22"/>
      <c r="BI25" s="22"/>
      <c r="BJ25" s="22"/>
      <c r="BK25" s="22" t="s">
        <v>4</v>
      </c>
      <c r="BO25" s="22">
        <f t="shared" si="2"/>
        <v>1</v>
      </c>
      <c r="BP25" s="22">
        <f t="shared" si="2"/>
        <v>0</v>
      </c>
      <c r="BQ25" s="22">
        <f t="shared" si="2"/>
        <v>0</v>
      </c>
      <c r="BR25" s="22">
        <f t="shared" si="2"/>
        <v>0</v>
      </c>
    </row>
    <row r="26" spans="1:70" x14ac:dyDescent="0.25">
      <c r="A26" s="24" t="s">
        <v>39</v>
      </c>
      <c r="B26" s="25">
        <f t="shared" si="0"/>
        <v>13</v>
      </c>
      <c r="C26" s="22">
        <v>36</v>
      </c>
      <c r="D26" s="22">
        <v>37</v>
      </c>
      <c r="E26" s="22">
        <v>38</v>
      </c>
      <c r="F26" s="22">
        <v>39</v>
      </c>
      <c r="G26" s="22">
        <v>40</v>
      </c>
      <c r="H26" s="22">
        <v>41</v>
      </c>
      <c r="I26" s="22">
        <v>42</v>
      </c>
      <c r="J26" s="22">
        <v>43</v>
      </c>
      <c r="K26" s="22">
        <v>44</v>
      </c>
      <c r="L26" s="22">
        <v>45</v>
      </c>
      <c r="M26" s="22">
        <v>46</v>
      </c>
      <c r="N26" s="22">
        <v>47</v>
      </c>
      <c r="O26" s="22">
        <v>48</v>
      </c>
      <c r="BH26" s="22">
        <v>36</v>
      </c>
      <c r="BI26" s="22">
        <v>43</v>
      </c>
      <c r="BJ26" s="22">
        <v>48</v>
      </c>
      <c r="BK26" s="22" t="s">
        <v>4</v>
      </c>
      <c r="BO26" s="22">
        <f t="shared" si="2"/>
        <v>1</v>
      </c>
      <c r="BP26" s="22">
        <f t="shared" si="2"/>
        <v>0</v>
      </c>
      <c r="BQ26" s="22">
        <f t="shared" si="2"/>
        <v>0</v>
      </c>
      <c r="BR26" s="22">
        <f t="shared" si="2"/>
        <v>0</v>
      </c>
    </row>
    <row r="27" spans="1:70" x14ac:dyDescent="0.25">
      <c r="A27" s="24" t="s">
        <v>40</v>
      </c>
      <c r="B27" s="25">
        <f t="shared" si="0"/>
        <v>16</v>
      </c>
      <c r="C27" s="22">
        <v>33</v>
      </c>
      <c r="D27" s="22">
        <v>34</v>
      </c>
      <c r="E27" s="22">
        <v>35</v>
      </c>
      <c r="F27" s="22">
        <v>36</v>
      </c>
      <c r="G27" s="22">
        <v>37</v>
      </c>
      <c r="H27" s="22">
        <v>38</v>
      </c>
      <c r="I27" s="22">
        <v>39</v>
      </c>
      <c r="J27" s="22">
        <v>40</v>
      </c>
      <c r="K27" s="22">
        <v>41</v>
      </c>
      <c r="L27" s="22">
        <v>42</v>
      </c>
      <c r="M27" s="22">
        <v>43</v>
      </c>
      <c r="N27" s="22">
        <v>44</v>
      </c>
      <c r="O27" s="22">
        <v>45</v>
      </c>
      <c r="P27" s="22">
        <v>46</v>
      </c>
      <c r="Q27" s="22">
        <v>47</v>
      </c>
      <c r="R27" s="22">
        <v>48</v>
      </c>
      <c r="BH27" s="22">
        <v>33</v>
      </c>
      <c r="BI27" s="22">
        <v>43</v>
      </c>
      <c r="BJ27" s="22">
        <v>48</v>
      </c>
      <c r="BK27" s="22" t="s">
        <v>4</v>
      </c>
      <c r="BO27" s="22">
        <f t="shared" si="2"/>
        <v>1</v>
      </c>
      <c r="BP27" s="22">
        <f t="shared" si="2"/>
        <v>0</v>
      </c>
      <c r="BQ27" s="22">
        <f t="shared" si="2"/>
        <v>0</v>
      </c>
      <c r="BR27" s="22">
        <f t="shared" si="2"/>
        <v>0</v>
      </c>
    </row>
    <row r="28" spans="1:70" x14ac:dyDescent="0.25">
      <c r="A28" s="24" t="s">
        <v>41</v>
      </c>
      <c r="B28" s="25">
        <f t="shared" si="0"/>
        <v>13</v>
      </c>
      <c r="C28" s="22">
        <v>36</v>
      </c>
      <c r="D28" s="22">
        <v>37</v>
      </c>
      <c r="E28" s="22">
        <v>38</v>
      </c>
      <c r="F28" s="22">
        <v>39</v>
      </c>
      <c r="G28" s="22">
        <v>40</v>
      </c>
      <c r="H28" s="22">
        <v>41</v>
      </c>
      <c r="I28" s="22">
        <v>42</v>
      </c>
      <c r="J28" s="22">
        <v>43</v>
      </c>
      <c r="K28" s="22">
        <v>44</v>
      </c>
      <c r="L28" s="22">
        <v>45</v>
      </c>
      <c r="M28" s="22">
        <v>46</v>
      </c>
      <c r="N28" s="22">
        <v>47</v>
      </c>
      <c r="O28" s="22">
        <v>48</v>
      </c>
      <c r="BH28" s="22">
        <v>36</v>
      </c>
      <c r="BI28" s="22">
        <v>43</v>
      </c>
      <c r="BJ28" s="22">
        <v>48</v>
      </c>
      <c r="BK28" s="22" t="s">
        <v>4</v>
      </c>
      <c r="BO28" s="22">
        <f t="shared" si="2"/>
        <v>1</v>
      </c>
      <c r="BP28" s="22">
        <f t="shared" si="2"/>
        <v>0</v>
      </c>
      <c r="BQ28" s="22">
        <f t="shared" si="2"/>
        <v>0</v>
      </c>
      <c r="BR28" s="22">
        <f t="shared" si="2"/>
        <v>0</v>
      </c>
    </row>
    <row r="29" spans="1:70" x14ac:dyDescent="0.25">
      <c r="A29" s="24" t="s">
        <v>42</v>
      </c>
      <c r="B29" s="25">
        <f t="shared" si="0"/>
        <v>13</v>
      </c>
      <c r="C29" s="22">
        <v>45</v>
      </c>
      <c r="D29" s="22">
        <v>46</v>
      </c>
      <c r="E29" s="22">
        <v>47</v>
      </c>
      <c r="F29" s="22">
        <v>48</v>
      </c>
      <c r="G29" s="22">
        <v>49</v>
      </c>
      <c r="H29" s="22">
        <v>50</v>
      </c>
      <c r="I29" s="22">
        <v>51</v>
      </c>
      <c r="J29" s="22">
        <v>52</v>
      </c>
      <c r="K29" s="22">
        <v>53</v>
      </c>
      <c r="L29" s="22">
        <v>54</v>
      </c>
      <c r="M29" s="22">
        <v>55</v>
      </c>
      <c r="N29" s="22">
        <v>56</v>
      </c>
      <c r="O29" s="22">
        <v>57</v>
      </c>
      <c r="BH29" s="22">
        <v>45</v>
      </c>
      <c r="BI29" s="22">
        <v>51</v>
      </c>
      <c r="BJ29" s="22">
        <v>57</v>
      </c>
      <c r="BK29" s="22" t="s">
        <v>4</v>
      </c>
      <c r="BO29" s="22">
        <f t="shared" si="2"/>
        <v>1</v>
      </c>
      <c r="BP29" s="22">
        <f t="shared" si="2"/>
        <v>0</v>
      </c>
      <c r="BQ29" s="22">
        <f t="shared" si="2"/>
        <v>0</v>
      </c>
      <c r="BR29" s="22">
        <f t="shared" si="2"/>
        <v>0</v>
      </c>
    </row>
    <row r="30" spans="1:70" x14ac:dyDescent="0.25">
      <c r="A30" s="24" t="s">
        <v>43</v>
      </c>
      <c r="B30" s="25">
        <f t="shared" si="0"/>
        <v>13</v>
      </c>
      <c r="C30" s="22">
        <v>45</v>
      </c>
      <c r="D30" s="22">
        <v>46</v>
      </c>
      <c r="E30" s="22">
        <v>47</v>
      </c>
      <c r="F30" s="22">
        <v>48</v>
      </c>
      <c r="G30" s="22">
        <v>49</v>
      </c>
      <c r="H30" s="22">
        <v>50</v>
      </c>
      <c r="I30" s="22">
        <v>51</v>
      </c>
      <c r="J30" s="22">
        <v>52</v>
      </c>
      <c r="K30" s="22">
        <v>53</v>
      </c>
      <c r="L30" s="22">
        <v>54</v>
      </c>
      <c r="M30" s="22">
        <v>55</v>
      </c>
      <c r="N30" s="22">
        <v>56</v>
      </c>
      <c r="O30" s="22">
        <v>57</v>
      </c>
      <c r="BH30" s="22">
        <v>45</v>
      </c>
      <c r="BI30" s="22">
        <v>51</v>
      </c>
      <c r="BJ30" s="22">
        <v>57</v>
      </c>
      <c r="BK30" s="22" t="s">
        <v>4</v>
      </c>
      <c r="BO30" s="22">
        <f t="shared" si="2"/>
        <v>1</v>
      </c>
      <c r="BP30" s="22">
        <f t="shared" si="2"/>
        <v>0</v>
      </c>
      <c r="BQ30" s="22">
        <f t="shared" si="2"/>
        <v>0</v>
      </c>
      <c r="BR30" s="22">
        <f t="shared" si="2"/>
        <v>0</v>
      </c>
    </row>
    <row r="31" spans="1:70" x14ac:dyDescent="0.25">
      <c r="A31" s="24" t="s">
        <v>44</v>
      </c>
      <c r="B31" s="25">
        <f t="shared" si="0"/>
        <v>26</v>
      </c>
      <c r="C31" s="22">
        <v>1</v>
      </c>
      <c r="D31" s="22">
        <v>2</v>
      </c>
      <c r="E31" s="22">
        <v>3</v>
      </c>
      <c r="F31" s="22">
        <v>4</v>
      </c>
      <c r="G31" s="22">
        <v>5</v>
      </c>
      <c r="H31" s="22">
        <v>6</v>
      </c>
      <c r="I31" s="22">
        <v>7</v>
      </c>
      <c r="J31" s="22">
        <v>8</v>
      </c>
      <c r="K31" s="22">
        <v>9</v>
      </c>
      <c r="L31" s="22">
        <v>10</v>
      </c>
      <c r="M31" s="22">
        <v>11</v>
      </c>
      <c r="N31" s="22">
        <v>12</v>
      </c>
      <c r="O31" s="22">
        <v>13</v>
      </c>
      <c r="P31" s="22">
        <v>14</v>
      </c>
      <c r="Q31" s="22">
        <v>15</v>
      </c>
      <c r="R31" s="22">
        <v>16</v>
      </c>
      <c r="S31" s="22">
        <v>17</v>
      </c>
      <c r="T31" s="22">
        <v>18</v>
      </c>
      <c r="U31" s="22">
        <v>19</v>
      </c>
      <c r="V31" s="22">
        <v>20</v>
      </c>
      <c r="W31" s="22">
        <v>21</v>
      </c>
      <c r="X31" s="22">
        <v>22</v>
      </c>
      <c r="Y31" s="22">
        <v>23</v>
      </c>
      <c r="Z31" s="22">
        <v>24</v>
      </c>
      <c r="AA31" s="22">
        <v>25</v>
      </c>
      <c r="AB31" s="22">
        <v>26</v>
      </c>
      <c r="BH31" s="22">
        <v>1</v>
      </c>
      <c r="BI31" s="22">
        <v>17</v>
      </c>
      <c r="BJ31" s="22">
        <v>26</v>
      </c>
      <c r="BK31" s="22" t="s">
        <v>4</v>
      </c>
      <c r="BO31" s="22">
        <f t="shared" si="2"/>
        <v>1</v>
      </c>
      <c r="BP31" s="22">
        <f t="shared" si="2"/>
        <v>0</v>
      </c>
      <c r="BQ31" s="22">
        <f t="shared" si="2"/>
        <v>0</v>
      </c>
      <c r="BR31" s="22">
        <f t="shared" si="2"/>
        <v>0</v>
      </c>
    </row>
    <row r="32" spans="1:70" x14ac:dyDescent="0.25">
      <c r="A32" s="24" t="s">
        <v>45</v>
      </c>
      <c r="B32" s="25">
        <f t="shared" si="0"/>
        <v>5</v>
      </c>
      <c r="C32" s="22">
        <v>2</v>
      </c>
      <c r="D32" s="22">
        <v>3</v>
      </c>
      <c r="E32" s="22">
        <v>4</v>
      </c>
      <c r="F32" s="22">
        <v>5</v>
      </c>
      <c r="G32" s="22">
        <v>6</v>
      </c>
      <c r="BH32" s="22"/>
      <c r="BI32" s="22"/>
      <c r="BJ32" s="22"/>
      <c r="BK32" s="22" t="s">
        <v>2</v>
      </c>
      <c r="BL32" s="22" t="s">
        <v>3</v>
      </c>
      <c r="BO32" s="22">
        <f t="shared" si="2"/>
        <v>0</v>
      </c>
      <c r="BP32" s="22">
        <f t="shared" si="2"/>
        <v>0</v>
      </c>
      <c r="BQ32" s="22">
        <f t="shared" si="2"/>
        <v>1</v>
      </c>
      <c r="BR32" s="22">
        <f t="shared" si="2"/>
        <v>1</v>
      </c>
    </row>
    <row r="33" spans="1:70" x14ac:dyDescent="0.25">
      <c r="A33" s="26" t="s">
        <v>46</v>
      </c>
      <c r="B33" s="25">
        <f t="shared" si="0"/>
        <v>11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2">
        <v>10</v>
      </c>
      <c r="L33" s="22">
        <v>11</v>
      </c>
      <c r="M33" s="22">
        <v>12</v>
      </c>
      <c r="N33" s="22"/>
      <c r="BH33" s="22">
        <v>2</v>
      </c>
      <c r="BI33" s="22">
        <v>6</v>
      </c>
      <c r="BJ33" s="22">
        <v>12</v>
      </c>
      <c r="BK33" s="22" t="s">
        <v>2</v>
      </c>
      <c r="BL33" s="22" t="s">
        <v>3</v>
      </c>
      <c r="BO33" s="22">
        <f t="shared" si="2"/>
        <v>0</v>
      </c>
      <c r="BP33" s="22">
        <f t="shared" si="2"/>
        <v>0</v>
      </c>
      <c r="BQ33" s="22">
        <f t="shared" si="2"/>
        <v>1</v>
      </c>
      <c r="BR33" s="22">
        <f t="shared" si="2"/>
        <v>1</v>
      </c>
    </row>
    <row r="34" spans="1:70" x14ac:dyDescent="0.25">
      <c r="A34" s="26" t="s">
        <v>47</v>
      </c>
      <c r="B34" s="25">
        <f t="shared" si="0"/>
        <v>13</v>
      </c>
      <c r="C34" s="22">
        <v>9</v>
      </c>
      <c r="D34" s="22">
        <v>10</v>
      </c>
      <c r="E34" s="22">
        <v>11</v>
      </c>
      <c r="F34" s="22">
        <v>12</v>
      </c>
      <c r="G34" s="22">
        <v>13</v>
      </c>
      <c r="H34" s="22">
        <v>14</v>
      </c>
      <c r="I34" s="22">
        <v>15</v>
      </c>
      <c r="J34" s="22">
        <v>16</v>
      </c>
      <c r="K34" s="22">
        <v>17</v>
      </c>
      <c r="L34" s="22">
        <v>18</v>
      </c>
      <c r="M34" s="22">
        <v>19</v>
      </c>
      <c r="N34" s="22">
        <v>20</v>
      </c>
      <c r="O34" s="22">
        <v>21</v>
      </c>
      <c r="BH34" s="22">
        <v>9</v>
      </c>
      <c r="BI34" s="22">
        <v>15</v>
      </c>
      <c r="BJ34" s="22">
        <v>21</v>
      </c>
      <c r="BK34" s="22" t="s">
        <v>2</v>
      </c>
      <c r="BL34" s="22" t="s">
        <v>3</v>
      </c>
      <c r="BO34" s="22">
        <f t="shared" si="2"/>
        <v>0</v>
      </c>
      <c r="BP34" s="22">
        <f t="shared" si="2"/>
        <v>0</v>
      </c>
      <c r="BQ34" s="22">
        <f t="shared" si="2"/>
        <v>1</v>
      </c>
      <c r="BR34" s="22">
        <f t="shared" si="2"/>
        <v>1</v>
      </c>
    </row>
    <row r="35" spans="1:70" x14ac:dyDescent="0.25">
      <c r="A35" s="26" t="s">
        <v>48</v>
      </c>
      <c r="B35" s="25">
        <f t="shared" si="0"/>
        <v>13</v>
      </c>
      <c r="C35" s="22">
        <v>18</v>
      </c>
      <c r="D35" s="22">
        <v>19</v>
      </c>
      <c r="E35" s="22">
        <v>20</v>
      </c>
      <c r="F35" s="22">
        <v>21</v>
      </c>
      <c r="G35" s="22">
        <v>22</v>
      </c>
      <c r="H35" s="22">
        <v>23</v>
      </c>
      <c r="I35" s="22">
        <v>24</v>
      </c>
      <c r="J35" s="22">
        <v>25</v>
      </c>
      <c r="K35" s="22">
        <v>26</v>
      </c>
      <c r="L35" s="22">
        <v>27</v>
      </c>
      <c r="M35" s="22">
        <v>28</v>
      </c>
      <c r="N35" s="22">
        <v>29</v>
      </c>
      <c r="O35" s="22">
        <v>30</v>
      </c>
      <c r="BH35" s="22">
        <v>18</v>
      </c>
      <c r="BI35" s="22">
        <v>24</v>
      </c>
      <c r="BJ35" s="22">
        <v>30</v>
      </c>
      <c r="BK35" s="22" t="s">
        <v>2</v>
      </c>
      <c r="BL35" s="22" t="s">
        <v>3</v>
      </c>
      <c r="BO35" s="22">
        <f t="shared" si="2"/>
        <v>0</v>
      </c>
      <c r="BP35" s="22">
        <f t="shared" si="2"/>
        <v>0</v>
      </c>
      <c r="BQ35" s="22">
        <f t="shared" si="2"/>
        <v>1</v>
      </c>
      <c r="BR35" s="22">
        <f t="shared" si="2"/>
        <v>1</v>
      </c>
    </row>
    <row r="36" spans="1:70" x14ac:dyDescent="0.25">
      <c r="A36" s="26" t="s">
        <v>49</v>
      </c>
      <c r="B36" s="25">
        <f t="shared" si="0"/>
        <v>13</v>
      </c>
      <c r="C36" s="22">
        <v>27</v>
      </c>
      <c r="D36" s="22">
        <v>28</v>
      </c>
      <c r="E36" s="22">
        <v>29</v>
      </c>
      <c r="F36" s="22">
        <v>30</v>
      </c>
      <c r="G36" s="22">
        <v>31</v>
      </c>
      <c r="H36" s="22">
        <v>32</v>
      </c>
      <c r="I36" s="22">
        <v>33</v>
      </c>
      <c r="J36" s="22">
        <v>34</v>
      </c>
      <c r="K36" s="22">
        <v>35</v>
      </c>
      <c r="L36" s="22">
        <v>36</v>
      </c>
      <c r="M36" s="22">
        <v>37</v>
      </c>
      <c r="N36" s="22">
        <v>38</v>
      </c>
      <c r="O36" s="22">
        <v>39</v>
      </c>
      <c r="BH36" s="22">
        <v>27</v>
      </c>
      <c r="BI36" s="22">
        <v>36</v>
      </c>
      <c r="BJ36" s="22">
        <v>39</v>
      </c>
      <c r="BK36" s="22" t="s">
        <v>4</v>
      </c>
      <c r="BO36" s="22">
        <f t="shared" si="2"/>
        <v>1</v>
      </c>
      <c r="BP36" s="22">
        <f t="shared" si="2"/>
        <v>0</v>
      </c>
      <c r="BQ36" s="22">
        <f t="shared" si="2"/>
        <v>0</v>
      </c>
      <c r="BR36" s="22">
        <f t="shared" si="2"/>
        <v>0</v>
      </c>
    </row>
    <row r="37" spans="1:70" x14ac:dyDescent="0.25">
      <c r="A37" s="26" t="s">
        <v>50</v>
      </c>
      <c r="B37" s="25">
        <f t="shared" si="0"/>
        <v>13</v>
      </c>
      <c r="C37" s="22">
        <v>36</v>
      </c>
      <c r="D37" s="22">
        <v>37</v>
      </c>
      <c r="E37" s="22">
        <v>38</v>
      </c>
      <c r="F37" s="22">
        <v>39</v>
      </c>
      <c r="G37" s="22">
        <v>40</v>
      </c>
      <c r="H37" s="22">
        <v>41</v>
      </c>
      <c r="I37" s="22">
        <v>42</v>
      </c>
      <c r="J37" s="22">
        <v>43</v>
      </c>
      <c r="K37" s="22">
        <v>44</v>
      </c>
      <c r="L37" s="22">
        <v>45</v>
      </c>
      <c r="M37" s="22">
        <v>46</v>
      </c>
      <c r="N37" s="22">
        <v>47</v>
      </c>
      <c r="O37" s="22">
        <v>48</v>
      </c>
      <c r="BH37" s="22">
        <v>36</v>
      </c>
      <c r="BI37" s="22">
        <v>43</v>
      </c>
      <c r="BJ37" s="22">
        <v>48</v>
      </c>
      <c r="BK37" s="22" t="s">
        <v>4</v>
      </c>
      <c r="BO37" s="22">
        <f t="shared" si="2"/>
        <v>1</v>
      </c>
      <c r="BP37" s="22">
        <f t="shared" si="2"/>
        <v>0</v>
      </c>
      <c r="BQ37" s="22">
        <f t="shared" si="2"/>
        <v>0</v>
      </c>
      <c r="BR37" s="22">
        <f t="shared" si="2"/>
        <v>0</v>
      </c>
    </row>
    <row r="38" spans="1:70" x14ac:dyDescent="0.25">
      <c r="B38" s="25" t="str">
        <f t="shared" ref="B38:B66" si="4">IF(A38="","",COUNTA(C38:BG38))</f>
        <v/>
      </c>
    </row>
    <row r="39" spans="1:70" x14ac:dyDescent="0.25">
      <c r="B39" s="25" t="str">
        <f t="shared" si="4"/>
        <v/>
      </c>
    </row>
    <row r="40" spans="1:70" x14ac:dyDescent="0.25">
      <c r="B40" s="25" t="str">
        <f t="shared" si="4"/>
        <v/>
      </c>
    </row>
    <row r="41" spans="1:70" x14ac:dyDescent="0.25">
      <c r="B41" s="25" t="str">
        <f t="shared" si="4"/>
        <v/>
      </c>
    </row>
    <row r="42" spans="1:70" x14ac:dyDescent="0.25">
      <c r="B42" s="25" t="str">
        <f t="shared" si="4"/>
        <v/>
      </c>
    </row>
    <row r="43" spans="1:70" x14ac:dyDescent="0.25">
      <c r="B43" s="25" t="str">
        <f t="shared" si="4"/>
        <v/>
      </c>
    </row>
    <row r="44" spans="1:70" x14ac:dyDescent="0.25">
      <c r="B44" s="25" t="str">
        <f t="shared" si="4"/>
        <v/>
      </c>
    </row>
    <row r="45" spans="1:70" x14ac:dyDescent="0.25">
      <c r="B45" s="25" t="str">
        <f t="shared" si="4"/>
        <v/>
      </c>
    </row>
    <row r="46" spans="1:70" x14ac:dyDescent="0.25">
      <c r="B46" s="25" t="str">
        <f t="shared" si="4"/>
        <v/>
      </c>
    </row>
    <row r="47" spans="1:70" x14ac:dyDescent="0.25">
      <c r="B47" s="25" t="str">
        <f t="shared" si="4"/>
        <v/>
      </c>
    </row>
    <row r="48" spans="1:70" x14ac:dyDescent="0.25">
      <c r="B48" s="25" t="str">
        <f t="shared" si="4"/>
        <v/>
      </c>
    </row>
    <row r="49" spans="2:2" x14ac:dyDescent="0.25">
      <c r="B49" s="25" t="str">
        <f t="shared" si="4"/>
        <v/>
      </c>
    </row>
    <row r="50" spans="2:2" x14ac:dyDescent="0.25">
      <c r="B50" s="25" t="str">
        <f t="shared" si="4"/>
        <v/>
      </c>
    </row>
    <row r="51" spans="2:2" x14ac:dyDescent="0.25">
      <c r="B51" s="25" t="str">
        <f t="shared" si="4"/>
        <v/>
      </c>
    </row>
    <row r="52" spans="2:2" x14ac:dyDescent="0.25">
      <c r="B52" s="25" t="str">
        <f t="shared" si="4"/>
        <v/>
      </c>
    </row>
    <row r="53" spans="2:2" x14ac:dyDescent="0.25">
      <c r="B53" s="25" t="str">
        <f t="shared" si="4"/>
        <v/>
      </c>
    </row>
    <row r="54" spans="2:2" x14ac:dyDescent="0.25">
      <c r="B54" s="25" t="str">
        <f t="shared" si="4"/>
        <v/>
      </c>
    </row>
    <row r="55" spans="2:2" x14ac:dyDescent="0.25">
      <c r="B55" s="25" t="str">
        <f t="shared" si="4"/>
        <v/>
      </c>
    </row>
    <row r="56" spans="2:2" x14ac:dyDescent="0.25">
      <c r="B56" s="25" t="str">
        <f t="shared" si="4"/>
        <v/>
      </c>
    </row>
    <row r="57" spans="2:2" x14ac:dyDescent="0.25">
      <c r="B57" s="25" t="str">
        <f t="shared" si="4"/>
        <v/>
      </c>
    </row>
    <row r="58" spans="2:2" x14ac:dyDescent="0.25">
      <c r="B58" s="25" t="str">
        <f t="shared" si="4"/>
        <v/>
      </c>
    </row>
    <row r="59" spans="2:2" x14ac:dyDescent="0.25">
      <c r="B59" s="25" t="str">
        <f t="shared" si="4"/>
        <v/>
      </c>
    </row>
    <row r="60" spans="2:2" x14ac:dyDescent="0.25">
      <c r="B60" s="25" t="str">
        <f t="shared" si="4"/>
        <v/>
      </c>
    </row>
    <row r="61" spans="2:2" x14ac:dyDescent="0.25">
      <c r="B61" s="25" t="str">
        <f t="shared" si="4"/>
        <v/>
      </c>
    </row>
    <row r="62" spans="2:2" x14ac:dyDescent="0.25">
      <c r="B62" s="25" t="str">
        <f t="shared" si="4"/>
        <v/>
      </c>
    </row>
    <row r="63" spans="2:2" x14ac:dyDescent="0.25">
      <c r="B63" s="25" t="str">
        <f t="shared" si="4"/>
        <v/>
      </c>
    </row>
    <row r="64" spans="2:2" x14ac:dyDescent="0.25">
      <c r="B64" s="25" t="str">
        <f t="shared" si="4"/>
        <v/>
      </c>
    </row>
    <row r="65" spans="2:2" x14ac:dyDescent="0.25">
      <c r="B65" s="25" t="str">
        <f t="shared" si="4"/>
        <v/>
      </c>
    </row>
    <row r="66" spans="2:2" x14ac:dyDescent="0.25">
      <c r="B66" s="25" t="str">
        <f t="shared" si="4"/>
        <v/>
      </c>
    </row>
    <row r="67" spans="2:2" x14ac:dyDescent="0.25">
      <c r="B67" s="25" t="str">
        <f t="shared" ref="B67:B83" si="5">IF(A67="","",COUNTA(C67:BG67))</f>
        <v/>
      </c>
    </row>
    <row r="68" spans="2:2" x14ac:dyDescent="0.25">
      <c r="B68" s="25" t="str">
        <f t="shared" si="5"/>
        <v/>
      </c>
    </row>
    <row r="69" spans="2:2" x14ac:dyDescent="0.25">
      <c r="B69" s="25" t="str">
        <f t="shared" si="5"/>
        <v/>
      </c>
    </row>
    <row r="70" spans="2:2" x14ac:dyDescent="0.25">
      <c r="B70" s="25" t="str">
        <f t="shared" si="5"/>
        <v/>
      </c>
    </row>
    <row r="71" spans="2:2" x14ac:dyDescent="0.25">
      <c r="B71" s="25" t="str">
        <f t="shared" si="5"/>
        <v/>
      </c>
    </row>
    <row r="72" spans="2:2" x14ac:dyDescent="0.25">
      <c r="B72" s="25" t="str">
        <f t="shared" si="5"/>
        <v/>
      </c>
    </row>
    <row r="73" spans="2:2" x14ac:dyDescent="0.25">
      <c r="B73" s="25" t="str">
        <f t="shared" si="5"/>
        <v/>
      </c>
    </row>
    <row r="74" spans="2:2" x14ac:dyDescent="0.25">
      <c r="B74" s="25" t="str">
        <f t="shared" si="5"/>
        <v/>
      </c>
    </row>
    <row r="75" spans="2:2" x14ac:dyDescent="0.25">
      <c r="B75" s="25" t="str">
        <f t="shared" si="5"/>
        <v/>
      </c>
    </row>
    <row r="76" spans="2:2" x14ac:dyDescent="0.25">
      <c r="B76" s="25" t="str">
        <f t="shared" si="5"/>
        <v/>
      </c>
    </row>
    <row r="77" spans="2:2" x14ac:dyDescent="0.25">
      <c r="B77" s="25" t="str">
        <f t="shared" si="5"/>
        <v/>
      </c>
    </row>
    <row r="78" spans="2:2" x14ac:dyDescent="0.25">
      <c r="B78" s="25" t="str">
        <f t="shared" si="5"/>
        <v/>
      </c>
    </row>
    <row r="79" spans="2:2" x14ac:dyDescent="0.25">
      <c r="B79" s="25" t="str">
        <f t="shared" si="5"/>
        <v/>
      </c>
    </row>
    <row r="80" spans="2:2" x14ac:dyDescent="0.25">
      <c r="B80" s="25" t="str">
        <f t="shared" si="5"/>
        <v/>
      </c>
    </row>
    <row r="81" spans="2:2" x14ac:dyDescent="0.25">
      <c r="B81" s="25" t="str">
        <f t="shared" si="5"/>
        <v/>
      </c>
    </row>
    <row r="82" spans="2:2" x14ac:dyDescent="0.25">
      <c r="B82" s="25" t="str">
        <f t="shared" si="5"/>
        <v/>
      </c>
    </row>
    <row r="83" spans="2:2" x14ac:dyDescent="0.25">
      <c r="B83" s="25" t="str">
        <f t="shared" si="5"/>
        <v/>
      </c>
    </row>
  </sheetData>
  <sheetProtection password="CCB2" sheet="1" objects="1" scenarios="1" selectLockedCells="1"/>
  <autoFilter ref="A1:BJ83"/>
  <sortState ref="A3:BJ37">
    <sortCondition ref="A3:A37"/>
  </sortState>
  <mergeCells count="1">
    <mergeCell ref="BK1:B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2-57 Point Scale</vt:lpstr>
      <vt:lpstr>Thresholds_Rates</vt:lpstr>
      <vt:lpstr>Notes &amp; Guidance</vt:lpstr>
      <vt:lpstr>Points_Lookup</vt:lpstr>
      <vt:lpstr>Grades</vt:lpstr>
      <vt:lpstr>'2-57 Point Scale'!Print_Area</vt:lpstr>
      <vt:lpstr>Rates!Print_Area</vt:lpstr>
    </vt:vector>
  </TitlesOfParts>
  <Company>The University of Nottingham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Howard Kathryn</cp:lastModifiedBy>
  <cp:lastPrinted>2014-07-01T09:48:12Z</cp:lastPrinted>
  <dcterms:created xsi:type="dcterms:W3CDTF">2011-11-03T09:54:30Z</dcterms:created>
  <dcterms:modified xsi:type="dcterms:W3CDTF">2014-07-01T14:09:09Z</dcterms:modified>
</cp:coreProperties>
</file>