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S\Registrars\HR Policy\CAT Office\Web Site\CMS Web Site Master Docs\Guides &amp; Support\Reward, Pay &amp; Allowances (DONE)\Salary Scales\"/>
    </mc:Choice>
  </mc:AlternateContent>
  <workbookProtection workbookAlgorithmName="SHA-512" workbookHashValue="eomfyAcx9EXorG8rbkYtN79k3ZQTMlbPi6yI5aBkjZ8gCggFU64APa584ZC3IDRxJIcziZC32faSiiud3sqEYQ==" workbookSaltValue="dYTeVSQdkE5hEfVoiPqtCw==" workbookSpinCount="100000" lockStructure="1"/>
  <bookViews>
    <workbookView xWindow="915" yWindow="4395" windowWidth="15420" windowHeight="3840"/>
  </bookViews>
  <sheets>
    <sheet name="Rates" sheetId="1" r:id="rId1"/>
    <sheet name="1-30 Point Scale" sheetId="6" r:id="rId2"/>
    <sheet name="Thresholds_Rates" sheetId="7" state="hidden" r:id="rId3"/>
    <sheet name="Notes &amp; Guidance" sheetId="5" r:id="rId4"/>
    <sheet name="Points_Lookup" sheetId="4" state="hidden" r:id="rId5"/>
    <sheet name="Grades" sheetId="2" state="hidden" r:id="rId6"/>
  </sheets>
  <definedNames>
    <definedName name="_xlnm._FilterDatabase" localSheetId="5" hidden="1">Grades!$A$1:$BJ$55</definedName>
    <definedName name="LIST">OFFSET(Grades!$A$2,0,0,COUNTA(Grades!$A:$A)-1,1)</definedName>
    <definedName name="_xlnm.Print_Area" localSheetId="1">'1-30 Point Scale'!$A$4:$T$34</definedName>
    <definedName name="_xlnm.Print_Area" localSheetId="0">Rates!$B$3:$O$36</definedName>
  </definedNames>
  <calcPr calcId="152511"/>
</workbook>
</file>

<file path=xl/calcChain.xml><?xml version="1.0" encoding="utf-8"?>
<calcChain xmlns="http://schemas.openxmlformats.org/spreadsheetml/2006/main">
  <c r="J25" i="6" l="1"/>
  <c r="J31" i="6"/>
  <c r="J32" i="6"/>
  <c r="J33" i="6"/>
  <c r="J34" i="6"/>
  <c r="C15" i="7" l="1"/>
  <c r="E4" i="1" s="1"/>
  <c r="C18" i="7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J5" i="6" l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78" i="1"/>
  <c r="L178" i="1"/>
  <c r="M178" i="1"/>
  <c r="N178" i="1"/>
  <c r="O178" i="1"/>
  <c r="K179" i="1"/>
  <c r="L179" i="1"/>
  <c r="M179" i="1"/>
  <c r="N179" i="1"/>
  <c r="O179" i="1"/>
  <c r="K180" i="1"/>
  <c r="L180" i="1"/>
  <c r="M180" i="1"/>
  <c r="N180" i="1"/>
  <c r="O180" i="1"/>
  <c r="K181" i="1"/>
  <c r="L181" i="1"/>
  <c r="M181" i="1"/>
  <c r="N181" i="1"/>
  <c r="O181" i="1"/>
  <c r="K182" i="1"/>
  <c r="L182" i="1"/>
  <c r="M182" i="1"/>
  <c r="N182" i="1"/>
  <c r="O182" i="1"/>
  <c r="K183" i="1"/>
  <c r="L183" i="1"/>
  <c r="M183" i="1"/>
  <c r="N183" i="1"/>
  <c r="O183" i="1"/>
  <c r="K184" i="1"/>
  <c r="L184" i="1"/>
  <c r="M184" i="1"/>
  <c r="N184" i="1"/>
  <c r="O184" i="1"/>
  <c r="K185" i="1"/>
  <c r="L185" i="1"/>
  <c r="M185" i="1"/>
  <c r="N185" i="1"/>
  <c r="O185" i="1"/>
  <c r="K186" i="1"/>
  <c r="L186" i="1"/>
  <c r="M186" i="1"/>
  <c r="N186" i="1"/>
  <c r="O186" i="1"/>
  <c r="K187" i="1"/>
  <c r="L187" i="1"/>
  <c r="M187" i="1"/>
  <c r="N187" i="1"/>
  <c r="O187" i="1"/>
  <c r="K188" i="1"/>
  <c r="L188" i="1"/>
  <c r="M188" i="1"/>
  <c r="N188" i="1"/>
  <c r="O188" i="1"/>
  <c r="K189" i="1"/>
  <c r="L189" i="1"/>
  <c r="M189" i="1"/>
  <c r="N189" i="1"/>
  <c r="O189" i="1"/>
  <c r="K190" i="1"/>
  <c r="L190" i="1"/>
  <c r="M190" i="1"/>
  <c r="N190" i="1"/>
  <c r="O190" i="1"/>
  <c r="K191" i="1"/>
  <c r="L191" i="1"/>
  <c r="M191" i="1"/>
  <c r="N191" i="1"/>
  <c r="O191" i="1"/>
  <c r="K192" i="1"/>
  <c r="L192" i="1"/>
  <c r="M192" i="1"/>
  <c r="N192" i="1"/>
  <c r="O192" i="1"/>
  <c r="K193" i="1"/>
  <c r="L193" i="1"/>
  <c r="M193" i="1"/>
  <c r="N193" i="1"/>
  <c r="O193" i="1"/>
  <c r="K194" i="1"/>
  <c r="L194" i="1"/>
  <c r="M194" i="1"/>
  <c r="N194" i="1"/>
  <c r="O194" i="1"/>
  <c r="K195" i="1"/>
  <c r="L195" i="1"/>
  <c r="M195" i="1"/>
  <c r="N195" i="1"/>
  <c r="O195" i="1"/>
  <c r="K196" i="1"/>
  <c r="L196" i="1"/>
  <c r="M196" i="1"/>
  <c r="N196" i="1"/>
  <c r="O196" i="1"/>
  <c r="K197" i="1"/>
  <c r="L197" i="1"/>
  <c r="M197" i="1"/>
  <c r="N197" i="1"/>
  <c r="O197" i="1"/>
  <c r="K198" i="1"/>
  <c r="L198" i="1"/>
  <c r="M198" i="1"/>
  <c r="N198" i="1"/>
  <c r="O198" i="1"/>
  <c r="K199" i="1"/>
  <c r="L199" i="1"/>
  <c r="M199" i="1"/>
  <c r="N199" i="1"/>
  <c r="O199" i="1"/>
  <c r="K200" i="1"/>
  <c r="L200" i="1"/>
  <c r="M200" i="1"/>
  <c r="N200" i="1"/>
  <c r="O200" i="1"/>
  <c r="K201" i="1"/>
  <c r="L201" i="1"/>
  <c r="M201" i="1"/>
  <c r="N201" i="1"/>
  <c r="O201" i="1"/>
  <c r="K202" i="1"/>
  <c r="L202" i="1"/>
  <c r="M202" i="1"/>
  <c r="N202" i="1"/>
  <c r="O202" i="1"/>
  <c r="K203" i="1"/>
  <c r="L203" i="1"/>
  <c r="M203" i="1"/>
  <c r="N203" i="1"/>
  <c r="O203" i="1"/>
  <c r="K204" i="1"/>
  <c r="L204" i="1"/>
  <c r="M204" i="1"/>
  <c r="N204" i="1"/>
  <c r="O204" i="1"/>
  <c r="K205" i="1"/>
  <c r="L205" i="1"/>
  <c r="M205" i="1"/>
  <c r="N205" i="1"/>
  <c r="O205" i="1"/>
  <c r="K206" i="1"/>
  <c r="L206" i="1"/>
  <c r="M206" i="1"/>
  <c r="N206" i="1"/>
  <c r="O206" i="1"/>
  <c r="K207" i="1"/>
  <c r="L207" i="1"/>
  <c r="M207" i="1"/>
  <c r="N207" i="1"/>
  <c r="O207" i="1"/>
  <c r="K208" i="1"/>
  <c r="L208" i="1"/>
  <c r="M208" i="1"/>
  <c r="N208" i="1"/>
  <c r="O208" i="1"/>
  <c r="K209" i="1"/>
  <c r="L209" i="1"/>
  <c r="M209" i="1"/>
  <c r="N209" i="1"/>
  <c r="O209" i="1"/>
  <c r="K210" i="1"/>
  <c r="L210" i="1"/>
  <c r="M210" i="1"/>
  <c r="N210" i="1"/>
  <c r="O210" i="1"/>
  <c r="K211" i="1"/>
  <c r="L211" i="1"/>
  <c r="M211" i="1"/>
  <c r="N211" i="1"/>
  <c r="O211" i="1"/>
  <c r="K212" i="1"/>
  <c r="L212" i="1"/>
  <c r="M212" i="1"/>
  <c r="N212" i="1"/>
  <c r="O212" i="1"/>
  <c r="K213" i="1"/>
  <c r="L213" i="1"/>
  <c r="M213" i="1"/>
  <c r="N213" i="1"/>
  <c r="O213" i="1"/>
  <c r="K214" i="1"/>
  <c r="L214" i="1"/>
  <c r="M214" i="1"/>
  <c r="N214" i="1"/>
  <c r="O214" i="1"/>
  <c r="K215" i="1"/>
  <c r="L215" i="1"/>
  <c r="M215" i="1"/>
  <c r="N215" i="1"/>
  <c r="O215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229" i="1"/>
  <c r="L229" i="1"/>
  <c r="M229" i="1"/>
  <c r="N229" i="1"/>
  <c r="O229" i="1"/>
  <c r="K230" i="1"/>
  <c r="L230" i="1"/>
  <c r="M230" i="1"/>
  <c r="N230" i="1"/>
  <c r="O230" i="1"/>
  <c r="K231" i="1"/>
  <c r="L231" i="1"/>
  <c r="M231" i="1"/>
  <c r="N231" i="1"/>
  <c r="O231" i="1"/>
  <c r="K232" i="1"/>
  <c r="L232" i="1"/>
  <c r="M232" i="1"/>
  <c r="N232" i="1"/>
  <c r="O232" i="1"/>
  <c r="K233" i="1"/>
  <c r="L233" i="1"/>
  <c r="M233" i="1"/>
  <c r="N233" i="1"/>
  <c r="O233" i="1"/>
  <c r="K234" i="1"/>
  <c r="L234" i="1"/>
  <c r="M234" i="1"/>
  <c r="N234" i="1"/>
  <c r="O234" i="1"/>
  <c r="K235" i="1"/>
  <c r="L235" i="1"/>
  <c r="M235" i="1"/>
  <c r="N235" i="1"/>
  <c r="O235" i="1"/>
  <c r="K236" i="1"/>
  <c r="L236" i="1"/>
  <c r="M236" i="1"/>
  <c r="N236" i="1"/>
  <c r="O236" i="1"/>
  <c r="K237" i="1"/>
  <c r="L237" i="1"/>
  <c r="M237" i="1"/>
  <c r="N237" i="1"/>
  <c r="O237" i="1"/>
  <c r="K238" i="1"/>
  <c r="L238" i="1"/>
  <c r="M238" i="1"/>
  <c r="N238" i="1"/>
  <c r="O238" i="1"/>
  <c r="K239" i="1"/>
  <c r="L239" i="1"/>
  <c r="M239" i="1"/>
  <c r="N239" i="1"/>
  <c r="O239" i="1"/>
  <c r="K240" i="1"/>
  <c r="L240" i="1"/>
  <c r="M240" i="1"/>
  <c r="N240" i="1"/>
  <c r="O240" i="1"/>
  <c r="K241" i="1"/>
  <c r="L241" i="1"/>
  <c r="M241" i="1"/>
  <c r="N241" i="1"/>
  <c r="O241" i="1"/>
  <c r="K242" i="1"/>
  <c r="L242" i="1"/>
  <c r="M242" i="1"/>
  <c r="N242" i="1"/>
  <c r="O242" i="1"/>
  <c r="K243" i="1"/>
  <c r="L243" i="1"/>
  <c r="M243" i="1"/>
  <c r="N243" i="1"/>
  <c r="O243" i="1"/>
  <c r="K244" i="1"/>
  <c r="L244" i="1"/>
  <c r="M244" i="1"/>
  <c r="N244" i="1"/>
  <c r="O244" i="1"/>
  <c r="K245" i="1"/>
  <c r="L245" i="1"/>
  <c r="M245" i="1"/>
  <c r="N245" i="1"/>
  <c r="O245" i="1"/>
  <c r="K246" i="1"/>
  <c r="L246" i="1"/>
  <c r="M246" i="1"/>
  <c r="N246" i="1"/>
  <c r="O246" i="1"/>
  <c r="K247" i="1"/>
  <c r="L247" i="1"/>
  <c r="M247" i="1"/>
  <c r="N247" i="1"/>
  <c r="O247" i="1"/>
  <c r="K248" i="1"/>
  <c r="L248" i="1"/>
  <c r="M248" i="1"/>
  <c r="N248" i="1"/>
  <c r="O248" i="1"/>
  <c r="K249" i="1"/>
  <c r="L249" i="1"/>
  <c r="M249" i="1"/>
  <c r="N249" i="1"/>
  <c r="O249" i="1"/>
  <c r="K250" i="1"/>
  <c r="L250" i="1"/>
  <c r="M250" i="1"/>
  <c r="N250" i="1"/>
  <c r="O250" i="1"/>
  <c r="K251" i="1"/>
  <c r="L251" i="1"/>
  <c r="M251" i="1"/>
  <c r="N251" i="1"/>
  <c r="O251" i="1"/>
  <c r="K252" i="1"/>
  <c r="L252" i="1"/>
  <c r="M252" i="1"/>
  <c r="N252" i="1"/>
  <c r="O252" i="1"/>
  <c r="K253" i="1"/>
  <c r="L253" i="1"/>
  <c r="M253" i="1"/>
  <c r="N253" i="1"/>
  <c r="O253" i="1"/>
  <c r="K254" i="1"/>
  <c r="L254" i="1"/>
  <c r="M254" i="1"/>
  <c r="N254" i="1"/>
  <c r="O254" i="1"/>
  <c r="K255" i="1"/>
  <c r="L255" i="1"/>
  <c r="M255" i="1"/>
  <c r="N255" i="1"/>
  <c r="O255" i="1"/>
  <c r="K256" i="1"/>
  <c r="L256" i="1"/>
  <c r="M256" i="1"/>
  <c r="N256" i="1"/>
  <c r="O256" i="1"/>
  <c r="K257" i="1"/>
  <c r="L257" i="1"/>
  <c r="M257" i="1"/>
  <c r="N257" i="1"/>
  <c r="O257" i="1"/>
  <c r="K258" i="1"/>
  <c r="L258" i="1"/>
  <c r="M258" i="1"/>
  <c r="N258" i="1"/>
  <c r="O258" i="1"/>
  <c r="K259" i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80" i="1"/>
  <c r="L280" i="1"/>
  <c r="M280" i="1"/>
  <c r="N280" i="1"/>
  <c r="O280" i="1"/>
  <c r="K281" i="1"/>
  <c r="L281" i="1"/>
  <c r="M281" i="1"/>
  <c r="N281" i="1"/>
  <c r="O281" i="1"/>
  <c r="K282" i="1"/>
  <c r="L282" i="1"/>
  <c r="M282" i="1"/>
  <c r="N282" i="1"/>
  <c r="O282" i="1"/>
  <c r="K283" i="1"/>
  <c r="L283" i="1"/>
  <c r="M283" i="1"/>
  <c r="N283" i="1"/>
  <c r="O283" i="1"/>
  <c r="K284" i="1"/>
  <c r="L284" i="1"/>
  <c r="M284" i="1"/>
  <c r="N284" i="1"/>
  <c r="O284" i="1"/>
  <c r="K285" i="1"/>
  <c r="L285" i="1"/>
  <c r="M285" i="1"/>
  <c r="N285" i="1"/>
  <c r="O285" i="1"/>
  <c r="K286" i="1"/>
  <c r="L286" i="1"/>
  <c r="M286" i="1"/>
  <c r="N286" i="1"/>
  <c r="O286" i="1"/>
  <c r="K287" i="1"/>
  <c r="L287" i="1"/>
  <c r="M287" i="1"/>
  <c r="N287" i="1"/>
  <c r="O287" i="1"/>
  <c r="K288" i="1"/>
  <c r="L288" i="1"/>
  <c r="M288" i="1"/>
  <c r="N288" i="1"/>
  <c r="O288" i="1"/>
  <c r="K289" i="1"/>
  <c r="L289" i="1"/>
  <c r="M289" i="1"/>
  <c r="N289" i="1"/>
  <c r="O289" i="1"/>
  <c r="K290" i="1"/>
  <c r="L290" i="1"/>
  <c r="M290" i="1"/>
  <c r="N290" i="1"/>
  <c r="O290" i="1"/>
  <c r="K291" i="1"/>
  <c r="L291" i="1"/>
  <c r="M291" i="1"/>
  <c r="N291" i="1"/>
  <c r="O291" i="1"/>
  <c r="K292" i="1"/>
  <c r="L292" i="1"/>
  <c r="M292" i="1"/>
  <c r="N292" i="1"/>
  <c r="O292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297" i="1"/>
  <c r="L297" i="1"/>
  <c r="M297" i="1"/>
  <c r="N297" i="1"/>
  <c r="O297" i="1"/>
  <c r="K298" i="1"/>
  <c r="L298" i="1"/>
  <c r="M298" i="1"/>
  <c r="N298" i="1"/>
  <c r="O298" i="1"/>
  <c r="K299" i="1"/>
  <c r="L299" i="1"/>
  <c r="M299" i="1"/>
  <c r="N299" i="1"/>
  <c r="O299" i="1"/>
  <c r="K300" i="1"/>
  <c r="L300" i="1"/>
  <c r="M300" i="1"/>
  <c r="N300" i="1"/>
  <c r="O300" i="1"/>
  <c r="K301" i="1"/>
  <c r="L301" i="1"/>
  <c r="M301" i="1"/>
  <c r="N301" i="1"/>
  <c r="O301" i="1"/>
  <c r="K302" i="1"/>
  <c r="L302" i="1"/>
  <c r="M302" i="1"/>
  <c r="N302" i="1"/>
  <c r="O302" i="1"/>
  <c r="K303" i="1"/>
  <c r="L303" i="1"/>
  <c r="M303" i="1"/>
  <c r="N303" i="1"/>
  <c r="O303" i="1"/>
  <c r="BO10" i="2"/>
  <c r="BP10" i="2"/>
  <c r="BQ10" i="2"/>
  <c r="BR10" i="2"/>
  <c r="BO11" i="2"/>
  <c r="BP11" i="2"/>
  <c r="BQ11" i="2"/>
  <c r="BR11" i="2"/>
  <c r="BO12" i="2"/>
  <c r="BP12" i="2"/>
  <c r="BQ12" i="2"/>
  <c r="BR12" i="2"/>
  <c r="BO13" i="2"/>
  <c r="BP13" i="2"/>
  <c r="BQ13" i="2"/>
  <c r="BR13" i="2"/>
  <c r="BO14" i="2"/>
  <c r="BP14" i="2"/>
  <c r="BQ14" i="2"/>
  <c r="BR14" i="2"/>
  <c r="BO15" i="2"/>
  <c r="BP15" i="2"/>
  <c r="BQ15" i="2"/>
  <c r="BR15" i="2"/>
  <c r="BO16" i="2"/>
  <c r="BP16" i="2"/>
  <c r="BQ16" i="2"/>
  <c r="BR16" i="2"/>
  <c r="BO17" i="2"/>
  <c r="BP17" i="2"/>
  <c r="BQ17" i="2"/>
  <c r="BR17" i="2"/>
  <c r="BO18" i="2"/>
  <c r="BP18" i="2"/>
  <c r="BQ18" i="2"/>
  <c r="BR18" i="2"/>
  <c r="BO19" i="2"/>
  <c r="BP19" i="2"/>
  <c r="BQ19" i="2"/>
  <c r="BR19" i="2"/>
  <c r="BO20" i="2"/>
  <c r="BP20" i="2"/>
  <c r="BQ20" i="2"/>
  <c r="BR20" i="2"/>
  <c r="BO21" i="2"/>
  <c r="BP21" i="2"/>
  <c r="BQ21" i="2"/>
  <c r="BR21" i="2"/>
  <c r="BO22" i="2"/>
  <c r="BP22" i="2"/>
  <c r="BQ22" i="2"/>
  <c r="BR22" i="2"/>
  <c r="BO23" i="2"/>
  <c r="BP23" i="2"/>
  <c r="BQ23" i="2"/>
  <c r="BR23" i="2"/>
  <c r="AC7" i="4" l="1"/>
  <c r="AC4" i="4"/>
  <c r="B55" i="2" l="1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R9" i="2"/>
  <c r="BQ9" i="2"/>
  <c r="BP9" i="2"/>
  <c r="BO9" i="2"/>
  <c r="B9" i="2"/>
  <c r="BR8" i="2"/>
  <c r="BQ8" i="2"/>
  <c r="BP8" i="2"/>
  <c r="BO8" i="2"/>
  <c r="B8" i="2"/>
  <c r="BR7" i="2"/>
  <c r="BQ7" i="2"/>
  <c r="BP7" i="2"/>
  <c r="BO7" i="2"/>
  <c r="B7" i="2"/>
  <c r="BR6" i="2"/>
  <c r="BQ6" i="2"/>
  <c r="BP6" i="2"/>
  <c r="BO6" i="2"/>
  <c r="B6" i="2"/>
  <c r="BR5" i="2"/>
  <c r="BQ5" i="2"/>
  <c r="BP5" i="2"/>
  <c r="BO5" i="2"/>
  <c r="B5" i="2"/>
  <c r="BR4" i="2"/>
  <c r="BQ4" i="2"/>
  <c r="BP4" i="2"/>
  <c r="BO4" i="2"/>
  <c r="B4" i="2"/>
  <c r="BR3" i="2"/>
  <c r="BQ3" i="2"/>
  <c r="BP3" i="2"/>
  <c r="BO3" i="2"/>
  <c r="B3" i="2"/>
  <c r="AE285" i="4" s="1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AC5" i="4" s="1"/>
  <c r="B61" i="4"/>
  <c r="B60" i="4"/>
  <c r="AC3" i="4" s="1"/>
  <c r="V15" i="4"/>
  <c r="O15" i="4"/>
  <c r="P15" i="4" s="1"/>
  <c r="V14" i="4"/>
  <c r="W14" i="4" s="1"/>
  <c r="O14" i="4"/>
  <c r="R14" i="4" s="1"/>
  <c r="AC13" i="4"/>
  <c r="V13" i="4"/>
  <c r="W13" i="4" s="1"/>
  <c r="O13" i="4"/>
  <c r="R13" i="4" s="1"/>
  <c r="AC12" i="4"/>
  <c r="V12" i="4"/>
  <c r="W12" i="4" s="1"/>
  <c r="O12" i="4"/>
  <c r="R12" i="4" s="1"/>
  <c r="AC11" i="4"/>
  <c r="V11" i="4"/>
  <c r="W11" i="4" s="1"/>
  <c r="O11" i="4"/>
  <c r="R11" i="4" s="1"/>
  <c r="AE10" i="4"/>
  <c r="AC10" i="4"/>
  <c r="V10" i="4"/>
  <c r="W10" i="4" s="1"/>
  <c r="O10" i="4"/>
  <c r="R10" i="4" s="1"/>
  <c r="AE9" i="4"/>
  <c r="V9" i="4"/>
  <c r="Y9" i="4" s="1"/>
  <c r="O9" i="4"/>
  <c r="AC8" i="4"/>
  <c r="V8" i="4"/>
  <c r="Y8" i="4" s="1"/>
  <c r="O8" i="4"/>
  <c r="R8" i="4" s="1"/>
  <c r="V7" i="4"/>
  <c r="Y7" i="4" s="1"/>
  <c r="O7" i="4"/>
  <c r="AC6" i="4"/>
  <c r="V6" i="4"/>
  <c r="Y6" i="4" s="1"/>
  <c r="O6" i="4"/>
  <c r="V5" i="4"/>
  <c r="Y5" i="4" s="1"/>
  <c r="O5" i="4"/>
  <c r="R5" i="4" s="1"/>
  <c r="V4" i="4"/>
  <c r="Y4" i="4" s="1"/>
  <c r="O4" i="4"/>
  <c r="V3" i="4"/>
  <c r="Y3" i="4" s="1"/>
  <c r="O3" i="4"/>
  <c r="J30" i="6"/>
  <c r="J29" i="6"/>
  <c r="J28" i="6"/>
  <c r="J27" i="6"/>
  <c r="J26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T8" i="1"/>
  <c r="S8" i="1"/>
  <c r="R8" i="1"/>
  <c r="Q8" i="1"/>
  <c r="C8" i="1"/>
  <c r="S7" i="1"/>
  <c r="Q7" i="1"/>
  <c r="AE20" i="4" l="1"/>
  <c r="AE3" i="4"/>
  <c r="P12" i="4"/>
  <c r="AE27" i="4"/>
  <c r="AE271" i="4"/>
  <c r="AE19" i="4"/>
  <c r="AE51" i="4"/>
  <c r="AE78" i="4"/>
  <c r="AE52" i="4"/>
  <c r="AE95" i="4"/>
  <c r="AE35" i="4"/>
  <c r="AE175" i="4"/>
  <c r="AE36" i="4"/>
  <c r="AE223" i="4"/>
  <c r="AE43" i="4"/>
  <c r="AE111" i="4"/>
  <c r="AE239" i="4"/>
  <c r="AE13" i="4"/>
  <c r="AE28" i="4"/>
  <c r="AE44" i="4"/>
  <c r="AE159" i="4"/>
  <c r="AE255" i="4"/>
  <c r="AE7" i="4"/>
  <c r="AE8" i="4"/>
  <c r="AE15" i="4"/>
  <c r="AE23" i="4"/>
  <c r="AE31" i="4"/>
  <c r="AE39" i="4"/>
  <c r="AE47" i="4"/>
  <c r="AE56" i="4"/>
  <c r="AE82" i="4"/>
  <c r="AE127" i="4"/>
  <c r="AE191" i="4"/>
  <c r="AE14" i="4"/>
  <c r="AE16" i="4"/>
  <c r="AE24" i="4"/>
  <c r="AE32" i="4"/>
  <c r="AE40" i="4"/>
  <c r="AE48" i="4"/>
  <c r="AE86" i="4"/>
  <c r="AE143" i="4"/>
  <c r="AE207" i="4"/>
  <c r="P10" i="4"/>
  <c r="Y11" i="4"/>
  <c r="Y13" i="4"/>
  <c r="P14" i="4"/>
  <c r="R15" i="4"/>
  <c r="AE6" i="4"/>
  <c r="AE21" i="4"/>
  <c r="AE33" i="4"/>
  <c r="AE41" i="4"/>
  <c r="AE53" i="4"/>
  <c r="AE62" i="4"/>
  <c r="AE68" i="4"/>
  <c r="AE72" i="4"/>
  <c r="AE74" i="4"/>
  <c r="AE76" i="4"/>
  <c r="AE79" i="4"/>
  <c r="AE83" i="4"/>
  <c r="AE87" i="4"/>
  <c r="AE99" i="4"/>
  <c r="AE115" i="4"/>
  <c r="AE131" i="4"/>
  <c r="AE147" i="4"/>
  <c r="AE163" i="4"/>
  <c r="AE179" i="4"/>
  <c r="AE195" i="4"/>
  <c r="AE211" i="4"/>
  <c r="AE227" i="4"/>
  <c r="AE243" i="4"/>
  <c r="AE259" i="4"/>
  <c r="AE275" i="4"/>
  <c r="AE5" i="4"/>
  <c r="AE11" i="4"/>
  <c r="AE17" i="4"/>
  <c r="AE25" i="4"/>
  <c r="AE29" i="4"/>
  <c r="AE37" i="4"/>
  <c r="AE45" i="4"/>
  <c r="AE49" i="4"/>
  <c r="AE57" i="4"/>
  <c r="AE60" i="4"/>
  <c r="AE64" i="4"/>
  <c r="AE66" i="4"/>
  <c r="AE70" i="4"/>
  <c r="AE4" i="4"/>
  <c r="AE12" i="4"/>
  <c r="AE18" i="4"/>
  <c r="AE22" i="4"/>
  <c r="AE26" i="4"/>
  <c r="AE30" i="4"/>
  <c r="AE34" i="4"/>
  <c r="AE38" i="4"/>
  <c r="AE42" i="4"/>
  <c r="AE46" i="4"/>
  <c r="AE50" i="4"/>
  <c r="AE54" i="4"/>
  <c r="AE58" i="4"/>
  <c r="AE80" i="4"/>
  <c r="AE84" i="4"/>
  <c r="AE90" i="4"/>
  <c r="AE103" i="4"/>
  <c r="AE119" i="4"/>
  <c r="AE135" i="4"/>
  <c r="AE151" i="4"/>
  <c r="AE167" i="4"/>
  <c r="AE183" i="4"/>
  <c r="AE199" i="4"/>
  <c r="AE215" i="4"/>
  <c r="AE231" i="4"/>
  <c r="AE247" i="4"/>
  <c r="AE263" i="4"/>
  <c r="AE279" i="4"/>
  <c r="AE55" i="4"/>
  <c r="AE59" i="4"/>
  <c r="AE61" i="4"/>
  <c r="AE63" i="4"/>
  <c r="AE65" i="4"/>
  <c r="AE67" i="4"/>
  <c r="AE69" i="4"/>
  <c r="AE71" i="4"/>
  <c r="AE73" i="4"/>
  <c r="AE75" i="4"/>
  <c r="AE77" i="4"/>
  <c r="AE81" i="4"/>
  <c r="AE85" i="4"/>
  <c r="AE91" i="4"/>
  <c r="AE107" i="4"/>
  <c r="AE123" i="4"/>
  <c r="AE139" i="4"/>
  <c r="AE155" i="4"/>
  <c r="AE171" i="4"/>
  <c r="AE187" i="4"/>
  <c r="AE203" i="4"/>
  <c r="AE219" i="4"/>
  <c r="AE235" i="4"/>
  <c r="AE251" i="4"/>
  <c r="AE267" i="4"/>
  <c r="AE283" i="4"/>
  <c r="AE94" i="4"/>
  <c r="AE98" i="4"/>
  <c r="AE102" i="4"/>
  <c r="AE106" i="4"/>
  <c r="AE110" i="4"/>
  <c r="AE114" i="4"/>
  <c r="AE118" i="4"/>
  <c r="AE122" i="4"/>
  <c r="AE126" i="4"/>
  <c r="AE130" i="4"/>
  <c r="AE134" i="4"/>
  <c r="AE138" i="4"/>
  <c r="AE142" i="4"/>
  <c r="AE146" i="4"/>
  <c r="AE150" i="4"/>
  <c r="AE154" i="4"/>
  <c r="AE158" i="4"/>
  <c r="AE162" i="4"/>
  <c r="AE166" i="4"/>
  <c r="AE170" i="4"/>
  <c r="AE174" i="4"/>
  <c r="AE178" i="4"/>
  <c r="AE182" i="4"/>
  <c r="AE186" i="4"/>
  <c r="AE190" i="4"/>
  <c r="AE194" i="4"/>
  <c r="AE198" i="4"/>
  <c r="AE202" i="4"/>
  <c r="AE206" i="4"/>
  <c r="AE210" i="4"/>
  <c r="AE214" i="4"/>
  <c r="AE218" i="4"/>
  <c r="AE222" i="4"/>
  <c r="AE226" i="4"/>
  <c r="AE230" i="4"/>
  <c r="AE234" i="4"/>
  <c r="AE238" i="4"/>
  <c r="AE242" i="4"/>
  <c r="AE246" i="4"/>
  <c r="AE250" i="4"/>
  <c r="AE254" i="4"/>
  <c r="AE258" i="4"/>
  <c r="AE262" i="4"/>
  <c r="AE266" i="4"/>
  <c r="AE270" i="4"/>
  <c r="AE274" i="4"/>
  <c r="AE278" i="4"/>
  <c r="AE282" i="4"/>
  <c r="AE286" i="4"/>
  <c r="AE88" i="4"/>
  <c r="AE92" i="4"/>
  <c r="AE96" i="4"/>
  <c r="AE100" i="4"/>
  <c r="AE104" i="4"/>
  <c r="AE108" i="4"/>
  <c r="AE112" i="4"/>
  <c r="AE116" i="4"/>
  <c r="AE120" i="4"/>
  <c r="AE124" i="4"/>
  <c r="AE128" i="4"/>
  <c r="AE132" i="4"/>
  <c r="AE136" i="4"/>
  <c r="AE140" i="4"/>
  <c r="AE144" i="4"/>
  <c r="AE148" i="4"/>
  <c r="AE152" i="4"/>
  <c r="AE156" i="4"/>
  <c r="AE160" i="4"/>
  <c r="AE164" i="4"/>
  <c r="AE168" i="4"/>
  <c r="AE172" i="4"/>
  <c r="AE176" i="4"/>
  <c r="AE180" i="4"/>
  <c r="AE184" i="4"/>
  <c r="AE188" i="4"/>
  <c r="AE192" i="4"/>
  <c r="AE196" i="4"/>
  <c r="AE200" i="4"/>
  <c r="AE204" i="4"/>
  <c r="AE208" i="4"/>
  <c r="AE212" i="4"/>
  <c r="AE216" i="4"/>
  <c r="AE220" i="4"/>
  <c r="AE224" i="4"/>
  <c r="AE228" i="4"/>
  <c r="AE232" i="4"/>
  <c r="AE236" i="4"/>
  <c r="AE240" i="4"/>
  <c r="AE244" i="4"/>
  <c r="AE248" i="4"/>
  <c r="AE252" i="4"/>
  <c r="AE256" i="4"/>
  <c r="AE260" i="4"/>
  <c r="AE264" i="4"/>
  <c r="AE268" i="4"/>
  <c r="AE272" i="4"/>
  <c r="AE276" i="4"/>
  <c r="AE280" i="4"/>
  <c r="AE284" i="4"/>
  <c r="AE89" i="4"/>
  <c r="AE93" i="4"/>
  <c r="AE97" i="4"/>
  <c r="AE101" i="4"/>
  <c r="AE105" i="4"/>
  <c r="AE109" i="4"/>
  <c r="AE113" i="4"/>
  <c r="AE117" i="4"/>
  <c r="AE121" i="4"/>
  <c r="AE125" i="4"/>
  <c r="AE129" i="4"/>
  <c r="AE133" i="4"/>
  <c r="AE137" i="4"/>
  <c r="AE141" i="4"/>
  <c r="AE145" i="4"/>
  <c r="AE149" i="4"/>
  <c r="AE153" i="4"/>
  <c r="AE157" i="4"/>
  <c r="AE161" i="4"/>
  <c r="AE165" i="4"/>
  <c r="AE169" i="4"/>
  <c r="AE173" i="4"/>
  <c r="AE177" i="4"/>
  <c r="AE181" i="4"/>
  <c r="AE185" i="4"/>
  <c r="AE189" i="4"/>
  <c r="AE193" i="4"/>
  <c r="AE197" i="4"/>
  <c r="AE201" i="4"/>
  <c r="AE205" i="4"/>
  <c r="AE209" i="4"/>
  <c r="AE213" i="4"/>
  <c r="AE217" i="4"/>
  <c r="AE221" i="4"/>
  <c r="AE225" i="4"/>
  <c r="AE229" i="4"/>
  <c r="AE233" i="4"/>
  <c r="AE237" i="4"/>
  <c r="AE241" i="4"/>
  <c r="AE245" i="4"/>
  <c r="AE249" i="4"/>
  <c r="AE253" i="4"/>
  <c r="AE257" i="4"/>
  <c r="AE261" i="4"/>
  <c r="AE265" i="4"/>
  <c r="AE269" i="4"/>
  <c r="AE273" i="4"/>
  <c r="AE277" i="4"/>
  <c r="AE281" i="4"/>
  <c r="P8" i="4"/>
  <c r="W8" i="4"/>
  <c r="W3" i="4"/>
  <c r="P5" i="4"/>
  <c r="W5" i="4"/>
  <c r="W9" i="4"/>
  <c r="W4" i="4"/>
  <c r="W6" i="4"/>
  <c r="W7" i="4"/>
  <c r="Y10" i="4"/>
  <c r="P11" i="4"/>
  <c r="Y12" i="4"/>
  <c r="P13" i="4"/>
  <c r="Y14" i="4"/>
  <c r="W15" i="4"/>
  <c r="Y15" i="4"/>
  <c r="R7" i="4"/>
  <c r="P7" i="4"/>
  <c r="R3" i="4"/>
  <c r="P3" i="4"/>
  <c r="R4" i="4"/>
  <c r="P4" i="4"/>
  <c r="R6" i="4"/>
  <c r="P6" i="4"/>
  <c r="R9" i="4"/>
  <c r="P9" i="4"/>
  <c r="B9" i="1" l="1"/>
  <c r="S9" i="1" s="1"/>
  <c r="T9" i="1" s="1"/>
  <c r="B64" i="1"/>
  <c r="B31" i="1"/>
  <c r="B11" i="1"/>
  <c r="B45" i="1"/>
  <c r="B42" i="1"/>
  <c r="B47" i="1"/>
  <c r="B21" i="1"/>
  <c r="B63" i="1"/>
  <c r="T63" i="1" s="1"/>
  <c r="B30" i="1"/>
  <c r="B44" i="1"/>
  <c r="B15" i="1"/>
  <c r="C15" i="1" s="1"/>
  <c r="H15" i="1" s="1"/>
  <c r="I15" i="1" s="1"/>
  <c r="B10" i="1"/>
  <c r="B37" i="1"/>
  <c r="B36" i="1"/>
  <c r="B35" i="1"/>
  <c r="B20" i="1"/>
  <c r="C20" i="1" s="1"/>
  <c r="H20" i="1" s="1"/>
  <c r="B12" i="1"/>
  <c r="B17" i="1"/>
  <c r="C17" i="1" s="1"/>
  <c r="H17" i="1" s="1"/>
  <c r="I17" i="1" s="1"/>
  <c r="B13" i="1"/>
  <c r="B52" i="1"/>
  <c r="B26" i="1"/>
  <c r="B19" i="1"/>
  <c r="B23" i="1"/>
  <c r="B28" i="1"/>
  <c r="B49" i="1"/>
  <c r="B51" i="1"/>
  <c r="B53" i="1"/>
  <c r="B48" i="1"/>
  <c r="B32" i="1"/>
  <c r="B61" i="1"/>
  <c r="B41" i="1"/>
  <c r="B29" i="1"/>
  <c r="B62" i="1"/>
  <c r="B33" i="1"/>
  <c r="B54" i="1"/>
  <c r="B39" i="1"/>
  <c r="B55" i="1"/>
  <c r="B18" i="1"/>
  <c r="B40" i="1"/>
  <c r="B50" i="1"/>
  <c r="B25" i="1"/>
  <c r="B57" i="1"/>
  <c r="B24" i="1"/>
  <c r="B56" i="1"/>
  <c r="B46" i="1"/>
  <c r="B34" i="1"/>
  <c r="B22" i="1"/>
  <c r="B38" i="1"/>
  <c r="B60" i="1"/>
  <c r="B43" i="1"/>
  <c r="B59" i="1"/>
  <c r="B58" i="1"/>
  <c r="B14" i="1"/>
  <c r="C14" i="1" s="1"/>
  <c r="B16" i="1"/>
  <c r="B27" i="1"/>
  <c r="B161" i="1"/>
  <c r="E161" i="1" s="1"/>
  <c r="B94" i="1"/>
  <c r="E94" i="1" s="1"/>
  <c r="B83" i="1"/>
  <c r="E83" i="1" s="1"/>
  <c r="B150" i="1"/>
  <c r="E150" i="1" s="1"/>
  <c r="B92" i="1"/>
  <c r="E92" i="1" s="1"/>
  <c r="B102" i="1"/>
  <c r="E102" i="1" s="1"/>
  <c r="B101" i="1"/>
  <c r="E101" i="1" s="1"/>
  <c r="B95" i="1"/>
  <c r="E95" i="1" s="1"/>
  <c r="B113" i="1"/>
  <c r="E113" i="1" s="1"/>
  <c r="B140" i="1"/>
  <c r="E140" i="1" s="1"/>
  <c r="B169" i="1"/>
  <c r="E169" i="1" s="1"/>
  <c r="B82" i="1"/>
  <c r="E82" i="1" s="1"/>
  <c r="B136" i="1"/>
  <c r="E136" i="1" s="1"/>
  <c r="B128" i="1"/>
  <c r="E128" i="1" s="1"/>
  <c r="B124" i="1"/>
  <c r="E124" i="1" s="1"/>
  <c r="B121" i="1"/>
  <c r="E121" i="1" s="1"/>
  <c r="B135" i="1"/>
  <c r="E135" i="1" s="1"/>
  <c r="B73" i="1"/>
  <c r="E73" i="1" s="1"/>
  <c r="B160" i="1"/>
  <c r="E160" i="1" s="1"/>
  <c r="B151" i="1"/>
  <c r="E151" i="1" s="1"/>
  <c r="B153" i="1"/>
  <c r="E153" i="1" s="1"/>
  <c r="B134" i="1"/>
  <c r="E134" i="1" s="1"/>
  <c r="B148" i="1"/>
  <c r="E148" i="1" s="1"/>
  <c r="B68" i="1"/>
  <c r="E68" i="1" s="1"/>
  <c r="B66" i="1"/>
  <c r="E66" i="1" s="1"/>
  <c r="B69" i="1"/>
  <c r="E69" i="1" s="1"/>
  <c r="B122" i="1"/>
  <c r="E122" i="1" s="1"/>
  <c r="B65" i="1"/>
  <c r="E65" i="1" s="1"/>
  <c r="B80" i="1"/>
  <c r="E80" i="1" s="1"/>
  <c r="B85" i="1"/>
  <c r="E85" i="1" s="1"/>
  <c r="B105" i="1"/>
  <c r="E105" i="1" s="1"/>
  <c r="B77" i="1"/>
  <c r="E77" i="1" s="1"/>
  <c r="B129" i="1"/>
  <c r="B79" i="1"/>
  <c r="E79" i="1" s="1"/>
  <c r="B87" i="1"/>
  <c r="E87" i="1" s="1"/>
  <c r="B123" i="1"/>
  <c r="E123" i="1" s="1"/>
  <c r="B90" i="1"/>
  <c r="E90" i="1" s="1"/>
  <c r="B106" i="1"/>
  <c r="E106" i="1" s="1"/>
  <c r="B162" i="1"/>
  <c r="E162" i="1" s="1"/>
  <c r="B75" i="1"/>
  <c r="E75" i="1" s="1"/>
  <c r="B96" i="1"/>
  <c r="E96" i="1" s="1"/>
  <c r="B120" i="1"/>
  <c r="E120" i="1" s="1"/>
  <c r="B143" i="1"/>
  <c r="E143" i="1" s="1"/>
  <c r="B81" i="1"/>
  <c r="E81" i="1" s="1"/>
  <c r="B97" i="1"/>
  <c r="E97" i="1" s="1"/>
  <c r="B127" i="1"/>
  <c r="E127" i="1" s="1"/>
  <c r="B152" i="1"/>
  <c r="E152" i="1" s="1"/>
  <c r="B172" i="1"/>
  <c r="E172" i="1" s="1"/>
  <c r="B111" i="1"/>
  <c r="E111" i="1" s="1"/>
  <c r="B119" i="1"/>
  <c r="E119" i="1" s="1"/>
  <c r="B133" i="1"/>
  <c r="E133" i="1" s="1"/>
  <c r="B149" i="1"/>
  <c r="E149" i="1" s="1"/>
  <c r="B159" i="1"/>
  <c r="E159" i="1" s="1"/>
  <c r="B167" i="1"/>
  <c r="E167" i="1" s="1"/>
  <c r="B137" i="1"/>
  <c r="E137" i="1" s="1"/>
  <c r="B164" i="1"/>
  <c r="E164" i="1" s="1"/>
  <c r="B72" i="1"/>
  <c r="E72" i="1" s="1"/>
  <c r="B99" i="1"/>
  <c r="E99" i="1" s="1"/>
  <c r="B139" i="1"/>
  <c r="E139" i="1" s="1"/>
  <c r="B104" i="1"/>
  <c r="E104" i="1" s="1"/>
  <c r="B138" i="1"/>
  <c r="E138" i="1" s="1"/>
  <c r="B70" i="1"/>
  <c r="E70" i="1" s="1"/>
  <c r="B98" i="1"/>
  <c r="E98" i="1" s="1"/>
  <c r="B130" i="1"/>
  <c r="E130" i="1" s="1"/>
  <c r="B67" i="1"/>
  <c r="E67" i="1" s="1"/>
  <c r="B86" i="1"/>
  <c r="E86" i="1" s="1"/>
  <c r="B103" i="1"/>
  <c r="E103" i="1" s="1"/>
  <c r="B132" i="1"/>
  <c r="E132" i="1" s="1"/>
  <c r="B154" i="1"/>
  <c r="E154" i="1" s="1"/>
  <c r="B89" i="1"/>
  <c r="E89" i="1" s="1"/>
  <c r="B108" i="1"/>
  <c r="E108" i="1" s="1"/>
  <c r="B146" i="1"/>
  <c r="E146" i="1" s="1"/>
  <c r="B156" i="1"/>
  <c r="E156" i="1" s="1"/>
  <c r="B107" i="1"/>
  <c r="E107" i="1" s="1"/>
  <c r="B115" i="1"/>
  <c r="E115" i="1" s="1"/>
  <c r="B125" i="1"/>
  <c r="E125" i="1" s="1"/>
  <c r="B141" i="1"/>
  <c r="E141" i="1" s="1"/>
  <c r="B155" i="1"/>
  <c r="E155" i="1" s="1"/>
  <c r="B163" i="1"/>
  <c r="E163" i="1" s="1"/>
  <c r="B171" i="1"/>
  <c r="E171" i="1" s="1"/>
  <c r="B110" i="1"/>
  <c r="E110" i="1" s="1"/>
  <c r="B88" i="1"/>
  <c r="E88" i="1" s="1"/>
  <c r="B131" i="1"/>
  <c r="E131" i="1" s="1"/>
  <c r="B166" i="1"/>
  <c r="E166" i="1" s="1"/>
  <c r="B144" i="1"/>
  <c r="E144" i="1" s="1"/>
  <c r="B74" i="1"/>
  <c r="E74" i="1" s="1"/>
  <c r="B118" i="1"/>
  <c r="E118" i="1" s="1"/>
  <c r="B78" i="1"/>
  <c r="E78" i="1" s="1"/>
  <c r="B84" i="1"/>
  <c r="E84" i="1" s="1"/>
  <c r="B112" i="1"/>
  <c r="E112" i="1" s="1"/>
  <c r="B158" i="1"/>
  <c r="E158" i="1" s="1"/>
  <c r="B76" i="1"/>
  <c r="E76" i="1" s="1"/>
  <c r="B100" i="1"/>
  <c r="E100" i="1" s="1"/>
  <c r="B145" i="1"/>
  <c r="E145" i="1" s="1"/>
  <c r="B71" i="1"/>
  <c r="E71" i="1" s="1"/>
  <c r="B91" i="1"/>
  <c r="E91" i="1" s="1"/>
  <c r="B114" i="1"/>
  <c r="E114" i="1" s="1"/>
  <c r="B168" i="1"/>
  <c r="E168" i="1" s="1"/>
  <c r="B93" i="1"/>
  <c r="E93" i="1" s="1"/>
  <c r="B116" i="1"/>
  <c r="E116" i="1" s="1"/>
  <c r="B147" i="1"/>
  <c r="E147" i="1" s="1"/>
  <c r="B170" i="1"/>
  <c r="E170" i="1" s="1"/>
  <c r="B109" i="1"/>
  <c r="E109" i="1" s="1"/>
  <c r="B117" i="1"/>
  <c r="E117" i="1" s="1"/>
  <c r="B126" i="1"/>
  <c r="E126" i="1" s="1"/>
  <c r="B142" i="1"/>
  <c r="E142" i="1" s="1"/>
  <c r="B157" i="1"/>
  <c r="E157" i="1" s="1"/>
  <c r="B165" i="1"/>
  <c r="E165" i="1" s="1"/>
  <c r="B173" i="1"/>
  <c r="E173" i="1" s="1"/>
  <c r="R9" i="1" l="1"/>
  <c r="S56" i="1"/>
  <c r="Q9" i="1"/>
  <c r="E17" i="1"/>
  <c r="K17" i="1" s="1"/>
  <c r="E20" i="1"/>
  <c r="K20" i="1" s="1"/>
  <c r="R59" i="1"/>
  <c r="T22" i="1"/>
  <c r="R24" i="1"/>
  <c r="R41" i="1"/>
  <c r="R23" i="1"/>
  <c r="C35" i="1"/>
  <c r="E35" i="1" s="1"/>
  <c r="F35" i="1" s="1"/>
  <c r="E15" i="1"/>
  <c r="K15" i="1" s="1"/>
  <c r="Q11" i="1"/>
  <c r="Q33" i="1"/>
  <c r="T61" i="1"/>
  <c r="R36" i="1"/>
  <c r="S31" i="1"/>
  <c r="S55" i="1"/>
  <c r="R32" i="1"/>
  <c r="S49" i="1"/>
  <c r="Q26" i="1"/>
  <c r="C37" i="1"/>
  <c r="R42" i="1"/>
  <c r="S64" i="1"/>
  <c r="C129" i="1"/>
  <c r="E129" i="1"/>
  <c r="C50" i="1"/>
  <c r="H50" i="1" s="1"/>
  <c r="R52" i="1"/>
  <c r="C45" i="1"/>
  <c r="H45" i="1" s="1"/>
  <c r="I45" i="1" s="1"/>
  <c r="N45" i="1" s="1"/>
  <c r="C9" i="1"/>
  <c r="E9" i="1" s="1"/>
  <c r="C55" i="1"/>
  <c r="H55" i="1" s="1"/>
  <c r="O55" i="1" s="1"/>
  <c r="Q64" i="1"/>
  <c r="T35" i="1"/>
  <c r="R11" i="1"/>
  <c r="N170" i="1"/>
  <c r="K170" i="1"/>
  <c r="L170" i="1"/>
  <c r="M170" i="1"/>
  <c r="O170" i="1"/>
  <c r="G145" i="1"/>
  <c r="K145" i="1"/>
  <c r="O145" i="1"/>
  <c r="M145" i="1"/>
  <c r="N145" i="1"/>
  <c r="L145" i="1"/>
  <c r="C165" i="1"/>
  <c r="K165" i="1"/>
  <c r="O165" i="1"/>
  <c r="N165" i="1"/>
  <c r="L165" i="1"/>
  <c r="M165" i="1"/>
  <c r="C117" i="1"/>
  <c r="K117" i="1"/>
  <c r="O117" i="1"/>
  <c r="L117" i="1"/>
  <c r="N117" i="1"/>
  <c r="M117" i="1"/>
  <c r="G116" i="1"/>
  <c r="L116" i="1"/>
  <c r="M116" i="1"/>
  <c r="K116" i="1"/>
  <c r="N116" i="1"/>
  <c r="O116" i="1"/>
  <c r="N166" i="1"/>
  <c r="O166" i="1"/>
  <c r="K166" i="1"/>
  <c r="L166" i="1"/>
  <c r="M166" i="1"/>
  <c r="M171" i="1"/>
  <c r="K171" i="1"/>
  <c r="N171" i="1"/>
  <c r="O171" i="1"/>
  <c r="L171" i="1"/>
  <c r="F125" i="1"/>
  <c r="K125" i="1"/>
  <c r="O125" i="1"/>
  <c r="L125" i="1"/>
  <c r="N125" i="1"/>
  <c r="M125" i="1"/>
  <c r="N146" i="1"/>
  <c r="M146" i="1"/>
  <c r="O146" i="1"/>
  <c r="K146" i="1"/>
  <c r="L146" i="1"/>
  <c r="C132" i="1"/>
  <c r="L132" i="1"/>
  <c r="M132" i="1"/>
  <c r="K132" i="1"/>
  <c r="N132" i="1"/>
  <c r="O132" i="1"/>
  <c r="N130" i="1"/>
  <c r="K130" i="1"/>
  <c r="O130" i="1"/>
  <c r="M130" i="1"/>
  <c r="L130" i="1"/>
  <c r="L104" i="1"/>
  <c r="M104" i="1"/>
  <c r="O104" i="1"/>
  <c r="K104" i="1"/>
  <c r="N104" i="1"/>
  <c r="L164" i="1"/>
  <c r="N164" i="1"/>
  <c r="M164" i="1"/>
  <c r="O164" i="1"/>
  <c r="K164" i="1"/>
  <c r="K149" i="1"/>
  <c r="O149" i="1"/>
  <c r="N149" i="1"/>
  <c r="L149" i="1"/>
  <c r="M149" i="1"/>
  <c r="K172" i="1"/>
  <c r="O172" i="1"/>
  <c r="N172" i="1"/>
  <c r="L172" i="1"/>
  <c r="M172" i="1"/>
  <c r="M123" i="1"/>
  <c r="N123" i="1"/>
  <c r="K123" i="1"/>
  <c r="L123" i="1"/>
  <c r="O123" i="1"/>
  <c r="M151" i="1"/>
  <c r="O151" i="1"/>
  <c r="N151" i="1"/>
  <c r="K151" i="1"/>
  <c r="L151" i="1"/>
  <c r="K121" i="1"/>
  <c r="O121" i="1"/>
  <c r="L121" i="1"/>
  <c r="M121" i="1"/>
  <c r="N121" i="1"/>
  <c r="N150" i="1"/>
  <c r="O150" i="1"/>
  <c r="L150" i="1"/>
  <c r="M150" i="1"/>
  <c r="K150" i="1"/>
  <c r="R64" i="1"/>
  <c r="G157" i="1"/>
  <c r="K157" i="1"/>
  <c r="O157" i="1"/>
  <c r="L157" i="1"/>
  <c r="M157" i="1"/>
  <c r="N157" i="1"/>
  <c r="K109" i="1"/>
  <c r="O109" i="1"/>
  <c r="L109" i="1"/>
  <c r="N109" i="1"/>
  <c r="M109" i="1"/>
  <c r="C158" i="1"/>
  <c r="N158" i="1"/>
  <c r="L158" i="1"/>
  <c r="O158" i="1"/>
  <c r="K158" i="1"/>
  <c r="M158" i="1"/>
  <c r="N118" i="1"/>
  <c r="K118" i="1"/>
  <c r="O118" i="1"/>
  <c r="L118" i="1"/>
  <c r="M118" i="1"/>
  <c r="M131" i="1"/>
  <c r="N131" i="1"/>
  <c r="K131" i="1"/>
  <c r="L131" i="1"/>
  <c r="O131" i="1"/>
  <c r="F163" i="1"/>
  <c r="M163" i="1"/>
  <c r="N163" i="1"/>
  <c r="K163" i="1"/>
  <c r="L163" i="1"/>
  <c r="O163" i="1"/>
  <c r="F115" i="1"/>
  <c r="M115" i="1"/>
  <c r="N115" i="1"/>
  <c r="K115" i="1"/>
  <c r="L115" i="1"/>
  <c r="O115" i="1"/>
  <c r="G108" i="1"/>
  <c r="L108" i="1"/>
  <c r="M108" i="1"/>
  <c r="K108" i="1"/>
  <c r="N108" i="1"/>
  <c r="O108" i="1"/>
  <c r="F139" i="1"/>
  <c r="M139" i="1"/>
  <c r="N139" i="1"/>
  <c r="K139" i="1"/>
  <c r="L139" i="1"/>
  <c r="O139" i="1"/>
  <c r="C137" i="1"/>
  <c r="K137" i="1"/>
  <c r="O137" i="1"/>
  <c r="L137" i="1"/>
  <c r="M137" i="1"/>
  <c r="N137" i="1"/>
  <c r="K133" i="1"/>
  <c r="O133" i="1"/>
  <c r="L133" i="1"/>
  <c r="N133" i="1"/>
  <c r="M133" i="1"/>
  <c r="L152" i="1"/>
  <c r="O152" i="1"/>
  <c r="K152" i="1"/>
  <c r="M152" i="1"/>
  <c r="N152" i="1"/>
  <c r="C143" i="1"/>
  <c r="M143" i="1"/>
  <c r="L143" i="1"/>
  <c r="N143" i="1"/>
  <c r="K143" i="1"/>
  <c r="O143" i="1"/>
  <c r="N162" i="1"/>
  <c r="M162" i="1"/>
  <c r="K162" i="1"/>
  <c r="L162" i="1"/>
  <c r="O162" i="1"/>
  <c r="K105" i="1"/>
  <c r="O105" i="1"/>
  <c r="L105" i="1"/>
  <c r="M105" i="1"/>
  <c r="N105" i="1"/>
  <c r="C122" i="1"/>
  <c r="N122" i="1"/>
  <c r="K122" i="1"/>
  <c r="O122" i="1"/>
  <c r="M122" i="1"/>
  <c r="L122" i="1"/>
  <c r="G148" i="1"/>
  <c r="L148" i="1"/>
  <c r="N148" i="1"/>
  <c r="O148" i="1"/>
  <c r="K148" i="1"/>
  <c r="M148" i="1"/>
  <c r="F160" i="1"/>
  <c r="L160" i="1"/>
  <c r="M160" i="1"/>
  <c r="K160" i="1"/>
  <c r="N160" i="1"/>
  <c r="O160" i="1"/>
  <c r="G124" i="1"/>
  <c r="L124" i="1"/>
  <c r="M124" i="1"/>
  <c r="K124" i="1"/>
  <c r="N124" i="1"/>
  <c r="O124" i="1"/>
  <c r="G169" i="1"/>
  <c r="K169" i="1"/>
  <c r="O169" i="1"/>
  <c r="L169" i="1"/>
  <c r="M169" i="1"/>
  <c r="N169" i="1"/>
  <c r="G142" i="1"/>
  <c r="N142" i="1"/>
  <c r="L142" i="1"/>
  <c r="M142" i="1"/>
  <c r="O142" i="1"/>
  <c r="K142" i="1"/>
  <c r="L168" i="1"/>
  <c r="O168" i="1"/>
  <c r="N168" i="1"/>
  <c r="K168" i="1"/>
  <c r="M168" i="1"/>
  <c r="L112" i="1"/>
  <c r="M112" i="1"/>
  <c r="O112" i="1"/>
  <c r="K112" i="1"/>
  <c r="N112" i="1"/>
  <c r="M155" i="1"/>
  <c r="K155" i="1"/>
  <c r="O155" i="1"/>
  <c r="L155" i="1"/>
  <c r="N155" i="1"/>
  <c r="M107" i="1"/>
  <c r="N107" i="1"/>
  <c r="K107" i="1"/>
  <c r="L107" i="1"/>
  <c r="O107" i="1"/>
  <c r="M167" i="1"/>
  <c r="O167" i="1"/>
  <c r="L167" i="1"/>
  <c r="N167" i="1"/>
  <c r="K167" i="1"/>
  <c r="M119" i="1"/>
  <c r="N119" i="1"/>
  <c r="L119" i="1"/>
  <c r="O119" i="1"/>
  <c r="K119" i="1"/>
  <c r="M127" i="1"/>
  <c r="N127" i="1"/>
  <c r="L127" i="1"/>
  <c r="O127" i="1"/>
  <c r="K127" i="1"/>
  <c r="L120" i="1"/>
  <c r="M120" i="1"/>
  <c r="O120" i="1"/>
  <c r="K120" i="1"/>
  <c r="N120" i="1"/>
  <c r="C106" i="1"/>
  <c r="N106" i="1"/>
  <c r="K106" i="1"/>
  <c r="O106" i="1"/>
  <c r="M106" i="1"/>
  <c r="L106" i="1"/>
  <c r="C134" i="1"/>
  <c r="N134" i="1"/>
  <c r="K134" i="1"/>
  <c r="O134" i="1"/>
  <c r="L134" i="1"/>
  <c r="M134" i="1"/>
  <c r="L128" i="1"/>
  <c r="M128" i="1"/>
  <c r="O128" i="1"/>
  <c r="K128" i="1"/>
  <c r="N128" i="1"/>
  <c r="L140" i="1"/>
  <c r="K140" i="1"/>
  <c r="M140" i="1"/>
  <c r="N140" i="1"/>
  <c r="O140" i="1"/>
  <c r="N173" i="1"/>
  <c r="O173" i="1"/>
  <c r="K173" i="1"/>
  <c r="L173" i="1"/>
  <c r="M173" i="1"/>
  <c r="N126" i="1"/>
  <c r="K126" i="1"/>
  <c r="O126" i="1"/>
  <c r="L126" i="1"/>
  <c r="M126" i="1"/>
  <c r="F147" i="1"/>
  <c r="M147" i="1"/>
  <c r="N147" i="1"/>
  <c r="O147" i="1"/>
  <c r="K147" i="1"/>
  <c r="L147" i="1"/>
  <c r="F114" i="1"/>
  <c r="N114" i="1"/>
  <c r="K114" i="1"/>
  <c r="O114" i="1"/>
  <c r="M114" i="1"/>
  <c r="L114" i="1"/>
  <c r="L144" i="1"/>
  <c r="M144" i="1"/>
  <c r="N144" i="1"/>
  <c r="O144" i="1"/>
  <c r="K144" i="1"/>
  <c r="N110" i="1"/>
  <c r="K110" i="1"/>
  <c r="O110" i="1"/>
  <c r="L110" i="1"/>
  <c r="M110" i="1"/>
  <c r="G141" i="1"/>
  <c r="K141" i="1"/>
  <c r="O141" i="1"/>
  <c r="L141" i="1"/>
  <c r="M141" i="1"/>
  <c r="N141" i="1"/>
  <c r="L156" i="1"/>
  <c r="K156" i="1"/>
  <c r="M156" i="1"/>
  <c r="N156" i="1"/>
  <c r="O156" i="1"/>
  <c r="G154" i="1"/>
  <c r="N154" i="1"/>
  <c r="K154" i="1"/>
  <c r="M154" i="1"/>
  <c r="O154" i="1"/>
  <c r="L154" i="1"/>
  <c r="G138" i="1"/>
  <c r="N138" i="1"/>
  <c r="K138" i="1"/>
  <c r="O138" i="1"/>
  <c r="M138" i="1"/>
  <c r="L138" i="1"/>
  <c r="F159" i="1"/>
  <c r="M159" i="1"/>
  <c r="L159" i="1"/>
  <c r="K159" i="1"/>
  <c r="N159" i="1"/>
  <c r="O159" i="1"/>
  <c r="G111" i="1"/>
  <c r="M111" i="1"/>
  <c r="N111" i="1"/>
  <c r="L111" i="1"/>
  <c r="O111" i="1"/>
  <c r="K111" i="1"/>
  <c r="K129" i="1"/>
  <c r="O129" i="1"/>
  <c r="L129" i="1"/>
  <c r="M129" i="1"/>
  <c r="N129" i="1"/>
  <c r="K153" i="1"/>
  <c r="O153" i="1"/>
  <c r="L153" i="1"/>
  <c r="M153" i="1"/>
  <c r="N153" i="1"/>
  <c r="M135" i="1"/>
  <c r="N135" i="1"/>
  <c r="L135" i="1"/>
  <c r="O135" i="1"/>
  <c r="K135" i="1"/>
  <c r="G136" i="1"/>
  <c r="L136" i="1"/>
  <c r="M136" i="1"/>
  <c r="O136" i="1"/>
  <c r="K136" i="1"/>
  <c r="N136" i="1"/>
  <c r="G113" i="1"/>
  <c r="K113" i="1"/>
  <c r="O113" i="1"/>
  <c r="L113" i="1"/>
  <c r="M113" i="1"/>
  <c r="N113" i="1"/>
  <c r="F161" i="1"/>
  <c r="K161" i="1"/>
  <c r="O161" i="1"/>
  <c r="M161" i="1"/>
  <c r="N161" i="1"/>
  <c r="L161" i="1"/>
  <c r="L91" i="1"/>
  <c r="M91" i="1"/>
  <c r="N91" i="1"/>
  <c r="O91" i="1"/>
  <c r="K91" i="1"/>
  <c r="T76" i="1"/>
  <c r="M76" i="1"/>
  <c r="L76" i="1"/>
  <c r="K76" i="1"/>
  <c r="N76" i="1"/>
  <c r="O76" i="1"/>
  <c r="N81" i="1"/>
  <c r="O81" i="1"/>
  <c r="K81" i="1"/>
  <c r="L81" i="1"/>
  <c r="M81" i="1"/>
  <c r="M68" i="1"/>
  <c r="L68" i="1"/>
  <c r="K68" i="1"/>
  <c r="O68" i="1"/>
  <c r="N68" i="1"/>
  <c r="G95" i="1"/>
  <c r="L95" i="1"/>
  <c r="N95" i="1"/>
  <c r="O95" i="1"/>
  <c r="K95" i="1"/>
  <c r="M95" i="1"/>
  <c r="Q27" i="1"/>
  <c r="C22" i="1"/>
  <c r="T40" i="1"/>
  <c r="T41" i="1"/>
  <c r="T23" i="1"/>
  <c r="S13" i="1"/>
  <c r="R35" i="1"/>
  <c r="S15" i="1"/>
  <c r="N15" i="1"/>
  <c r="O15" i="1"/>
  <c r="C21" i="1"/>
  <c r="H21" i="1" s="1"/>
  <c r="O21" i="1" s="1"/>
  <c r="C11" i="1"/>
  <c r="H11" i="1" s="1"/>
  <c r="I11" i="1" s="1"/>
  <c r="N11" i="1" s="1"/>
  <c r="S75" i="1"/>
  <c r="N75" i="1"/>
  <c r="M75" i="1"/>
  <c r="L75" i="1"/>
  <c r="O75" i="1"/>
  <c r="K75" i="1"/>
  <c r="F65" i="1"/>
  <c r="L65" i="1"/>
  <c r="K65" i="1"/>
  <c r="O65" i="1"/>
  <c r="M65" i="1"/>
  <c r="N65" i="1"/>
  <c r="R82" i="1"/>
  <c r="M82" i="1"/>
  <c r="O82" i="1"/>
  <c r="K82" i="1"/>
  <c r="L82" i="1"/>
  <c r="N82" i="1"/>
  <c r="C59" i="1"/>
  <c r="E59" i="1" s="1"/>
  <c r="C13" i="1"/>
  <c r="H13" i="1" s="1"/>
  <c r="I13" i="1" s="1"/>
  <c r="N13" i="1" s="1"/>
  <c r="R71" i="1"/>
  <c r="N71" i="1"/>
  <c r="M71" i="1"/>
  <c r="L71" i="1"/>
  <c r="K71" i="1"/>
  <c r="O71" i="1"/>
  <c r="I98" i="1"/>
  <c r="M98" i="1"/>
  <c r="O98" i="1"/>
  <c r="K98" i="1"/>
  <c r="L98" i="1"/>
  <c r="N98" i="1"/>
  <c r="N101" i="1"/>
  <c r="K101" i="1"/>
  <c r="L101" i="1"/>
  <c r="M101" i="1"/>
  <c r="O101" i="1"/>
  <c r="C16" i="1"/>
  <c r="Q34" i="1"/>
  <c r="S18" i="1"/>
  <c r="S61" i="1"/>
  <c r="Q19" i="1"/>
  <c r="Q36" i="1"/>
  <c r="S44" i="1"/>
  <c r="Q47" i="1"/>
  <c r="T31" i="1"/>
  <c r="T54" i="1"/>
  <c r="S35" i="1"/>
  <c r="Q40" i="1"/>
  <c r="R27" i="1"/>
  <c r="S11" i="1"/>
  <c r="T11" i="1" s="1"/>
  <c r="Q74" i="1"/>
  <c r="K74" i="1"/>
  <c r="O74" i="1"/>
  <c r="N74" i="1"/>
  <c r="M74" i="1"/>
  <c r="L74" i="1"/>
  <c r="S88" i="1"/>
  <c r="K88" i="1"/>
  <c r="O88" i="1"/>
  <c r="L88" i="1"/>
  <c r="M88" i="1"/>
  <c r="N88" i="1"/>
  <c r="N89" i="1"/>
  <c r="L89" i="1"/>
  <c r="M89" i="1"/>
  <c r="O89" i="1"/>
  <c r="K89" i="1"/>
  <c r="S86" i="1"/>
  <c r="M86" i="1"/>
  <c r="K86" i="1"/>
  <c r="L86" i="1"/>
  <c r="N86" i="1"/>
  <c r="O86" i="1"/>
  <c r="C70" i="1"/>
  <c r="K70" i="1"/>
  <c r="O70" i="1"/>
  <c r="N70" i="1"/>
  <c r="L70" i="1"/>
  <c r="M70" i="1"/>
  <c r="H99" i="1"/>
  <c r="L99" i="1"/>
  <c r="O99" i="1"/>
  <c r="K99" i="1"/>
  <c r="M99" i="1"/>
  <c r="N99" i="1"/>
  <c r="R79" i="1"/>
  <c r="L79" i="1"/>
  <c r="N79" i="1"/>
  <c r="O79" i="1"/>
  <c r="K79" i="1"/>
  <c r="M79" i="1"/>
  <c r="F85" i="1"/>
  <c r="N85" i="1"/>
  <c r="K85" i="1"/>
  <c r="L85" i="1"/>
  <c r="M85" i="1"/>
  <c r="O85" i="1"/>
  <c r="H69" i="1"/>
  <c r="L69" i="1"/>
  <c r="K69" i="1"/>
  <c r="O69" i="1"/>
  <c r="N69" i="1"/>
  <c r="M69" i="1"/>
  <c r="L73" i="1"/>
  <c r="K73" i="1"/>
  <c r="O73" i="1"/>
  <c r="M73" i="1"/>
  <c r="N73" i="1"/>
  <c r="S102" i="1"/>
  <c r="M102" i="1"/>
  <c r="K102" i="1"/>
  <c r="O102" i="1"/>
  <c r="L102" i="1"/>
  <c r="N102" i="1"/>
  <c r="S94" i="1"/>
  <c r="M94" i="1"/>
  <c r="N94" i="1"/>
  <c r="O94" i="1"/>
  <c r="K94" i="1"/>
  <c r="L94" i="1"/>
  <c r="T60" i="1"/>
  <c r="T46" i="1"/>
  <c r="T25" i="1"/>
  <c r="R62" i="1"/>
  <c r="C32" i="1"/>
  <c r="H32" i="1" s="1"/>
  <c r="I49" i="1"/>
  <c r="N49" i="1" s="1"/>
  <c r="T26" i="1"/>
  <c r="C12" i="1"/>
  <c r="R30" i="1"/>
  <c r="C42" i="1"/>
  <c r="H42" i="1" s="1"/>
  <c r="O42" i="1" s="1"/>
  <c r="C64" i="1"/>
  <c r="H64" i="1" s="1"/>
  <c r="I64" i="1" s="1"/>
  <c r="N64" i="1" s="1"/>
  <c r="C78" i="1"/>
  <c r="M78" i="1"/>
  <c r="N78" i="1"/>
  <c r="O78" i="1"/>
  <c r="K78" i="1"/>
  <c r="L78" i="1"/>
  <c r="K77" i="1"/>
  <c r="O77" i="1"/>
  <c r="M77" i="1"/>
  <c r="L77" i="1"/>
  <c r="N77" i="1"/>
  <c r="I53" i="1"/>
  <c r="N53" i="1" s="1"/>
  <c r="S54" i="1"/>
  <c r="T59" i="1"/>
  <c r="N93" i="1"/>
  <c r="M93" i="1"/>
  <c r="O93" i="1"/>
  <c r="K93" i="1"/>
  <c r="L93" i="1"/>
  <c r="L103" i="1"/>
  <c r="K103" i="1"/>
  <c r="M103" i="1"/>
  <c r="N103" i="1"/>
  <c r="O103" i="1"/>
  <c r="R87" i="1"/>
  <c r="L87" i="1"/>
  <c r="K87" i="1"/>
  <c r="M87" i="1"/>
  <c r="N87" i="1"/>
  <c r="O87" i="1"/>
  <c r="S83" i="1"/>
  <c r="L83" i="1"/>
  <c r="O83" i="1"/>
  <c r="K83" i="1"/>
  <c r="M83" i="1"/>
  <c r="N83" i="1"/>
  <c r="S57" i="1"/>
  <c r="S33" i="1"/>
  <c r="R51" i="1"/>
  <c r="S17" i="1"/>
  <c r="O17" i="1"/>
  <c r="N17" i="1"/>
  <c r="Q54" i="1"/>
  <c r="S41" i="1"/>
  <c r="Q21" i="1"/>
  <c r="R22" i="1"/>
  <c r="T24" i="1"/>
  <c r="G131" i="1"/>
  <c r="Q13" i="1"/>
  <c r="Q100" i="1"/>
  <c r="K100" i="1"/>
  <c r="O100" i="1"/>
  <c r="L100" i="1"/>
  <c r="M100" i="1"/>
  <c r="N100" i="1"/>
  <c r="Q84" i="1"/>
  <c r="K84" i="1"/>
  <c r="O84" i="1"/>
  <c r="L84" i="1"/>
  <c r="M84" i="1"/>
  <c r="N84" i="1"/>
  <c r="T67" i="1"/>
  <c r="N67" i="1"/>
  <c r="M67" i="1"/>
  <c r="K67" i="1"/>
  <c r="L67" i="1"/>
  <c r="O67" i="1"/>
  <c r="I72" i="1"/>
  <c r="M72" i="1"/>
  <c r="L72" i="1"/>
  <c r="O72" i="1"/>
  <c r="K72" i="1"/>
  <c r="N72" i="1"/>
  <c r="F97" i="1"/>
  <c r="N97" i="1"/>
  <c r="O97" i="1"/>
  <c r="K97" i="1"/>
  <c r="L97" i="1"/>
  <c r="M97" i="1"/>
  <c r="Q96" i="1"/>
  <c r="K96" i="1"/>
  <c r="O96" i="1"/>
  <c r="N96" i="1"/>
  <c r="L96" i="1"/>
  <c r="M96" i="1"/>
  <c r="M90" i="1"/>
  <c r="L90" i="1"/>
  <c r="N90" i="1"/>
  <c r="O90" i="1"/>
  <c r="K90" i="1"/>
  <c r="K80" i="1"/>
  <c r="O80" i="1"/>
  <c r="N80" i="1"/>
  <c r="L80" i="1"/>
  <c r="M80" i="1"/>
  <c r="Q66" i="1"/>
  <c r="K66" i="1"/>
  <c r="O66" i="1"/>
  <c r="N66" i="1"/>
  <c r="M66" i="1"/>
  <c r="L66" i="1"/>
  <c r="G92" i="1"/>
  <c r="K92" i="1"/>
  <c r="O92" i="1"/>
  <c r="M92" i="1"/>
  <c r="N92" i="1"/>
  <c r="L92" i="1"/>
  <c r="C58" i="1"/>
  <c r="H58" i="1" s="1"/>
  <c r="Q38" i="1"/>
  <c r="Q56" i="1"/>
  <c r="Q50" i="1"/>
  <c r="S28" i="1"/>
  <c r="C52" i="1"/>
  <c r="H52" i="1" s="1"/>
  <c r="I52" i="1" s="1"/>
  <c r="N52" i="1" s="1"/>
  <c r="Q20" i="1"/>
  <c r="O20" i="1"/>
  <c r="C10" i="1"/>
  <c r="H10" i="1" s="1"/>
  <c r="I10" i="1" s="1"/>
  <c r="N10" i="1" s="1"/>
  <c r="T45" i="1"/>
  <c r="C51" i="1"/>
  <c r="E51" i="1" s="1"/>
  <c r="Q31" i="1"/>
  <c r="S34" i="1"/>
  <c r="S43" i="1"/>
  <c r="S32" i="1"/>
  <c r="S19" i="1"/>
  <c r="Q42" i="1"/>
  <c r="T64" i="1"/>
  <c r="S12" i="1"/>
  <c r="S14" i="1"/>
  <c r="S46" i="1"/>
  <c r="T37" i="1"/>
  <c r="C61" i="1"/>
  <c r="H61" i="1" s="1"/>
  <c r="R47" i="1"/>
  <c r="T44" i="1"/>
  <c r="R25" i="1"/>
  <c r="R48" i="1"/>
  <c r="Q17" i="1"/>
  <c r="R61" i="1"/>
  <c r="Q18" i="1"/>
  <c r="S16" i="1"/>
  <c r="T33" i="1"/>
  <c r="F51" i="1"/>
  <c r="T43" i="1"/>
  <c r="Q57" i="1"/>
  <c r="C36" i="1"/>
  <c r="R33" i="1"/>
  <c r="T51" i="1"/>
  <c r="Q61" i="1"/>
  <c r="T47" i="1"/>
  <c r="Q44" i="1"/>
  <c r="R57" i="1"/>
  <c r="S36" i="1"/>
  <c r="Q43" i="1"/>
  <c r="T57" i="1"/>
  <c r="C34" i="1"/>
  <c r="H34" i="1" s="1"/>
  <c r="I34" i="1" s="1"/>
  <c r="N34" i="1" s="1"/>
  <c r="I61" i="1"/>
  <c r="N61" i="1" s="1"/>
  <c r="C47" i="1"/>
  <c r="E47" i="1" s="1"/>
  <c r="F47" i="1" s="1"/>
  <c r="R31" i="1"/>
  <c r="C44" i="1"/>
  <c r="E44" i="1" s="1"/>
  <c r="F44" i="1" s="1"/>
  <c r="F57" i="1"/>
  <c r="T36" i="1"/>
  <c r="C19" i="1"/>
  <c r="C18" i="1"/>
  <c r="C33" i="1"/>
  <c r="E33" i="1" s="1"/>
  <c r="F33" i="1" s="1"/>
  <c r="T34" i="1"/>
  <c r="Q51" i="1"/>
  <c r="S51" i="1"/>
  <c r="C43" i="1"/>
  <c r="H43" i="1" s="1"/>
  <c r="I43" i="1" s="1"/>
  <c r="N43" i="1" s="1"/>
  <c r="R34" i="1"/>
  <c r="G51" i="1"/>
  <c r="R43" i="1"/>
  <c r="S47" i="1"/>
  <c r="C31" i="1"/>
  <c r="R44" i="1"/>
  <c r="C57" i="1"/>
  <c r="E57" i="1" s="1"/>
  <c r="Q16" i="1"/>
  <c r="I92" i="1"/>
  <c r="S20" i="1"/>
  <c r="Q29" i="1"/>
  <c r="S63" i="1"/>
  <c r="Q63" i="1"/>
  <c r="T52" i="1"/>
  <c r="S45" i="1"/>
  <c r="R10" i="1"/>
  <c r="S10" i="1"/>
  <c r="T10" i="1" s="1"/>
  <c r="Q39" i="1"/>
  <c r="T28" i="1"/>
  <c r="C161" i="1"/>
  <c r="R63" i="1"/>
  <c r="Q92" i="1"/>
  <c r="T56" i="1"/>
  <c r="S52" i="1"/>
  <c r="G166" i="1"/>
  <c r="Q45" i="1"/>
  <c r="F100" i="1"/>
  <c r="C63" i="1"/>
  <c r="E63" i="1" s="1"/>
  <c r="F63" i="1" s="1"/>
  <c r="Q52" i="1"/>
  <c r="Q10" i="1"/>
  <c r="S58" i="1"/>
  <c r="R38" i="1"/>
  <c r="T58" i="1"/>
  <c r="R50" i="1"/>
  <c r="R45" i="1"/>
  <c r="Q46" i="1"/>
  <c r="S37" i="1"/>
  <c r="R37" i="1"/>
  <c r="Q60" i="1"/>
  <c r="S60" i="1"/>
  <c r="T42" i="1"/>
  <c r="C173" i="1"/>
  <c r="Q55" i="1"/>
  <c r="T55" i="1"/>
  <c r="R46" i="1"/>
  <c r="Q49" i="1"/>
  <c r="T49" i="1"/>
  <c r="S30" i="1"/>
  <c r="C30" i="1"/>
  <c r="E30" i="1" s="1"/>
  <c r="F30" i="1" s="1"/>
  <c r="C60" i="1"/>
  <c r="E60" i="1" s="1"/>
  <c r="F60" i="1" s="1"/>
  <c r="Q32" i="1"/>
  <c r="S42" i="1"/>
  <c r="Q12" i="1"/>
  <c r="Q14" i="1"/>
  <c r="H88" i="1"/>
  <c r="R55" i="1"/>
  <c r="C46" i="1"/>
  <c r="E46" i="1" s="1"/>
  <c r="F46" i="1" s="1"/>
  <c r="Q37" i="1"/>
  <c r="H67" i="1"/>
  <c r="C49" i="1"/>
  <c r="H49" i="1" s="1"/>
  <c r="R49" i="1"/>
  <c r="T62" i="1"/>
  <c r="C62" i="1"/>
  <c r="H62" i="1" s="1"/>
  <c r="I62" i="1" s="1"/>
  <c r="N62" i="1" s="1"/>
  <c r="C72" i="1"/>
  <c r="T30" i="1"/>
  <c r="Q30" i="1"/>
  <c r="I96" i="1"/>
  <c r="R60" i="1"/>
  <c r="T32" i="1"/>
  <c r="S26" i="1"/>
  <c r="R26" i="1"/>
  <c r="I42" i="1"/>
  <c r="N42" i="1" s="1"/>
  <c r="Q25" i="1"/>
  <c r="C25" i="1"/>
  <c r="S62" i="1"/>
  <c r="Q62" i="1"/>
  <c r="Q86" i="1"/>
  <c r="C26" i="1"/>
  <c r="E26" i="1" s="1"/>
  <c r="F26" i="1" s="1"/>
  <c r="S25" i="1"/>
  <c r="Q41" i="1"/>
  <c r="F59" i="1"/>
  <c r="S22" i="1"/>
  <c r="C23" i="1"/>
  <c r="E23" i="1" s="1"/>
  <c r="F23" i="1" s="1"/>
  <c r="S23" i="1"/>
  <c r="C24" i="1"/>
  <c r="S24" i="1"/>
  <c r="R15" i="1"/>
  <c r="S40" i="1"/>
  <c r="C27" i="1"/>
  <c r="Q15" i="1"/>
  <c r="T53" i="1"/>
  <c r="Q35" i="1"/>
  <c r="C41" i="1"/>
  <c r="H41" i="1" s="1"/>
  <c r="I41" i="1" s="1"/>
  <c r="N41" i="1" s="1"/>
  <c r="Q22" i="1"/>
  <c r="Q24" i="1"/>
  <c r="C40" i="1"/>
  <c r="E40" i="1" s="1"/>
  <c r="F40" i="1" s="1"/>
  <c r="C54" i="1"/>
  <c r="E54" i="1" s="1"/>
  <c r="F54" i="1" s="1"/>
  <c r="S21" i="1"/>
  <c r="S59" i="1"/>
  <c r="Q53" i="1"/>
  <c r="C53" i="1"/>
  <c r="H53" i="1" s="1"/>
  <c r="T27" i="1"/>
  <c r="R53" i="1"/>
  <c r="R54" i="1"/>
  <c r="Q59" i="1"/>
  <c r="Q23" i="1"/>
  <c r="R40" i="1"/>
  <c r="S53" i="1"/>
  <c r="S27" i="1"/>
  <c r="S39" i="1"/>
  <c r="C100" i="1"/>
  <c r="S67" i="1"/>
  <c r="C96" i="1"/>
  <c r="G161" i="1"/>
  <c r="F135" i="1"/>
  <c r="C66" i="1"/>
  <c r="C156" i="1"/>
  <c r="C28" i="1"/>
  <c r="T29" i="1"/>
  <c r="S29" i="1"/>
  <c r="Q97" i="1"/>
  <c r="T38" i="1"/>
  <c r="C113" i="1"/>
  <c r="H92" i="1"/>
  <c r="C92" i="1"/>
  <c r="R56" i="1"/>
  <c r="T48" i="1"/>
  <c r="Q48" i="1"/>
  <c r="C135" i="1"/>
  <c r="R39" i="1"/>
  <c r="T39" i="1"/>
  <c r="R28" i="1"/>
  <c r="C29" i="1"/>
  <c r="R29" i="1"/>
  <c r="C38" i="1"/>
  <c r="H38" i="1" s="1"/>
  <c r="I38" i="1" s="1"/>
  <c r="N38" i="1" s="1"/>
  <c r="I80" i="1"/>
  <c r="T92" i="1"/>
  <c r="C56" i="1"/>
  <c r="H56" i="1" s="1"/>
  <c r="I56" i="1"/>
  <c r="N56" i="1" s="1"/>
  <c r="C48" i="1"/>
  <c r="H48" i="1" s="1"/>
  <c r="I48" i="1" s="1"/>
  <c r="N48" i="1" s="1"/>
  <c r="S48" i="1"/>
  <c r="C126" i="1"/>
  <c r="C39" i="1"/>
  <c r="E39" i="1" s="1"/>
  <c r="F39" i="1" s="1"/>
  <c r="S38" i="1"/>
  <c r="F113" i="1"/>
  <c r="S92" i="1"/>
  <c r="I50" i="1"/>
  <c r="N50" i="1" s="1"/>
  <c r="I58" i="1"/>
  <c r="N58" i="1" s="1"/>
  <c r="Q58" i="1"/>
  <c r="R58" i="1"/>
  <c r="S50" i="1"/>
  <c r="Q28" i="1"/>
  <c r="T50" i="1"/>
  <c r="C94" i="1"/>
  <c r="T99" i="1"/>
  <c r="T102" i="1"/>
  <c r="F140" i="1"/>
  <c r="F119" i="1"/>
  <c r="F88" i="1"/>
  <c r="S89" i="1"/>
  <c r="F70" i="1"/>
  <c r="C85" i="1"/>
  <c r="I94" i="1"/>
  <c r="C168" i="1"/>
  <c r="T74" i="1"/>
  <c r="C155" i="1"/>
  <c r="I89" i="1"/>
  <c r="H70" i="1"/>
  <c r="C73" i="1"/>
  <c r="F69" i="1"/>
  <c r="C74" i="1"/>
  <c r="S99" i="1"/>
  <c r="H73" i="1"/>
  <c r="G134" i="1"/>
  <c r="H94" i="1"/>
  <c r="C112" i="1"/>
  <c r="T79" i="1"/>
  <c r="G139" i="1"/>
  <c r="G70" i="1"/>
  <c r="F73" i="1"/>
  <c r="G128" i="1"/>
  <c r="R94" i="1"/>
  <c r="T94" i="1"/>
  <c r="I69" i="1"/>
  <c r="C142" i="1"/>
  <c r="F145" i="1"/>
  <c r="R89" i="1"/>
  <c r="H86" i="1"/>
  <c r="F106" i="1"/>
  <c r="S79" i="1"/>
  <c r="G85" i="1"/>
  <c r="G94" i="1"/>
  <c r="F94" i="1"/>
  <c r="Q94" i="1"/>
  <c r="C167" i="1"/>
  <c r="G120" i="1"/>
  <c r="G144" i="1"/>
  <c r="I88" i="1"/>
  <c r="G133" i="1"/>
  <c r="G170" i="1"/>
  <c r="H74" i="1"/>
  <c r="F127" i="1"/>
  <c r="T100" i="1"/>
  <c r="T84" i="1"/>
  <c r="F67" i="1"/>
  <c r="I97" i="1"/>
  <c r="C154" i="1"/>
  <c r="R96" i="1"/>
  <c r="C153" i="1"/>
  <c r="T80" i="1"/>
  <c r="G114" i="1"/>
  <c r="S100" i="1"/>
  <c r="C84" i="1"/>
  <c r="R66" i="1"/>
  <c r="G97" i="1"/>
  <c r="Q80" i="1"/>
  <c r="R92" i="1"/>
  <c r="F92" i="1"/>
  <c r="S90" i="1"/>
  <c r="C108" i="1"/>
  <c r="Q77" i="1"/>
  <c r="Q83" i="1"/>
  <c r="H71" i="1"/>
  <c r="C157" i="1"/>
  <c r="C109" i="1"/>
  <c r="C93" i="1"/>
  <c r="C163" i="1"/>
  <c r="H103" i="1"/>
  <c r="F101" i="1"/>
  <c r="F93" i="1"/>
  <c r="S103" i="1"/>
  <c r="Q101" i="1"/>
  <c r="G122" i="1"/>
  <c r="C118" i="1"/>
  <c r="I68" i="1"/>
  <c r="Q93" i="1"/>
  <c r="F71" i="1"/>
  <c r="F158" i="1"/>
  <c r="R103" i="1"/>
  <c r="C98" i="1"/>
  <c r="R101" i="1"/>
  <c r="Q87" i="1"/>
  <c r="F87" i="1"/>
  <c r="Q91" i="1"/>
  <c r="I93" i="1"/>
  <c r="C71" i="1"/>
  <c r="Q98" i="1"/>
  <c r="I101" i="1"/>
  <c r="C124" i="1"/>
  <c r="C162" i="1"/>
  <c r="H87" i="1"/>
  <c r="C131" i="1"/>
  <c r="Q76" i="1"/>
  <c r="I78" i="1"/>
  <c r="T75" i="1"/>
  <c r="G165" i="1"/>
  <c r="G117" i="1"/>
  <c r="I76" i="1"/>
  <c r="H68" i="1"/>
  <c r="G130" i="1"/>
  <c r="G91" i="1"/>
  <c r="C81" i="1"/>
  <c r="R91" i="1"/>
  <c r="T91" i="1"/>
  <c r="F91" i="1"/>
  <c r="C166" i="1"/>
  <c r="G132" i="1"/>
  <c r="G149" i="1"/>
  <c r="F149" i="1"/>
  <c r="C149" i="1"/>
  <c r="G123" i="1"/>
  <c r="F123" i="1"/>
  <c r="C123" i="1"/>
  <c r="Q65" i="1"/>
  <c r="R65" i="1"/>
  <c r="T65" i="1"/>
  <c r="I65" i="1"/>
  <c r="S65" i="1"/>
  <c r="C65" i="1"/>
  <c r="C121" i="1"/>
  <c r="G121" i="1"/>
  <c r="F121" i="1"/>
  <c r="S95" i="1"/>
  <c r="T95" i="1"/>
  <c r="R95" i="1"/>
  <c r="I95" i="1"/>
  <c r="Q95" i="1"/>
  <c r="C130" i="1"/>
  <c r="C95" i="1"/>
  <c r="G65" i="1"/>
  <c r="Q81" i="1"/>
  <c r="H82" i="1"/>
  <c r="F166" i="1"/>
  <c r="C116" i="1"/>
  <c r="F171" i="1"/>
  <c r="G146" i="1"/>
  <c r="F146" i="1"/>
  <c r="F104" i="1"/>
  <c r="G164" i="1"/>
  <c r="F164" i="1"/>
  <c r="F172" i="1"/>
  <c r="C172" i="1"/>
  <c r="H75" i="1"/>
  <c r="Q75" i="1"/>
  <c r="C75" i="1"/>
  <c r="G75" i="1"/>
  <c r="F75" i="1"/>
  <c r="R75" i="1"/>
  <c r="H77" i="1"/>
  <c r="F77" i="1"/>
  <c r="I77" i="1"/>
  <c r="T77" i="1"/>
  <c r="R77" i="1"/>
  <c r="S77" i="1"/>
  <c r="C77" i="1"/>
  <c r="T68" i="1"/>
  <c r="G151" i="1"/>
  <c r="C151" i="1"/>
  <c r="T82" i="1"/>
  <c r="Q82" i="1"/>
  <c r="S82" i="1"/>
  <c r="F82" i="1"/>
  <c r="G82" i="1"/>
  <c r="C150" i="1"/>
  <c r="G150" i="1"/>
  <c r="F150" i="1"/>
  <c r="F165" i="1"/>
  <c r="F117" i="1"/>
  <c r="S91" i="1"/>
  <c r="H76" i="1"/>
  <c r="G76" i="1"/>
  <c r="S76" i="1"/>
  <c r="H78" i="1"/>
  <c r="S78" i="1"/>
  <c r="R68" i="1"/>
  <c r="S68" i="1"/>
  <c r="C171" i="1"/>
  <c r="F116" i="1"/>
  <c r="I91" i="1"/>
  <c r="C76" i="1"/>
  <c r="R78" i="1"/>
  <c r="T78" i="1"/>
  <c r="Q78" i="1"/>
  <c r="F68" i="1"/>
  <c r="Q68" i="1"/>
  <c r="C164" i="1"/>
  <c r="G171" i="1"/>
  <c r="G104" i="1"/>
  <c r="F151" i="1"/>
  <c r="H95" i="1"/>
  <c r="H65" i="1"/>
  <c r="G172" i="1"/>
  <c r="I75" i="1"/>
  <c r="I82" i="1"/>
  <c r="G125" i="1"/>
  <c r="F130" i="1"/>
  <c r="T81" i="1"/>
  <c r="S81" i="1"/>
  <c r="R81" i="1"/>
  <c r="I81" i="1"/>
  <c r="G81" i="1"/>
  <c r="H81" i="1"/>
  <c r="C91" i="1"/>
  <c r="H91" i="1"/>
  <c r="R76" i="1"/>
  <c r="F76" i="1"/>
  <c r="F78" i="1"/>
  <c r="G78" i="1"/>
  <c r="C68" i="1"/>
  <c r="G68" i="1"/>
  <c r="C125" i="1"/>
  <c r="C146" i="1"/>
  <c r="F132" i="1"/>
  <c r="C104" i="1"/>
  <c r="G77" i="1"/>
  <c r="F95" i="1"/>
  <c r="F81" i="1"/>
  <c r="C82" i="1"/>
  <c r="F157" i="1"/>
  <c r="G109" i="1"/>
  <c r="S93" i="1"/>
  <c r="I71" i="1"/>
  <c r="G118" i="1"/>
  <c r="G115" i="1"/>
  <c r="T103" i="1"/>
  <c r="C103" i="1"/>
  <c r="F103" i="1"/>
  <c r="I103" i="1"/>
  <c r="C152" i="1"/>
  <c r="F109" i="1"/>
  <c r="H93" i="1"/>
  <c r="R93" i="1"/>
  <c r="T93" i="1"/>
  <c r="Q71" i="1"/>
  <c r="S71" i="1"/>
  <c r="T71" i="1"/>
  <c r="G158" i="1"/>
  <c r="F118" i="1"/>
  <c r="F108" i="1"/>
  <c r="G103" i="1"/>
  <c r="H98" i="1"/>
  <c r="R98" i="1"/>
  <c r="S98" i="1"/>
  <c r="C139" i="1"/>
  <c r="C133" i="1"/>
  <c r="G152" i="1"/>
  <c r="G143" i="1"/>
  <c r="F169" i="1"/>
  <c r="G105" i="1"/>
  <c r="G101" i="1"/>
  <c r="T101" i="1"/>
  <c r="F124" i="1"/>
  <c r="G160" i="1"/>
  <c r="G162" i="1"/>
  <c r="I87" i="1"/>
  <c r="T87" i="1"/>
  <c r="R83" i="1"/>
  <c r="F83" i="1"/>
  <c r="G71" i="1"/>
  <c r="G163" i="1"/>
  <c r="C115" i="1"/>
  <c r="Q103" i="1"/>
  <c r="T98" i="1"/>
  <c r="G98" i="1"/>
  <c r="F98" i="1"/>
  <c r="F133" i="1"/>
  <c r="F152" i="1"/>
  <c r="F143" i="1"/>
  <c r="C169" i="1"/>
  <c r="C105" i="1"/>
  <c r="F105" i="1"/>
  <c r="S101" i="1"/>
  <c r="C101" i="1"/>
  <c r="F122" i="1"/>
  <c r="C160" i="1"/>
  <c r="G87" i="1"/>
  <c r="C87" i="1"/>
  <c r="I83" i="1"/>
  <c r="F137" i="1"/>
  <c r="G83" i="1"/>
  <c r="G93" i="1"/>
  <c r="H101" i="1"/>
  <c r="F162" i="1"/>
  <c r="S87" i="1"/>
  <c r="F131" i="1"/>
  <c r="T83" i="1"/>
  <c r="F148" i="1"/>
  <c r="H83" i="1"/>
  <c r="C83" i="1"/>
  <c r="C148" i="1"/>
  <c r="G137" i="1"/>
  <c r="F170" i="1"/>
  <c r="G168" i="1"/>
  <c r="G112" i="1"/>
  <c r="G155" i="1"/>
  <c r="C107" i="1"/>
  <c r="G89" i="1"/>
  <c r="Q89" i="1"/>
  <c r="T89" i="1"/>
  <c r="R86" i="1"/>
  <c r="G86" i="1"/>
  <c r="I86" i="1"/>
  <c r="F134" i="1"/>
  <c r="C140" i="1"/>
  <c r="Q85" i="1"/>
  <c r="H85" i="1"/>
  <c r="F102" i="1"/>
  <c r="C102" i="1"/>
  <c r="I102" i="1"/>
  <c r="C128" i="1"/>
  <c r="R69" i="1"/>
  <c r="G167" i="1"/>
  <c r="C119" i="1"/>
  <c r="C127" i="1"/>
  <c r="C120" i="1"/>
  <c r="T88" i="1"/>
  <c r="F142" i="1"/>
  <c r="R74" i="1"/>
  <c r="S74" i="1"/>
  <c r="G74" i="1"/>
  <c r="G99" i="1"/>
  <c r="F99" i="1"/>
  <c r="Q99" i="1"/>
  <c r="R99" i="1"/>
  <c r="T73" i="1"/>
  <c r="G79" i="1"/>
  <c r="C79" i="1"/>
  <c r="H79" i="1"/>
  <c r="C170" i="1"/>
  <c r="C145" i="1"/>
  <c r="F74" i="1"/>
  <c r="I74" i="1"/>
  <c r="F155" i="1"/>
  <c r="G107" i="1"/>
  <c r="F107" i="1"/>
  <c r="C89" i="1"/>
  <c r="F89" i="1"/>
  <c r="C86" i="1"/>
  <c r="S70" i="1"/>
  <c r="I70" i="1"/>
  <c r="T70" i="1"/>
  <c r="Q70" i="1"/>
  <c r="C99" i="1"/>
  <c r="I73" i="1"/>
  <c r="G73" i="1"/>
  <c r="Q73" i="1"/>
  <c r="R73" i="1"/>
  <c r="G106" i="1"/>
  <c r="Q79" i="1"/>
  <c r="I79" i="1"/>
  <c r="G140" i="1"/>
  <c r="I85" i="1"/>
  <c r="T85" i="1"/>
  <c r="Q102" i="1"/>
  <c r="G102" i="1"/>
  <c r="F128" i="1"/>
  <c r="G69" i="1"/>
  <c r="T69" i="1"/>
  <c r="F167" i="1"/>
  <c r="G119" i="1"/>
  <c r="G127" i="1"/>
  <c r="G88" i="1"/>
  <c r="C88" i="1"/>
  <c r="Q88" i="1"/>
  <c r="F168" i="1"/>
  <c r="F112" i="1"/>
  <c r="H89" i="1"/>
  <c r="F86" i="1"/>
  <c r="T86" i="1"/>
  <c r="R70" i="1"/>
  <c r="I99" i="1"/>
  <c r="S73" i="1"/>
  <c r="F79" i="1"/>
  <c r="S85" i="1"/>
  <c r="R85" i="1"/>
  <c r="H102" i="1"/>
  <c r="R102" i="1"/>
  <c r="Q69" i="1"/>
  <c r="S69" i="1"/>
  <c r="C69" i="1"/>
  <c r="F120" i="1"/>
  <c r="R88" i="1"/>
  <c r="G173" i="1"/>
  <c r="C147" i="1"/>
  <c r="C114" i="1"/>
  <c r="H100" i="1"/>
  <c r="G100" i="1"/>
  <c r="I66" i="1"/>
  <c r="F66" i="1"/>
  <c r="G66" i="1"/>
  <c r="G156" i="1"/>
  <c r="G67" i="1"/>
  <c r="Q67" i="1"/>
  <c r="F153" i="1"/>
  <c r="G153" i="1"/>
  <c r="R80" i="1"/>
  <c r="C80" i="1"/>
  <c r="F136" i="1"/>
  <c r="T90" i="1"/>
  <c r="R90" i="1"/>
  <c r="F129" i="1"/>
  <c r="G129" i="1"/>
  <c r="F144" i="1"/>
  <c r="C110" i="1"/>
  <c r="G126" i="1"/>
  <c r="G135" i="1"/>
  <c r="H84" i="1"/>
  <c r="S84" i="1"/>
  <c r="G84" i="1"/>
  <c r="F138" i="1"/>
  <c r="R72" i="1"/>
  <c r="S72" i="1"/>
  <c r="C159" i="1"/>
  <c r="C111" i="1"/>
  <c r="F111" i="1"/>
  <c r="H97" i="1"/>
  <c r="R97" i="1"/>
  <c r="S96" i="1"/>
  <c r="H96" i="1"/>
  <c r="G96" i="1"/>
  <c r="F173" i="1"/>
  <c r="F126" i="1"/>
  <c r="G147" i="1"/>
  <c r="R100" i="1"/>
  <c r="I100" i="1"/>
  <c r="R84" i="1"/>
  <c r="I84" i="1"/>
  <c r="T66" i="1"/>
  <c r="C141" i="1"/>
  <c r="F154" i="1"/>
  <c r="C67" i="1"/>
  <c r="C138" i="1"/>
  <c r="H72" i="1"/>
  <c r="T72" i="1"/>
  <c r="G159" i="1"/>
  <c r="S97" i="1"/>
  <c r="T97" i="1"/>
  <c r="S80" i="1"/>
  <c r="H80" i="1"/>
  <c r="G80" i="1"/>
  <c r="C136" i="1"/>
  <c r="F90" i="1"/>
  <c r="G90" i="1"/>
  <c r="C90" i="1"/>
  <c r="I90" i="1"/>
  <c r="C144" i="1"/>
  <c r="F84" i="1"/>
  <c r="H66" i="1"/>
  <c r="S66" i="1"/>
  <c r="F141" i="1"/>
  <c r="F156" i="1"/>
  <c r="I67" i="1"/>
  <c r="R67" i="1"/>
  <c r="G72" i="1"/>
  <c r="Q72" i="1"/>
  <c r="F72" i="1"/>
  <c r="C97" i="1"/>
  <c r="F96" i="1"/>
  <c r="T96" i="1"/>
  <c r="F80" i="1"/>
  <c r="Q90" i="1"/>
  <c r="H90" i="1"/>
  <c r="F110" i="1"/>
  <c r="G110" i="1"/>
  <c r="T21" i="1"/>
  <c r="T16" i="1"/>
  <c r="R13" i="1"/>
  <c r="R18" i="1"/>
  <c r="R21" i="1"/>
  <c r="R14" i="1"/>
  <c r="T12" i="1"/>
  <c r="R16" i="1"/>
  <c r="R20" i="1"/>
  <c r="T15" i="1"/>
  <c r="T13" i="1"/>
  <c r="R17" i="1"/>
  <c r="T19" i="1"/>
  <c r="R19" i="1"/>
  <c r="T18" i="1"/>
  <c r="T14" i="1"/>
  <c r="T20" i="1"/>
  <c r="T17" i="1"/>
  <c r="R12" i="1"/>
  <c r="I20" i="1"/>
  <c r="N20" i="1" s="1"/>
  <c r="F20" i="1" l="1"/>
  <c r="L20" i="1" s="1"/>
  <c r="F17" i="1"/>
  <c r="G17" i="1" s="1"/>
  <c r="M17" i="1" s="1"/>
  <c r="F15" i="1"/>
  <c r="L15" i="1" s="1"/>
  <c r="G54" i="1"/>
  <c r="L59" i="1"/>
  <c r="G59" i="1"/>
  <c r="L63" i="1"/>
  <c r="G63" i="1"/>
  <c r="M63" i="1" s="1"/>
  <c r="G47" i="1"/>
  <c r="G40" i="1"/>
  <c r="L60" i="1"/>
  <c r="G60" i="1"/>
  <c r="M60" i="1" s="1"/>
  <c r="G57" i="1"/>
  <c r="M57" i="1" s="1"/>
  <c r="G46" i="1"/>
  <c r="L39" i="1"/>
  <c r="G39" i="1"/>
  <c r="E28" i="1"/>
  <c r="F28" i="1" s="1"/>
  <c r="G44" i="1"/>
  <c r="M44" i="1" s="1"/>
  <c r="I55" i="1"/>
  <c r="N55" i="1" s="1"/>
  <c r="G26" i="1"/>
  <c r="G30" i="1"/>
  <c r="H57" i="1"/>
  <c r="H47" i="1"/>
  <c r="O45" i="1"/>
  <c r="H35" i="1"/>
  <c r="O35" i="1" s="1"/>
  <c r="G35" i="1"/>
  <c r="H44" i="1"/>
  <c r="H26" i="1"/>
  <c r="O26" i="1" s="1"/>
  <c r="H59" i="1"/>
  <c r="H40" i="1"/>
  <c r="G23" i="1"/>
  <c r="H39" i="1"/>
  <c r="H51" i="1"/>
  <c r="H37" i="1"/>
  <c r="O37" i="1" s="1"/>
  <c r="H33" i="1"/>
  <c r="O33" i="1" s="1"/>
  <c r="E52" i="1"/>
  <c r="E42" i="1"/>
  <c r="E49" i="1"/>
  <c r="E61" i="1"/>
  <c r="E41" i="1"/>
  <c r="E43" i="1"/>
  <c r="E58" i="1"/>
  <c r="E45" i="1"/>
  <c r="E37" i="1"/>
  <c r="F37" i="1" s="1"/>
  <c r="E38" i="1"/>
  <c r="H23" i="1"/>
  <c r="I23" i="1" s="1"/>
  <c r="E22" i="1"/>
  <c r="H22" i="1"/>
  <c r="I22" i="1" s="1"/>
  <c r="H30" i="1"/>
  <c r="O30" i="1" s="1"/>
  <c r="H27" i="1"/>
  <c r="O27" i="1" s="1"/>
  <c r="E29" i="1"/>
  <c r="E25" i="1"/>
  <c r="F25" i="1" s="1"/>
  <c r="G25" i="1" s="1"/>
  <c r="E24" i="1"/>
  <c r="E27" i="1"/>
  <c r="F27" i="1" s="1"/>
  <c r="L27" i="1" s="1"/>
  <c r="E31" i="1"/>
  <c r="F31" i="1" s="1"/>
  <c r="G31" i="1" s="1"/>
  <c r="E48" i="1"/>
  <c r="H24" i="1"/>
  <c r="O24" i="1" s="1"/>
  <c r="E50" i="1"/>
  <c r="E64" i="1"/>
  <c r="E32" i="1"/>
  <c r="E55" i="1"/>
  <c r="E36" i="1"/>
  <c r="F36" i="1" s="1"/>
  <c r="G36" i="1" s="1"/>
  <c r="E53" i="1"/>
  <c r="E34" i="1"/>
  <c r="E56" i="1"/>
  <c r="E62" i="1"/>
  <c r="O50" i="1"/>
  <c r="E19" i="1"/>
  <c r="F19" i="1" s="1"/>
  <c r="G19" i="1" s="1"/>
  <c r="E18" i="1"/>
  <c r="F18" i="1" s="1"/>
  <c r="G18" i="1" s="1"/>
  <c r="E21" i="1"/>
  <c r="E14" i="1"/>
  <c r="F14" i="1" s="1"/>
  <c r="G14" i="1" s="1"/>
  <c r="E12" i="1"/>
  <c r="F12" i="1" s="1"/>
  <c r="G12" i="1" s="1"/>
  <c r="E16" i="1"/>
  <c r="F16" i="1" s="1"/>
  <c r="G16" i="1" s="1"/>
  <c r="E10" i="1"/>
  <c r="K10" i="1" s="1"/>
  <c r="E11" i="1"/>
  <c r="E13" i="1"/>
  <c r="K13" i="1" s="1"/>
  <c r="H9" i="1"/>
  <c r="F9" i="1"/>
  <c r="G9" i="1" s="1"/>
  <c r="O34" i="1"/>
  <c r="H29" i="1"/>
  <c r="O61" i="1"/>
  <c r="K57" i="1"/>
  <c r="H25" i="1"/>
  <c r="O25" i="1" s="1"/>
  <c r="H28" i="1"/>
  <c r="H46" i="1"/>
  <c r="I32" i="1"/>
  <c r="N32" i="1" s="1"/>
  <c r="G33" i="1"/>
  <c r="O49" i="1"/>
  <c r="O41" i="1"/>
  <c r="H12" i="1"/>
  <c r="I12" i="1" s="1"/>
  <c r="N12" i="1" s="1"/>
  <c r="H16" i="1"/>
  <c r="O16" i="1" s="1"/>
  <c r="O38" i="1"/>
  <c r="O48" i="1"/>
  <c r="O56" i="1"/>
  <c r="O64" i="1"/>
  <c r="O62" i="1"/>
  <c r="H63" i="1"/>
  <c r="H36" i="1"/>
  <c r="I36" i="1" s="1"/>
  <c r="H54" i="1"/>
  <c r="O58" i="1"/>
  <c r="O43" i="1"/>
  <c r="O53" i="1"/>
  <c r="O32" i="1"/>
  <c r="H31" i="1"/>
  <c r="H60" i="1"/>
  <c r="O52" i="1"/>
  <c r="H18" i="1"/>
  <c r="I18" i="1" s="1"/>
  <c r="N18" i="1" s="1"/>
  <c r="H19" i="1"/>
  <c r="O10" i="1"/>
  <c r="O13" i="1"/>
  <c r="H14" i="1"/>
  <c r="O11" i="1"/>
  <c r="I21" i="1"/>
  <c r="N21" i="1" s="1"/>
  <c r="I33" i="1" l="1"/>
  <c r="K26" i="1"/>
  <c r="G20" i="1"/>
  <c r="M20" i="1" s="1"/>
  <c r="I35" i="1"/>
  <c r="N35" i="1" s="1"/>
  <c r="I27" i="1"/>
  <c r="N27" i="1" s="1"/>
  <c r="L17" i="1"/>
  <c r="I26" i="1"/>
  <c r="N26" i="1" s="1"/>
  <c r="G15" i="1"/>
  <c r="M15" i="1" s="1"/>
  <c r="L23" i="1"/>
  <c r="M14" i="1"/>
  <c r="F13" i="1"/>
  <c r="L13" i="1" s="1"/>
  <c r="M31" i="1"/>
  <c r="I31" i="1"/>
  <c r="N31" i="1" s="1"/>
  <c r="K46" i="1"/>
  <c r="I46" i="1"/>
  <c r="N46" i="1" s="1"/>
  <c r="K56" i="1"/>
  <c r="F56" i="1"/>
  <c r="K55" i="1"/>
  <c r="F55" i="1"/>
  <c r="K29" i="1"/>
  <c r="F29" i="1"/>
  <c r="K22" i="1"/>
  <c r="F22" i="1"/>
  <c r="K45" i="1"/>
  <c r="F45" i="1"/>
  <c r="K61" i="1"/>
  <c r="F61" i="1"/>
  <c r="K40" i="1"/>
  <c r="I40" i="1"/>
  <c r="N40" i="1" s="1"/>
  <c r="L40" i="1"/>
  <c r="L19" i="1"/>
  <c r="K54" i="1"/>
  <c r="I54" i="1"/>
  <c r="N54" i="1" s="1"/>
  <c r="F10" i="1"/>
  <c r="L10" i="1" s="1"/>
  <c r="K34" i="1"/>
  <c r="F34" i="1"/>
  <c r="K32" i="1"/>
  <c r="F32" i="1"/>
  <c r="K24" i="1"/>
  <c r="F24" i="1"/>
  <c r="K58" i="1"/>
  <c r="F58" i="1"/>
  <c r="K49" i="1"/>
  <c r="F49" i="1"/>
  <c r="K51" i="1"/>
  <c r="I51" i="1"/>
  <c r="N51" i="1" s="1"/>
  <c r="O59" i="1"/>
  <c r="I59" i="1"/>
  <c r="N59" i="1" s="1"/>
  <c r="O44" i="1"/>
  <c r="I44" i="1"/>
  <c r="N44" i="1" s="1"/>
  <c r="K47" i="1"/>
  <c r="I47" i="1"/>
  <c r="N47" i="1" s="1"/>
  <c r="I25" i="1"/>
  <c r="N25" i="1" s="1"/>
  <c r="L44" i="1"/>
  <c r="L28" i="1"/>
  <c r="M46" i="1"/>
  <c r="M54" i="1"/>
  <c r="O60" i="1"/>
  <c r="I60" i="1"/>
  <c r="N60" i="1" s="1"/>
  <c r="N36" i="1"/>
  <c r="G28" i="1"/>
  <c r="M28" i="1" s="1"/>
  <c r="I29" i="1"/>
  <c r="N29" i="1" s="1"/>
  <c r="K21" i="1"/>
  <c r="F21" i="1"/>
  <c r="K23" i="1"/>
  <c r="K53" i="1"/>
  <c r="F53" i="1"/>
  <c r="K64" i="1"/>
  <c r="F64" i="1"/>
  <c r="K48" i="1"/>
  <c r="F48" i="1"/>
  <c r="L25" i="1"/>
  <c r="K38" i="1"/>
  <c r="F38" i="1"/>
  <c r="K43" i="1"/>
  <c r="F43" i="1"/>
  <c r="K42" i="1"/>
  <c r="F42" i="1"/>
  <c r="O39" i="1"/>
  <c r="I39" i="1"/>
  <c r="N39" i="1" s="1"/>
  <c r="I30" i="1"/>
  <c r="N30" i="1" s="1"/>
  <c r="I24" i="1"/>
  <c r="N24" i="1" s="1"/>
  <c r="L33" i="1"/>
  <c r="L51" i="1"/>
  <c r="M51" i="1"/>
  <c r="I28" i="1"/>
  <c r="N28" i="1" s="1"/>
  <c r="L46" i="1"/>
  <c r="M47" i="1"/>
  <c r="L54" i="1"/>
  <c r="O63" i="1"/>
  <c r="I63" i="1"/>
  <c r="N63" i="1" s="1"/>
  <c r="G27" i="1"/>
  <c r="M27" i="1" s="1"/>
  <c r="K11" i="1"/>
  <c r="F11" i="1"/>
  <c r="K62" i="1"/>
  <c r="F62" i="1"/>
  <c r="L36" i="1"/>
  <c r="K50" i="1"/>
  <c r="F50" i="1"/>
  <c r="L31" i="1"/>
  <c r="N22" i="1"/>
  <c r="L37" i="1"/>
  <c r="K41" i="1"/>
  <c r="F41" i="1"/>
  <c r="K52" i="1"/>
  <c r="F52" i="1"/>
  <c r="O57" i="1"/>
  <c r="I57" i="1"/>
  <c r="N57" i="1" s="1"/>
  <c r="G37" i="1"/>
  <c r="M37" i="1" s="1"/>
  <c r="I37" i="1"/>
  <c r="N37" i="1" s="1"/>
  <c r="L26" i="1"/>
  <c r="L30" i="1"/>
  <c r="M39" i="1"/>
  <c r="L57" i="1"/>
  <c r="M40" i="1"/>
  <c r="L47" i="1"/>
  <c r="M59" i="1"/>
  <c r="L35" i="1"/>
  <c r="M35" i="1"/>
  <c r="K35" i="1"/>
  <c r="M26" i="1"/>
  <c r="O22" i="1"/>
  <c r="M23" i="1"/>
  <c r="O47" i="1"/>
  <c r="K33" i="1"/>
  <c r="K44" i="1"/>
  <c r="M33" i="1"/>
  <c r="K39" i="1"/>
  <c r="M30" i="1"/>
  <c r="N33" i="1"/>
  <c r="K59" i="1"/>
  <c r="O40" i="1"/>
  <c r="K37" i="1"/>
  <c r="L18" i="1"/>
  <c r="O46" i="1"/>
  <c r="N23" i="1"/>
  <c r="O23" i="1"/>
  <c r="O51" i="1"/>
  <c r="K30" i="1"/>
  <c r="K36" i="1"/>
  <c r="M25" i="1"/>
  <c r="K28" i="1"/>
  <c r="K27" i="1"/>
  <c r="K25" i="1"/>
  <c r="O29" i="1"/>
  <c r="I16" i="1"/>
  <c r="N16" i="1" s="1"/>
  <c r="M9" i="1"/>
  <c r="M19" i="1"/>
  <c r="K18" i="1"/>
  <c r="K19" i="1"/>
  <c r="L14" i="1"/>
  <c r="I9" i="1"/>
  <c r="N9" i="1" s="1"/>
  <c r="O9" i="1"/>
  <c r="K9" i="1"/>
  <c r="L12" i="1"/>
  <c r="K14" i="1"/>
  <c r="K16" i="1"/>
  <c r="L9" i="1"/>
  <c r="K12" i="1"/>
  <c r="L16" i="1"/>
  <c r="O28" i="1"/>
  <c r="K60" i="1"/>
  <c r="K63" i="1"/>
  <c r="O54" i="1"/>
  <c r="M36" i="1"/>
  <c r="O36" i="1"/>
  <c r="I14" i="1"/>
  <c r="N14" i="1" s="1"/>
  <c r="M12" i="1"/>
  <c r="O12" i="1"/>
  <c r="M16" i="1"/>
  <c r="K31" i="1"/>
  <c r="O31" i="1"/>
  <c r="O18" i="1"/>
  <c r="M18" i="1"/>
  <c r="O19" i="1"/>
  <c r="O14" i="1"/>
  <c r="I19" i="1"/>
  <c r="N19" i="1" s="1"/>
  <c r="G13" i="1" l="1"/>
  <c r="M13" i="1" s="1"/>
  <c r="L52" i="1"/>
  <c r="G52" i="1"/>
  <c r="M52" i="1" s="1"/>
  <c r="G11" i="1"/>
  <c r="M11" i="1" s="1"/>
  <c r="L11" i="1"/>
  <c r="L42" i="1"/>
  <c r="G42" i="1"/>
  <c r="M42" i="1" s="1"/>
  <c r="L38" i="1"/>
  <c r="G38" i="1"/>
  <c r="M38" i="1" s="1"/>
  <c r="L58" i="1"/>
  <c r="G58" i="1"/>
  <c r="M58" i="1" s="1"/>
  <c r="L32" i="1"/>
  <c r="G32" i="1"/>
  <c r="M32" i="1" s="1"/>
  <c r="G10" i="1"/>
  <c r="M10" i="1" s="1"/>
  <c r="L64" i="1"/>
  <c r="G64" i="1"/>
  <c r="M64" i="1" s="1"/>
  <c r="L61" i="1"/>
  <c r="G61" i="1"/>
  <c r="M61" i="1" s="1"/>
  <c r="L22" i="1"/>
  <c r="G22" i="1"/>
  <c r="M22" i="1" s="1"/>
  <c r="L55" i="1"/>
  <c r="G55" i="1"/>
  <c r="M55" i="1" s="1"/>
  <c r="L41" i="1"/>
  <c r="G41" i="1"/>
  <c r="M41" i="1" s="1"/>
  <c r="L62" i="1"/>
  <c r="G62" i="1"/>
  <c r="M62" i="1" s="1"/>
  <c r="L43" i="1"/>
  <c r="G43" i="1"/>
  <c r="M43" i="1" s="1"/>
  <c r="L21" i="1"/>
  <c r="G21" i="1"/>
  <c r="M21" i="1" s="1"/>
  <c r="L49" i="1"/>
  <c r="G49" i="1"/>
  <c r="M49" i="1" s="1"/>
  <c r="L24" i="1"/>
  <c r="G24" i="1"/>
  <c r="M24" i="1" s="1"/>
  <c r="L34" i="1"/>
  <c r="G34" i="1"/>
  <c r="M34" i="1" s="1"/>
  <c r="L50" i="1"/>
  <c r="G50" i="1"/>
  <c r="M50" i="1" s="1"/>
  <c r="L48" i="1"/>
  <c r="G48" i="1"/>
  <c r="M48" i="1" s="1"/>
  <c r="L53" i="1"/>
  <c r="G53" i="1"/>
  <c r="M53" i="1" s="1"/>
  <c r="L45" i="1"/>
  <c r="G45" i="1"/>
  <c r="M45" i="1" s="1"/>
  <c r="L29" i="1"/>
  <c r="G29" i="1"/>
  <c r="M29" i="1" s="1"/>
  <c r="L56" i="1"/>
  <c r="G56" i="1"/>
  <c r="M56" i="1" s="1"/>
</calcChain>
</file>

<file path=xl/comments1.xml><?xml version="1.0" encoding="utf-8"?>
<comments xmlns="http://schemas.openxmlformats.org/spreadsheetml/2006/main">
  <authors>
    <author>Howard Kathryn</author>
  </authors>
  <commentList>
    <comment ref="AD4" authorId="0" shape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Use UCEA point 2 x 70% - need to amend manually</t>
        </r>
      </text>
    </comment>
    <comment ref="AD7" authorId="0" shape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Use UCEA point 2 x 85% - need to amend manually</t>
        </r>
      </text>
    </comment>
    <comment ref="AD9" authorId="0" shapeId="0">
      <text>
        <r>
          <rPr>
            <b/>
            <sz val="9"/>
            <color indexed="81"/>
            <rFont val="Tahoma"/>
            <family val="2"/>
          </rPr>
          <t>Howard Kathryn:</t>
        </r>
        <r>
          <rPr>
            <sz val="9"/>
            <color indexed="81"/>
            <rFont val="Tahoma"/>
            <family val="2"/>
          </rPr>
          <t xml:space="preserve">
Insert manually - point 2 on UCEA 51 point scale not University scale.
</t>
        </r>
      </text>
    </comment>
  </commentList>
</comments>
</file>

<file path=xl/sharedStrings.xml><?xml version="1.0" encoding="utf-8"?>
<sst xmlns="http://schemas.openxmlformats.org/spreadsheetml/2006/main" count="165" uniqueCount="92">
  <si>
    <t>Spine Point</t>
  </si>
  <si>
    <t>Salary</t>
  </si>
  <si>
    <t>CPAS</t>
  </si>
  <si>
    <t>CRSP</t>
  </si>
  <si>
    <t>USS</t>
  </si>
  <si>
    <t>NHS</t>
  </si>
  <si>
    <t>Level 7 Spine Points</t>
  </si>
  <si>
    <t>Grade Number</t>
  </si>
  <si>
    <t>No of Points</t>
  </si>
  <si>
    <t>Minimum</t>
  </si>
  <si>
    <t>Standard Max</t>
  </si>
  <si>
    <t>Super Max</t>
  </si>
  <si>
    <t>Match</t>
  </si>
  <si>
    <t>CLCONS - NEW</t>
  </si>
  <si>
    <t>CLLECT / CLCONS OLD</t>
  </si>
  <si>
    <t>APM Level 1</t>
  </si>
  <si>
    <t>APM Level 2</t>
  </si>
  <si>
    <t>APM Level 3</t>
  </si>
  <si>
    <t>Pension Schemes</t>
  </si>
  <si>
    <t>Child Care Services Level 1</t>
  </si>
  <si>
    <t>Child Care Services Level 2</t>
  </si>
  <si>
    <t>O&amp;F Level 2</t>
  </si>
  <si>
    <t>O&amp;F Level 3</t>
  </si>
  <si>
    <t>R&amp;T Level 5 - Clinical Lecturers (Vet School)</t>
  </si>
  <si>
    <t>R&amp;T Level 6 - Clinical Associate Professors and Clinical Readers (Vet School)</t>
  </si>
  <si>
    <t>A rate stops</t>
  </si>
  <si>
    <t>TOTALS</t>
  </si>
  <si>
    <t>Salary + AVA</t>
  </si>
  <si>
    <t>AVA%</t>
  </si>
  <si>
    <t>Clinical Supplement %</t>
  </si>
  <si>
    <t>Clinical Supplement  Amount</t>
  </si>
  <si>
    <t>Notes &amp; Guidance</t>
  </si>
  <si>
    <t>If there is a Standard Maximum then this will be highlighted in Orange</t>
  </si>
  <si>
    <t>Pension &amp; NI</t>
  </si>
  <si>
    <t>The Salary Points &amp; Employer Costs for that grade will be displayed</t>
  </si>
  <si>
    <t>If the pension scheme is not available on this grade then the entry will show as '-'</t>
  </si>
  <si>
    <t>The 'Rates' tab gives the current Salary &amp; the Employers Pension &amp; NI costs</t>
  </si>
  <si>
    <t>Select From Drop-Down</t>
  </si>
  <si>
    <t>The 'Scale' is currently set to 100%. This can be adjusted using the + &amp; - buttons in the bottom right of Excel</t>
  </si>
  <si>
    <t>CRSP Employers % is calculated as 10% though in practice this could be a lower figure depending on what % the employee decides to contribute</t>
  </si>
  <si>
    <t>Not Contributing to a Pension</t>
  </si>
  <si>
    <t>Veterinary Scales will have AVA &amp; Clinical Supplements figures supplied to the right of the TOTALS. The figure the NI &amp; Pension is calculated on will be the Salary + the AVA %. The Clinical Supplement can be a % up to 15%, the figure in the spreadsheet will always show the maximum 15% figure</t>
  </si>
  <si>
    <t>APM3</t>
  </si>
  <si>
    <t>CCS2</t>
  </si>
  <si>
    <t>CCS1</t>
  </si>
  <si>
    <t>APM2</t>
  </si>
  <si>
    <t>Point</t>
  </si>
  <si>
    <t>Level 1 Standard Max</t>
  </si>
  <si>
    <t>Level 2 Standard Max</t>
  </si>
  <si>
    <t>Level 3 Standard Max</t>
  </si>
  <si>
    <t>Apprenticeship</t>
  </si>
  <si>
    <t>Point Relates To</t>
  </si>
  <si>
    <t>Print Preview is automatically set but changes can be made in the page set up section if required</t>
  </si>
  <si>
    <t>LEL to ST</t>
  </si>
  <si>
    <t>Above UEL</t>
  </si>
  <si>
    <t>Lower Earnings Level (LEL)</t>
  </si>
  <si>
    <t>Secondary Threshold (ST)</t>
  </si>
  <si>
    <t>Upper Accrual Point (UAP)</t>
  </si>
  <si>
    <t>Primary Threshold (PT)</t>
  </si>
  <si>
    <t>ST to UAP</t>
  </si>
  <si>
    <t>NI THRESHOLDS &amp; RATES</t>
  </si>
  <si>
    <t>* Update the values of these cells to reflect the current NI Thresholds &amp; Rates</t>
  </si>
  <si>
    <t>Drop-Down Selection 'Salary Points to 2 - 57' shows all the points. CRSP is available to the bottom of Level 3 &amp; USS from the bottom of Level 4</t>
  </si>
  <si>
    <t>UCEA point 2</t>
  </si>
  <si>
    <t>APM1</t>
  </si>
  <si>
    <r>
      <t xml:space="preserve">The Scale is currently 100% but can be altered using the + &amp; - buttons in the bottom right corner
Depending on your screen size &amp; resolution not all the Columns &amp; Rows may be visible so scroll down or across as required
Print Preview is automatically set but changes can be made if required
Please read the 'Notes &amp; Guidance' tab for further information
Any queries with the spreadsheet contact HR Systems Team on 15210
</t>
    </r>
    <r>
      <rPr>
        <b/>
        <i/>
        <sz val="10"/>
        <color rgb="FFFF0000"/>
        <rFont val="Calibri"/>
        <family val="2"/>
      </rPr>
      <t>Since 1st April 2015, there are no employers NIC payable for workers under 21 who earn less than 42384.</t>
    </r>
  </si>
  <si>
    <t>O&amp;F1-A</t>
  </si>
  <si>
    <t>O&amp;F1-B</t>
  </si>
  <si>
    <t>O&amp;F1-C</t>
  </si>
  <si>
    <t>O&amp;F1-D</t>
  </si>
  <si>
    <t>O&amp;F1-E</t>
  </si>
  <si>
    <t>O&amp;F2-A</t>
  </si>
  <si>
    <t>O&amp;F2-B</t>
  </si>
  <si>
    <t>O&amp;F3-A</t>
  </si>
  <si>
    <t>O&amp;F3-B</t>
  </si>
  <si>
    <t>Ers National Insurance</t>
  </si>
  <si>
    <t>USS Pens Cost</t>
  </si>
  <si>
    <t>NHS Pens Cost</t>
  </si>
  <si>
    <t>CPAS Pens Cost</t>
  </si>
  <si>
    <t>CRSP Pens Cost</t>
  </si>
  <si>
    <t>Points 1 &amp; 2 are not currently being used at the University of Nottingham. Our lowest point is point 3.</t>
  </si>
  <si>
    <t>National Insurance is now one single rate (which used to be A Rate). This now applies to all staff regardless of pension status from the 1st April 2016.</t>
  </si>
  <si>
    <t>D Rate from / USS Start</t>
  </si>
  <si>
    <t>USS Rate</t>
  </si>
  <si>
    <t>NHS Rate</t>
  </si>
  <si>
    <t>CPAS Rate</t>
  </si>
  <si>
    <t>CRSP Rate</t>
  </si>
  <si>
    <t>ERS Rates</t>
  </si>
  <si>
    <t>NB: CPAS is not available to new employees
Since 1st April 2016, there has only been one single rate of NI, which applies to all employees.</t>
  </si>
  <si>
    <t>Salary Points 2 to 30</t>
  </si>
  <si>
    <t>This Salary Scale DOES NOT reflect the 2016 Pay Award which has not yet been confirmed for the staff groups in the scales below.</t>
  </si>
  <si>
    <t>THIS SHOWS ALL THE POINTS 1 -30 WITH THE LEVELS THAT RELATE TO THEM
JUST CLICK PRINT TO GET THIS AS A 1 PAGE DOCUMENT - IT IS BEST DONE ON A COLOUR 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</si>
</sst>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.0%"/>
    <numFmt numFmtId="166" formatCode="0_ ;\-0\ "/>
  </numFmts>
  <fonts count="2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0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FF0000"/>
      <name val="Calibri"/>
      <family val="2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6"/>
      <color theme="0"/>
      <name val="Calibri"/>
      <family val="2"/>
    </font>
    <font>
      <b/>
      <sz val="11"/>
      <color theme="1" tint="0.14999847407452621"/>
      <name val="Calibri"/>
      <family val="2"/>
    </font>
    <font>
      <b/>
      <sz val="14"/>
      <color theme="1" tint="0.14999847407452621"/>
      <name val="Calibri"/>
      <family val="2"/>
    </font>
    <font>
      <b/>
      <i/>
      <sz val="14"/>
      <color theme="0" tint="-4.9989318521683403E-2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1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1" applyFont="1" applyFill="1" applyBorder="1" applyAlignment="1" applyProtection="1">
      <alignment horizontal="left" vertical="top"/>
      <protection hidden="1"/>
    </xf>
    <xf numFmtId="0" fontId="5" fillId="0" borderId="0" xfId="1" applyFont="1" applyFill="1" applyBorder="1" applyAlignment="1" applyProtection="1">
      <alignment horizontal="center" vertical="top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9" fontId="3" fillId="0" borderId="1" xfId="0" applyNumberFormat="1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164" fontId="0" fillId="0" borderId="0" xfId="0" applyNumberForma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textRotation="180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3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0" fillId="4" borderId="6" xfId="0" applyFill="1" applyBorder="1" applyAlignment="1" applyProtection="1">
      <alignment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center" vertical="center" textRotation="180"/>
      <protection hidden="1"/>
    </xf>
    <xf numFmtId="0" fontId="0" fillId="0" borderId="9" xfId="0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Alignment="1" applyProtection="1">
      <alignment horizontal="left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 vertical="center"/>
    </xf>
    <xf numFmtId="0" fontId="13" fillId="7" borderId="0" xfId="0" applyFont="1" applyFill="1"/>
    <xf numFmtId="0" fontId="0" fillId="0" borderId="1" xfId="0" applyBorder="1"/>
    <xf numFmtId="0" fontId="0" fillId="0" borderId="0" xfId="0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0" borderId="10" xfId="0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6" fillId="0" borderId="1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0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4" applyFont="1" applyBorder="1" applyAlignment="1">
      <alignment horizontal="center"/>
    </xf>
    <xf numFmtId="166" fontId="21" fillId="0" borderId="1" xfId="4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 applyProtection="1">
      <alignment horizontal="center" vertical="center" wrapText="1"/>
      <protection hidden="1"/>
    </xf>
    <xf numFmtId="0" fontId="9" fillId="10" borderId="1" xfId="0" applyFont="1" applyFill="1" applyBorder="1" applyAlignment="1" applyProtection="1">
      <alignment horizontal="center" vertical="center" wrapText="1"/>
      <protection hidden="1"/>
    </xf>
    <xf numFmtId="0" fontId="4" fillId="11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26" fillId="15" borderId="4" xfId="0" applyFont="1" applyFill="1" applyBorder="1" applyAlignment="1" applyProtection="1">
      <alignment horizontal="center" vertical="center" wrapText="1"/>
      <protection hidden="1"/>
    </xf>
    <xf numFmtId="0" fontId="26" fillId="15" borderId="5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8" fillId="16" borderId="16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7" fillId="0" borderId="0" xfId="0" applyFont="1" applyBorder="1" applyAlignment="1">
      <alignment horizontal="left" vertical="center" wrapText="1"/>
    </xf>
    <xf numFmtId="0" fontId="0" fillId="2" borderId="16" xfId="0" applyNumberFormat="1" applyFill="1" applyBorder="1" applyAlignment="1" applyProtection="1">
      <alignment horizontal="center" vertical="center"/>
      <protection hidden="1"/>
    </xf>
    <xf numFmtId="0" fontId="27" fillId="2" borderId="16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NumberForma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8" fillId="8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 textRotation="180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5" fillId="13" borderId="1" xfId="0" applyFont="1" applyFill="1" applyBorder="1" applyAlignment="1" applyProtection="1">
      <alignment horizontal="center" vertical="center" wrapText="1"/>
      <protection hidden="1"/>
    </xf>
    <xf numFmtId="0" fontId="24" fillId="13" borderId="11" xfId="0" applyFont="1" applyFill="1" applyBorder="1" applyAlignment="1" applyProtection="1">
      <alignment horizontal="left" vertical="center" wrapText="1"/>
      <protection hidden="1"/>
    </xf>
    <xf numFmtId="0" fontId="24" fillId="13" borderId="12" xfId="0" applyFont="1" applyFill="1" applyBorder="1" applyAlignment="1" applyProtection="1">
      <alignment horizontal="left" vertical="center"/>
      <protection hidden="1"/>
    </xf>
    <xf numFmtId="0" fontId="24" fillId="13" borderId="13" xfId="0" applyFont="1" applyFill="1" applyBorder="1" applyAlignment="1" applyProtection="1">
      <alignment horizontal="left" vertical="center"/>
      <protection hidden="1"/>
    </xf>
    <xf numFmtId="0" fontId="23" fillId="14" borderId="11" xfId="0" applyFont="1" applyFill="1" applyBorder="1" applyAlignment="1" applyProtection="1">
      <alignment horizontal="center" vertical="center" wrapText="1"/>
      <protection locked="0" hidden="1"/>
    </xf>
    <xf numFmtId="0" fontId="23" fillId="14" borderId="13" xfId="0" applyFont="1" applyFill="1" applyBorder="1" applyAlignment="1" applyProtection="1">
      <alignment horizontal="center" vertical="center" wrapText="1"/>
      <protection locked="0"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11" fillId="8" borderId="0" xfId="0" applyFont="1" applyFill="1" applyBorder="1" applyAlignment="1" applyProtection="1">
      <alignment horizontal="center" vertical="center" textRotation="180" wrapText="1"/>
      <protection hidden="1"/>
    </xf>
    <xf numFmtId="0" fontId="11" fillId="8" borderId="0" xfId="0" applyFont="1" applyFill="1" applyBorder="1" applyAlignment="1" applyProtection="1">
      <alignment horizontal="center" vertical="center" textRotation="180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11" fillId="9" borderId="2" xfId="0" applyFont="1" applyFill="1" applyBorder="1" applyAlignment="1" applyProtection="1">
      <alignment horizontal="center" vertical="center" textRotation="180"/>
      <protection hidden="1"/>
    </xf>
    <xf numFmtId="0" fontId="11" fillId="9" borderId="4" xfId="0" applyFont="1" applyFill="1" applyBorder="1" applyAlignment="1" applyProtection="1">
      <alignment horizontal="center" vertical="center" textRotation="180"/>
      <protection hidden="1"/>
    </xf>
    <xf numFmtId="0" fontId="11" fillId="9" borderId="7" xfId="0" applyFont="1" applyFill="1" applyBorder="1" applyAlignment="1" applyProtection="1">
      <alignment horizontal="center" vertical="center" textRotation="180"/>
      <protection hidden="1"/>
    </xf>
    <xf numFmtId="0" fontId="11" fillId="0" borderId="0" xfId="0" applyFont="1" applyFill="1" applyBorder="1" applyAlignment="1" applyProtection="1">
      <alignment horizontal="center" vertical="center" textRotation="180"/>
      <protection hidden="1"/>
    </xf>
    <xf numFmtId="0" fontId="11" fillId="0" borderId="9" xfId="0" applyFont="1" applyFill="1" applyBorder="1" applyAlignment="1" applyProtection="1">
      <alignment horizontal="center" vertical="center" textRotation="180"/>
      <protection hidden="1"/>
    </xf>
    <xf numFmtId="0" fontId="11" fillId="0" borderId="13" xfId="0" applyFont="1" applyFill="1" applyBorder="1" applyAlignment="1" applyProtection="1">
      <alignment horizontal="center" vertical="center" textRotation="180"/>
      <protection hidden="1"/>
    </xf>
    <xf numFmtId="0" fontId="11" fillId="0" borderId="3" xfId="0" applyFont="1" applyFill="1" applyBorder="1" applyAlignment="1" applyProtection="1">
      <alignment horizontal="center" vertical="center" textRotation="180"/>
      <protection hidden="1"/>
    </xf>
    <xf numFmtId="0" fontId="8" fillId="8" borderId="0" xfId="0" applyFont="1" applyFill="1" applyBorder="1" applyAlignment="1" applyProtection="1">
      <alignment horizontal="center" vertical="center" textRotation="180" wrapText="1"/>
      <protection hidden="1"/>
    </xf>
    <xf numFmtId="0" fontId="11" fillId="9" borderId="1" xfId="0" applyFont="1" applyFill="1" applyBorder="1" applyAlignment="1" applyProtection="1">
      <alignment horizontal="center" vertical="center" textRotation="180"/>
      <protection hidden="1"/>
    </xf>
    <xf numFmtId="0" fontId="0" fillId="4" borderId="11" xfId="0" applyFont="1" applyFill="1" applyBorder="1" applyAlignment="1" applyProtection="1">
      <alignment horizontal="left" vertical="center"/>
      <protection hidden="1"/>
    </xf>
    <xf numFmtId="0" fontId="0" fillId="4" borderId="13" xfId="0" applyFont="1" applyFill="1" applyBorder="1" applyAlignment="1" applyProtection="1">
      <alignment horizontal="left" vertical="center"/>
      <protection hidden="1"/>
    </xf>
    <xf numFmtId="0" fontId="11" fillId="4" borderId="3" xfId="0" applyFont="1" applyFill="1" applyBorder="1" applyAlignment="1" applyProtection="1">
      <alignment horizontal="center" vertical="center" textRotation="180"/>
      <protection hidden="1"/>
    </xf>
    <xf numFmtId="0" fontId="11" fillId="4" borderId="5" xfId="0" applyFont="1" applyFill="1" applyBorder="1" applyAlignment="1" applyProtection="1">
      <alignment horizontal="center" vertical="center" textRotation="180"/>
      <protection hidden="1"/>
    </xf>
    <xf numFmtId="0" fontId="11" fillId="4" borderId="9" xfId="0" applyFont="1" applyFill="1" applyBorder="1" applyAlignment="1" applyProtection="1">
      <alignment horizontal="center" vertical="center" textRotation="180"/>
      <protection hidden="1"/>
    </xf>
    <xf numFmtId="0" fontId="11" fillId="9" borderId="10" xfId="0" applyFont="1" applyFill="1" applyBorder="1" applyAlignment="1" applyProtection="1">
      <alignment horizontal="center" vertical="center" textRotation="180"/>
      <protection hidden="1"/>
    </xf>
    <xf numFmtId="0" fontId="11" fillId="9" borderId="14" xfId="0" applyFont="1" applyFill="1" applyBorder="1" applyAlignment="1" applyProtection="1">
      <alignment horizontal="center" vertical="center" textRotation="180"/>
      <protection hidden="1"/>
    </xf>
    <xf numFmtId="0" fontId="11" fillId="9" borderId="15" xfId="0" applyFont="1" applyFill="1" applyBorder="1" applyAlignment="1" applyProtection="1">
      <alignment horizontal="center" vertical="center" textRotation="180"/>
      <protection hidden="1"/>
    </xf>
    <xf numFmtId="0" fontId="11" fillId="0" borderId="4" xfId="0" applyFont="1" applyFill="1" applyBorder="1" applyAlignment="1" applyProtection="1">
      <alignment horizontal="center" vertical="center" textRotation="180"/>
      <protection hidden="1"/>
    </xf>
    <xf numFmtId="0" fontId="11" fillId="0" borderId="5" xfId="0" applyFont="1" applyFill="1" applyBorder="1" applyAlignment="1" applyProtection="1">
      <alignment horizontal="center" vertical="center" textRotation="180"/>
      <protection hidden="1"/>
    </xf>
    <xf numFmtId="0" fontId="5" fillId="0" borderId="0" xfId="1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2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numFmt numFmtId="0" formatCode="General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E3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303"/>
  <sheetViews>
    <sheetView showGridLines="0" showRowColHeaders="0" tabSelected="1" zoomScaleNormal="100" workbookViewId="0">
      <selection activeCell="B4" sqref="B4:C4"/>
    </sheetView>
  </sheetViews>
  <sheetFormatPr defaultColWidth="9.140625" defaultRowHeight="18.75" x14ac:dyDescent="0.25"/>
  <cols>
    <col min="1" max="1" width="2.140625" style="1" customWidth="1"/>
    <col min="2" max="2" width="16.7109375" style="1" customWidth="1"/>
    <col min="3" max="3" width="26.140625" style="1" customWidth="1"/>
    <col min="4" max="4" width="4.7109375" style="2" customWidth="1"/>
    <col min="5" max="9" width="15.5703125" style="1" customWidth="1"/>
    <col min="10" max="10" width="6.7109375" style="1" bestFit="1" customWidth="1"/>
    <col min="11" max="14" width="13.140625" style="1" customWidth="1"/>
    <col min="15" max="15" width="14.28515625" style="1" customWidth="1"/>
    <col min="16" max="16" width="9.140625" style="1" customWidth="1"/>
    <col min="17" max="20" width="15.7109375" style="4" customWidth="1"/>
    <col min="21" max="23" width="9.140625" style="5" customWidth="1"/>
    <col min="24" max="24" width="6.140625" style="25" customWidth="1"/>
    <col min="25" max="25" width="11.42578125" style="25" customWidth="1"/>
    <col min="26" max="30" width="6.140625" style="25" customWidth="1"/>
    <col min="31" max="38" width="9.140625" style="5" customWidth="1"/>
    <col min="39" max="39" width="9.140625" style="1" customWidth="1"/>
    <col min="40" max="16384" width="9.140625" style="1"/>
  </cols>
  <sheetData>
    <row r="1" spans="2:53" ht="34.5" customHeight="1" x14ac:dyDescent="0.25">
      <c r="B1" s="102" t="s">
        <v>65</v>
      </c>
      <c r="C1" s="102"/>
      <c r="D1" s="102"/>
      <c r="E1" s="102"/>
      <c r="F1" s="102"/>
      <c r="G1" s="102"/>
      <c r="H1" s="102"/>
      <c r="I1" s="102"/>
      <c r="J1" s="35"/>
      <c r="K1" s="34"/>
      <c r="AE1" s="5" t="s">
        <v>21</v>
      </c>
    </row>
    <row r="2" spans="2:53" ht="43.5" customHeight="1" x14ac:dyDescent="0.25">
      <c r="B2" s="102"/>
      <c r="C2" s="102"/>
      <c r="D2" s="102"/>
      <c r="E2" s="102"/>
      <c r="F2" s="102"/>
      <c r="G2" s="102"/>
      <c r="H2" s="102"/>
      <c r="I2" s="102"/>
      <c r="J2" s="35"/>
      <c r="K2" s="111"/>
      <c r="L2" s="112"/>
      <c r="M2" s="112"/>
      <c r="N2" s="112"/>
      <c r="O2" s="112"/>
      <c r="P2" s="112"/>
      <c r="AE2" s="5" t="s">
        <v>22</v>
      </c>
    </row>
    <row r="3" spans="2:53" ht="11.25" customHeight="1" x14ac:dyDescent="0.25">
      <c r="B3" s="98" t="s">
        <v>90</v>
      </c>
    </row>
    <row r="4" spans="2:53" ht="61.5" customHeight="1" x14ac:dyDescent="0.25">
      <c r="B4" s="108" t="s">
        <v>89</v>
      </c>
      <c r="C4" s="109"/>
      <c r="E4" s="110" t="str">
        <f>IF(OR($B$4="O&amp;F1-A",$B$4="O&amp;F1-B",$B$4="O&amp;F1-C",$B$4="O&amp;F1-D",$B$4="O&amp;F1-E",$B$4="O&amp;F2-A",$B$4="O&amp;F2-B"),"O&amp;F Shift Extended Hours = £3,596.87
O&amp;F Shift 24/7 = £4,795.95
-where applicable-",IF(Thresholds_Rates!C15=0,"","STANDARD MAXIMUM"))</f>
        <v/>
      </c>
      <c r="F4" s="110"/>
      <c r="G4" s="110"/>
      <c r="H4" s="110"/>
      <c r="I4" s="10"/>
      <c r="J4" s="10"/>
      <c r="AE4" s="29" t="s">
        <v>23</v>
      </c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</row>
    <row r="5" spans="2:53" s="2" customFormat="1" ht="8.25" customHeight="1" x14ac:dyDescent="0.25">
      <c r="B5" s="10"/>
      <c r="C5" s="10"/>
      <c r="D5" s="10"/>
      <c r="F5" s="10"/>
      <c r="G5" s="10"/>
      <c r="H5" s="10"/>
      <c r="I5" s="10"/>
      <c r="J5" s="10"/>
      <c r="Q5" s="14"/>
      <c r="R5" s="14"/>
      <c r="S5" s="14"/>
      <c r="T5" s="14"/>
      <c r="U5" s="6"/>
      <c r="V5" s="6"/>
      <c r="W5" s="6"/>
      <c r="X5" s="33"/>
      <c r="Y5" s="33"/>
      <c r="Z5" s="33"/>
      <c r="AA5" s="33"/>
      <c r="AB5" s="33"/>
      <c r="AC5" s="33"/>
      <c r="AD5" s="33"/>
      <c r="AE5" s="30"/>
      <c r="AF5" s="6"/>
      <c r="AG5" s="6"/>
      <c r="AH5" s="6"/>
      <c r="AI5" s="6"/>
      <c r="AJ5" s="6"/>
      <c r="AK5" s="6"/>
      <c r="AL5" s="6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2:53" s="2" customFormat="1" ht="8.25" customHeight="1" x14ac:dyDescent="0.25">
      <c r="B6" s="10"/>
      <c r="C6" s="10"/>
      <c r="D6" s="10"/>
      <c r="F6" s="10"/>
      <c r="G6" s="10"/>
      <c r="H6" s="10"/>
      <c r="I6" s="10"/>
      <c r="J6" s="10"/>
      <c r="Q6" s="14"/>
      <c r="R6" s="14"/>
      <c r="S6" s="14"/>
      <c r="T6" s="14"/>
      <c r="U6" s="6"/>
      <c r="V6" s="6"/>
      <c r="W6" s="6"/>
      <c r="X6" s="33"/>
      <c r="Y6" s="33"/>
      <c r="Z6" s="33"/>
      <c r="AA6" s="33"/>
      <c r="AB6" s="33"/>
      <c r="AC6" s="33"/>
      <c r="AD6" s="33"/>
      <c r="AE6" s="30"/>
      <c r="AF6" s="6"/>
      <c r="AG6" s="6"/>
      <c r="AH6" s="6"/>
      <c r="AI6" s="6"/>
      <c r="AJ6" s="6"/>
      <c r="AK6" s="6"/>
      <c r="AL6" s="6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2:53" s="2" customFormat="1" ht="69" customHeight="1" x14ac:dyDescent="0.25">
      <c r="B7" s="1"/>
      <c r="C7" s="1"/>
      <c r="E7" s="105" t="s">
        <v>88</v>
      </c>
      <c r="F7" s="106"/>
      <c r="G7" s="106"/>
      <c r="H7" s="106"/>
      <c r="I7" s="107"/>
      <c r="J7" s="18"/>
      <c r="K7" s="104" t="s">
        <v>26</v>
      </c>
      <c r="L7" s="104"/>
      <c r="M7" s="104"/>
      <c r="N7" s="104"/>
      <c r="O7" s="104"/>
      <c r="P7" s="1"/>
      <c r="Q7" s="103" t="str">
        <f>IF(OR($B$4="R&amp;T Level 5 - Clinical Lecturers (Vet School)",$B$4="R&amp;T Level 6 - Clinical Associate Professors and Clinical Readers (Vet School)"),"AVA Details","")</f>
        <v/>
      </c>
      <c r="R7" s="103"/>
      <c r="S7" s="103" t="str">
        <f>IF($B$4="R&amp;T Level 5 - Clinical Lecturers (Vet School)","Clinical Supplement
Can earn up to 15%
(Maximum Shown Below)",IF($B$4="R&amp;T Level 6 - Clinical Associate Professors and Clinical Readers (Vet School)","Clinical Supplement
Can earn up to 20%
(Maximum Shown Below)",""))</f>
        <v/>
      </c>
      <c r="T7" s="103"/>
      <c r="U7" s="5"/>
      <c r="V7" s="25"/>
      <c r="W7" s="5"/>
      <c r="X7" s="25"/>
      <c r="Y7" s="33"/>
      <c r="Z7" s="33"/>
      <c r="AA7" s="33"/>
      <c r="AB7" s="33"/>
      <c r="AC7" s="33"/>
      <c r="AD7" s="33"/>
      <c r="AE7" s="30" t="s">
        <v>24</v>
      </c>
      <c r="AF7" s="6"/>
      <c r="AG7" s="6"/>
      <c r="AH7" s="6"/>
      <c r="AI7" s="6"/>
      <c r="AJ7" s="6"/>
      <c r="AK7" s="6"/>
      <c r="AL7" s="6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2:53" ht="57" customHeight="1" x14ac:dyDescent="0.25">
      <c r="B8" s="87" t="s">
        <v>0</v>
      </c>
      <c r="C8" s="87" t="str">
        <f>IF(OR($B$4=$AE$4,$B$4=$AE$7),"Salary + AVA
(for further details scroll right)","Salary")</f>
        <v>Salary</v>
      </c>
      <c r="D8" s="10"/>
      <c r="E8" s="86" t="s">
        <v>76</v>
      </c>
      <c r="F8" s="86" t="s">
        <v>77</v>
      </c>
      <c r="G8" s="86" t="s">
        <v>78</v>
      </c>
      <c r="H8" s="84" t="s">
        <v>75</v>
      </c>
      <c r="I8" s="86" t="s">
        <v>79</v>
      </c>
      <c r="J8" s="10"/>
      <c r="K8" s="84" t="s">
        <v>4</v>
      </c>
      <c r="L8" s="84" t="s">
        <v>5</v>
      </c>
      <c r="M8" s="84" t="s">
        <v>2</v>
      </c>
      <c r="N8" s="84" t="s">
        <v>3</v>
      </c>
      <c r="O8" s="85" t="s">
        <v>40</v>
      </c>
      <c r="Q8" s="9" t="str">
        <f>IF(OR($B$4="R&amp;T Level 5 - Clinical Lecturers (Vet School)",$B$4="R&amp;T Level 6 - Clinical Associate Professors and Clinical Readers (Vet School)"),"AVA %","")</f>
        <v/>
      </c>
      <c r="R8" s="9" t="str">
        <f>IF(OR($B$4="R&amp;T Level 5 - Clinical Lecturers (Vet School)",$B$4="R&amp;T Level 6 - Clinical Associate Professors and Clinical Readers (Vet School)"),"AVA Amount","")</f>
        <v/>
      </c>
      <c r="S8" s="9" t="str">
        <f>IF(OR($B$4="R&amp;T Level 5 - Clinical Lecturers (Vet School)",$B$4="R&amp;T Level 6 - Clinical Associate Professors and Clinical Readers (Vet School)"),"Clinical Supplement %","")</f>
        <v/>
      </c>
      <c r="T8" s="9" t="str">
        <f>IF(OR($B$4="R&amp;T Level 5 - Clinical Lecturers (Vet School)",$B$4="R&amp;T Level 6 - Clinical Associate Professors and Clinical Readers (Vet School)"),"Clinical Supplement Amount","")</f>
        <v/>
      </c>
      <c r="U8" s="11"/>
      <c r="V8" s="25"/>
      <c r="AM8" s="5"/>
    </row>
    <row r="9" spans="2:53" x14ac:dyDescent="0.25">
      <c r="B9" s="4">
        <f ca="1">IFERROR(INDEX(Points_Lookup!$A:$A,MATCH($Y9,Points_Lookup!$AE:$AE,0)),"")</f>
        <v>2</v>
      </c>
      <c r="C9" s="24">
        <f ca="1">IF(B9="","",IF($B$4="Apprenticeship",SUMIF(Points_Lookup!$AA:$AA,B9,Points_Lookup!$AC:$AC),IF(AND(OR($B$4="New Consultant Contract"),$B9&lt;&gt;""),INDEX(Points_Lookup!$K:$K,MATCH($B9,Points_Lookup!$J:$J,0)),IF(AND(OR($B$4="Clinical Lecturer / Medical Research Fellow",$B$4="Clinical Consultant - Old Contract (GP)"),$B9&lt;&gt;""),INDEX(Points_Lookup!$H:$H,MATCH($B9,Points_Lookup!$G:$G,0)),IF(AND(OR($B$4="APM Level 7",$B$4="R&amp;T Level 7",$B$4="APM Level 8"),B9&lt;&gt;""),INDEX(Points_Lookup!$E:$E,MATCH($Y9,Points_Lookup!$AE:$AE,0)),IF($B$4="R&amp;T Level 5 - Clinical Lecturers (Vet School)",SUMIF(Points_Lookup!$M:$M,$B9,Points_Lookup!$P:$P),IF($B$4="R&amp;T Level 6 - Clinical Associate Professors and Clinical Readers (Vet School)",SUMIF(Points_Lookup!$T:$T,$B9,Points_Lookup!$W:$W),IFERROR(INDEX(Points_Lookup!$B:$B,MATCH($Y9,Points_Lookup!$AE:$AE,0)),""))))))))</f>
        <v>14767</v>
      </c>
      <c r="D9" s="39"/>
      <c r="E9" s="24">
        <f ca="1">IF($B9="","",IF(AND($B$4="Salary Points 2 to 57",B9&lt;Thresholds_Rates!$C$16),"-",IF(SUMIF(Grades!$A:$A,$B$4,Grades!$BO:$BO)=0,"-",IF(AND($B$4="Salary Points 2 to 57",B9&gt;=Thresholds_Rates!$C$16),$C9*Thresholds_Rates!$F$15,IF(AND(OR($B$4="New Consultant Contract"),$B9&lt;&gt;""),$C9*Thresholds_Rates!$F$15,IF(AND(OR($B$4="Clinical Lecturer / Medical Research Fellow",$B$4="Clinical Consultant - Old Contract (GP)"),$B9&lt;&gt;""),$C9*Thresholds_Rates!$F$15,IF(OR($B$4="APM Level 7",$B$4="R&amp;T Level 7"),$C9*Thresholds_Rates!$F$15,IF(SUMIF(Grades!$A:$A,$B$4,Grades!$BO:$BO)=1,$C9*Thresholds_Rates!$F$15,""))))))))</f>
        <v>2658.06</v>
      </c>
      <c r="F9" s="24">
        <f ca="1">IF(B9="","",IF($B$4="Salary Points 2 to 57","-",IF(SUMIF(Grades!$A:$A,$B$4,Grades!$BP:$BP)=0,"-",IF(AND(OR($B$4="New Consultant Contract"),$B9&lt;&gt;""),$C9*Thresholds_Rates!$F$16,IF(AND(OR($B$4="Clinical Lecturer / Medical Research Fellow",$B$4="Clinical Consultant - Old Contract (GP)"),$B9&lt;&gt;""),$C9*Thresholds_Rates!$F$16,IF(AND(OR($B$4="APM Level 7",$B$4="R&amp;T Level 7"),E9&lt;&gt;""),$C9*Thresholds_Rates!$F$16,IF(SUMIF(Grades!$A:$A,$B$4,Grades!$BP:$BP)=1,$C9*Thresholds_Rates!$F$16,"")))))))</f>
        <v>2111.681</v>
      </c>
      <c r="G9" s="24">
        <f ca="1">IF($B$4="Apprenticeship","-",IF(B9="","",IF(SUMIF(Grades!$A:$A,$B$4,Grades!$BQ:$BQ)=0,"-",IF(AND($B$4="Salary Points 2 to 57",B9&gt;Thresholds_Rates!$C$17),"-",IF(AND($B$4="Salary Points 2 to 57",B9&lt;=Thresholds_Rates!$C$17),$C9*Thresholds_Rates!$F$17,IF(AND(OR($B$4="New Consultant Contract"),$B9&lt;&gt;""),$C9*Thresholds_Rates!$F$17,IF(AND(OR($B$4="Clinical Lecturer / Medical Research Fellow",$B$4="Clinical Consultant - Old Contract (GP)"),$B9&lt;&gt;""),$C9*Thresholds_Rates!$F$17,IF(AND(OR($B$4="APM Level 7",$B$4="R&amp;T Level 7"),F9&lt;&gt;""),$C9*Thresholds_Rates!$F$17,IF(SUMIF(Grades!$A:$A,$B$4,Grades!$BQ:$BQ)=1,$C9*Thresholds_Rates!$F$17,"")))))))))</f>
        <v>5759.13</v>
      </c>
      <c r="H9" s="24">
        <f ca="1">IF($B9="","",ROUND(($C9-(Thresholds_Rates!$C$5*12))*Thresholds_Rates!$C$10,0))</f>
        <v>918</v>
      </c>
      <c r="I9" s="24">
        <f ca="1">IF(B9="","",IF(AND($B$4="Salary Points 2 to 57",B9&gt;Thresholds_Rates!$C$17),"-",IF(SUMIF(Grades!$A:$A,$B$4,Grades!$BR:$BR)=0,"-",IF(AND($B$4="Salary Points 2 to 57",B9&lt;=Thresholds_Rates!$C$17),$C9*Thresholds_Rates!$F$18,IF(AND(OR($B$4="New Consultant Contract"),$B9&lt;&gt;""),$C9*Thresholds_Rates!$F$18,IF(AND(OR($B$4="Clinical Lecturer / Medical Research Fellow",$B$4="Clinical Consultant - Old Contract (GP)"),$B9&lt;&gt;""),$C9*Thresholds_Rates!$F$18,IF(AND(OR($B$4="APM Level 7",$B$4="R&amp;T Level 7"),H9&lt;&gt;""),$C9*Thresholds_Rates!$F$18,IF(SUMIF(Grades!$A:$A,$B$4,Grades!$BQ:$BQ)=1,$C9*Thresholds_Rates!$F$18,""))))))))</f>
        <v>1476.7</v>
      </c>
      <c r="J9" s="4"/>
      <c r="K9" s="24">
        <f t="shared" ref="K9:K72" ca="1" si="0">IF(B9="","",IF(E9="-","-",$C9+$H9+E9))</f>
        <v>18343.060000000001</v>
      </c>
      <c r="L9" s="24">
        <f t="shared" ref="L9:L72" ca="1" si="1">IF(B9="","",IF(F9="-","-",$C9+$H9+F9))</f>
        <v>17796.681</v>
      </c>
      <c r="M9" s="24">
        <f t="shared" ref="M9:M72" ca="1" si="2">IF(B9="","",IF(G9="-","-",$C9+$H9+G9))</f>
        <v>21444.13</v>
      </c>
      <c r="N9" s="24">
        <f t="shared" ref="N9:N72" ca="1" si="3">IF(B9="","",IF(I9="-","-",$C9+$H9+I9))</f>
        <v>17161.7</v>
      </c>
      <c r="O9" s="24">
        <f t="shared" ref="O9:O72" ca="1" si="4">IF(B9="","",C9+H9)</f>
        <v>15685</v>
      </c>
      <c r="P9" s="4"/>
      <c r="Q9" s="27" t="str">
        <f ca="1">IF(B9="","",IF($B$4="R&amp;T Level 5 - Clinical Lecturers (Vet School)",SUMIF(Points_Lookup!$M:$M,$B9,Points_Lookup!$N:$N),IF($B$4="R&amp;T Level 6 - Clinical Associate Professors and Clinical Readers (Vet School)",SUMIF(Points_Lookup!$T:$T,$B9,Points_Lookup!$U:$U),"")))</f>
        <v/>
      </c>
      <c r="R9" s="28" t="str">
        <f ca="1">IF(B9="","",IF($B$4="R&amp;T Level 5 - Clinical Lecturers (Vet School)",$C9-SUMIF(Points_Lookup!$M:$M,$B9,Points_Lookup!$O:$O),IF($B$4="R&amp;T Level 6 - Clinical Associate Professors and Clinical Readers (Vet School)",$C9-SUMIF(Points_Lookup!$T:$T,$B9,Points_Lookup!$V:$V),"")))</f>
        <v/>
      </c>
      <c r="S9" s="27" t="str">
        <f ca="1">IF(B9="","",IF($B$4="R&amp;T Level 5 - Clinical Lecturers (Vet School)",SUMIF(Points_Lookup!$M:$M,$B9,Points_Lookup!$Q:$Q),IF($B$4="R&amp;T Level 6 - Clinical Associate Professors and Clinical Readers (Vet School)",SUMIF(Points_Lookup!$T:$T,$B9,Points_Lookup!$X:$X),"")))</f>
        <v/>
      </c>
      <c r="T9" s="28" t="str">
        <f t="shared" ref="T9:T40" ca="1" si="5">IF(B9="","",IF($B$4="R&amp;T Level 5 - Clinical Lecturers (Vet School)",ROUND(C9*S9,0),IF($B$4="R&amp;T Level 6 - Clinical Associate Professors and Clinical Readers (Vet School)",ROUND(C9*S9,0),"")))</f>
        <v/>
      </c>
      <c r="V9" s="25"/>
      <c r="Y9" s="25">
        <v>1</v>
      </c>
      <c r="AM9" s="5"/>
    </row>
    <row r="10" spans="2:53" ht="18.75" customHeight="1" x14ac:dyDescent="0.25">
      <c r="B10" s="4">
        <f ca="1">IFERROR(INDEX(Points_Lookup!$A:$A,MATCH($Y10,Points_Lookup!$AE:$AE,0)),"")</f>
        <v>3</v>
      </c>
      <c r="C10" s="24">
        <f ca="1">IF(B10="","",IF($B$4="Apprenticeship",SUMIF(Points_Lookup!$AA:$AA,B10,Points_Lookup!$AC:$AC),IF(AND(OR($B$4="New Consultant Contract"),$B10&lt;&gt;""),INDEX(Points_Lookup!$K:$K,MATCH($B10,Points_Lookup!$J:$J,0)),IF(AND(OR($B$4="Clinical Lecturer / Medical Research Fellow",$B$4="Clinical Consultant - Old Contract (GP)"),$B10&lt;&gt;""),INDEX(Points_Lookup!$H:$H,MATCH($B10,Points_Lookup!$G:$G,0)),IF(AND(OR($B$4="APM Level 7",$B$4="R&amp;T Level 7",$B$4="APM Level 8"),B10&lt;&gt;""),INDEX(Points_Lookup!$E:$E,MATCH($Y10,Points_Lookup!$AE:$AE,0)),IF($B$4="R&amp;T Level 5 - Clinical Lecturers (Vet School)",SUMIF(Points_Lookup!$M:$M,$B10,Points_Lookup!$P:$P),IF($B$4="R&amp;T Level 6 - Clinical Associate Professors and Clinical Readers (Vet School)",SUMIF(Points_Lookup!$T:$T,$B10,Points_Lookup!$W:$W),IFERROR(INDEX(Points_Lookup!$B:$B,MATCH($Y10,Points_Lookup!$AE:$AE,0)),""))))))))</f>
        <v>14953</v>
      </c>
      <c r="D10" s="39"/>
      <c r="E10" s="24">
        <f ca="1">IF($B10="","",IF(AND($B$4="Salary Points 2 to 57",B10&lt;Thresholds_Rates!$C$16),"-",IF(SUMIF(Grades!$A:$A,$B$4,Grades!$BO:$BO)=0,"-",IF(AND($B$4="Salary Points 2 to 57",B10&gt;=Thresholds_Rates!$C$16),$C10*Thresholds_Rates!$F$15,IF(AND(OR($B$4="New Consultant Contract"),$B10&lt;&gt;""),$C10*Thresholds_Rates!$F$15,IF(AND(OR($B$4="Clinical Lecturer / Medical Research Fellow",$B$4="Clinical Consultant - Old Contract (GP)"),$B10&lt;&gt;""),$C10*Thresholds_Rates!$F$15,IF(OR($B$4="APM Level 7",$B$4="R&amp;T Level 7"),$C10*Thresholds_Rates!$F$15,IF(SUMIF(Grades!$A:$A,$B$4,Grades!$BO:$BO)=1,$C10*Thresholds_Rates!$F$15,""))))))))</f>
        <v>2691.54</v>
      </c>
      <c r="F10" s="24">
        <f ca="1">IF(B10="","",IF($B$4="Salary Points 2 to 57","-",IF(SUMIF(Grades!$A:$A,$B$4,Grades!$BP:$BP)=0,"-",IF(AND(OR($B$4="New Consultant Contract"),$B10&lt;&gt;""),$C10*Thresholds_Rates!$F$16,IF(AND(OR($B$4="Clinical Lecturer / Medical Research Fellow",$B$4="Clinical Consultant - Old Contract (GP)"),$B10&lt;&gt;""),$C10*Thresholds_Rates!$F$16,IF(AND(OR($B$4="APM Level 7",$B$4="R&amp;T Level 7"),E10&lt;&gt;""),$C10*Thresholds_Rates!$F$16,IF(SUMIF(Grades!$A:$A,$B$4,Grades!$BP:$BP)=1,$C10*Thresholds_Rates!$F$16,"")))))))</f>
        <v>2138.279</v>
      </c>
      <c r="G10" s="24">
        <f ca="1">IF($B$4="Apprenticeship","-",IF(B10="","",IF(SUMIF(Grades!$A:$A,$B$4,Grades!$BQ:$BQ)=0,"-",IF(AND($B$4="Salary Points 2 to 57",B10&gt;Thresholds_Rates!$C$17),"-",IF(AND($B$4="Salary Points 2 to 57",B10&lt;=Thresholds_Rates!$C$17),$C10*Thresholds_Rates!$F$17,IF(AND(OR($B$4="New Consultant Contract"),$B10&lt;&gt;""),$C10*Thresholds_Rates!$F$17,IF(AND(OR($B$4="Clinical Lecturer / Medical Research Fellow",$B$4="Clinical Consultant - Old Contract (GP)"),$B10&lt;&gt;""),$C10*Thresholds_Rates!$F$17,IF(AND(OR($B$4="APM Level 7",$B$4="R&amp;T Level 7"),F10&lt;&gt;""),$C10*Thresholds_Rates!$F$17,IF(SUMIF(Grades!$A:$A,$B$4,Grades!$BQ:$BQ)=1,$C10*Thresholds_Rates!$F$17,"")))))))))</f>
        <v>5831.67</v>
      </c>
      <c r="H10" s="24">
        <f ca="1">IF($B10="","",ROUND(($C10-(Thresholds_Rates!$C$5*12))*Thresholds_Rates!$C$10,0))</f>
        <v>944</v>
      </c>
      <c r="I10" s="24">
        <f ca="1">IF(B10="","",IF(AND($B$4="Salary Points 2 to 57",B10&gt;Thresholds_Rates!$C$17),"-",IF(SUMIF(Grades!$A:$A,$B$4,Grades!$BR:$BR)=0,"-",IF(AND($B$4="Salary Points 2 to 57",B10&lt;=Thresholds_Rates!$C$17),$C10*Thresholds_Rates!$F$18,IF(AND(OR($B$4="New Consultant Contract"),$B10&lt;&gt;""),$C10*Thresholds_Rates!$F$18,IF(AND(OR($B$4="Clinical Lecturer / Medical Research Fellow",$B$4="Clinical Consultant - Old Contract (GP)"),$B10&lt;&gt;""),$C10*Thresholds_Rates!$F$18,IF(AND(OR($B$4="APM Level 7",$B$4="R&amp;T Level 7"),H10&lt;&gt;""),$C10*Thresholds_Rates!$F$18,IF(SUMIF(Grades!$A:$A,$B$4,Grades!$BQ:$BQ)=1,$C10*Thresholds_Rates!$F$18,""))))))))</f>
        <v>1495.3000000000002</v>
      </c>
      <c r="J10" s="4"/>
      <c r="K10" s="24">
        <f t="shared" ca="1" si="0"/>
        <v>18588.54</v>
      </c>
      <c r="L10" s="24">
        <f t="shared" ca="1" si="1"/>
        <v>18035.278999999999</v>
      </c>
      <c r="M10" s="24">
        <f t="shared" ca="1" si="2"/>
        <v>21728.67</v>
      </c>
      <c r="N10" s="24">
        <f t="shared" ca="1" si="3"/>
        <v>17392.3</v>
      </c>
      <c r="O10" s="24">
        <f t="shared" ca="1" si="4"/>
        <v>15897</v>
      </c>
      <c r="P10" s="4"/>
      <c r="Q10" s="27" t="str">
        <f ca="1">IF(B10="","",IF($B$4="R&amp;T Level 5 - Clinical Lecturers (Vet School)",SUMIF(Points_Lookup!$M:$M,$B10,Points_Lookup!$N:$N),IF($B$4="R&amp;T Level 6 - Clinical Associate Professors and Clinical Readers (Vet School)",SUMIF(Points_Lookup!$T:$T,$B10,Points_Lookup!$U:$U),"")))</f>
        <v/>
      </c>
      <c r="R10" s="28" t="str">
        <f ca="1">IF(B10="","",IF($B$4="R&amp;T Level 5 - Clinical Lecturers (Vet School)",$C10-SUMIF(Points_Lookup!$M:$M,$B10,Points_Lookup!$O:$O),IF($B$4="R&amp;T Level 6 - Clinical Associate Professors and Clinical Readers (Vet School)",$C10-SUMIF(Points_Lookup!$T:$T,$B10,Points_Lookup!$V:$V),"")))</f>
        <v/>
      </c>
      <c r="S10" s="27" t="str">
        <f ca="1">IF(B10="","",IF($B$4="R&amp;T Level 5 - Clinical Lecturers (Vet School)",SUMIF(Points_Lookup!$M:$M,$B10,Points_Lookup!$Q:$Q),IF($B$4="R&amp;T Level 6 - Clinical Associate Professors and Clinical Readers (Vet School)",SUMIF(Points_Lookup!$T:$T,$B10,Points_Lookup!$X:$X),"")))</f>
        <v/>
      </c>
      <c r="T10" s="28" t="str">
        <f t="shared" ca="1" si="5"/>
        <v/>
      </c>
      <c r="V10" s="25"/>
      <c r="Y10" s="25">
        <v>2</v>
      </c>
    </row>
    <row r="11" spans="2:53" x14ac:dyDescent="0.25">
      <c r="B11" s="4">
        <f ca="1">IFERROR(INDEX(Points_Lookup!$A:$A,MATCH($Y11,Points_Lookup!$AE:$AE,0)),"")</f>
        <v>4</v>
      </c>
      <c r="C11" s="24">
        <f ca="1">IF(B11="","",IF($B$4="Apprenticeship",SUMIF(Points_Lookup!$AA:$AA,B11,Points_Lookup!$AC:$AC),IF(AND(OR($B$4="New Consultant Contract"),$B11&lt;&gt;""),INDEX(Points_Lookup!$K:$K,MATCH($B11,Points_Lookup!$J:$J,0)),IF(AND(OR($B$4="Clinical Lecturer / Medical Research Fellow",$B$4="Clinical Consultant - Old Contract (GP)"),$B11&lt;&gt;""),INDEX(Points_Lookup!$H:$H,MATCH($B11,Points_Lookup!$G:$G,0)),IF(AND(OR($B$4="APM Level 7",$B$4="R&amp;T Level 7",$B$4="APM Level 8"),B11&lt;&gt;""),INDEX(Points_Lookup!$E:$E,MATCH($Y11,Points_Lookup!$AE:$AE,0)),IF($B$4="R&amp;T Level 5 - Clinical Lecturers (Vet School)",SUMIF(Points_Lookup!$M:$M,$B11,Points_Lookup!$P:$P),IF($B$4="R&amp;T Level 6 - Clinical Associate Professors and Clinical Readers (Vet School)",SUMIF(Points_Lookup!$T:$T,$B11,Points_Lookup!$W:$W),IFERROR(INDEX(Points_Lookup!$B:$B,MATCH($Y11,Points_Lookup!$AE:$AE,0)),""))))))))</f>
        <v>15258</v>
      </c>
      <c r="D11" s="39"/>
      <c r="E11" s="24">
        <f ca="1">IF($B11="","",IF(AND($B$4="Salary Points 2 to 57",B11&lt;Thresholds_Rates!$C$16),"-",IF(SUMIF(Grades!$A:$A,$B$4,Grades!$BO:$BO)=0,"-",IF(AND($B$4="Salary Points 2 to 57",B11&gt;=Thresholds_Rates!$C$16),$C11*Thresholds_Rates!$F$15,IF(AND(OR($B$4="New Consultant Contract"),$B11&lt;&gt;""),$C11*Thresholds_Rates!$F$15,IF(AND(OR($B$4="Clinical Lecturer / Medical Research Fellow",$B$4="Clinical Consultant - Old Contract (GP)"),$B11&lt;&gt;""),$C11*Thresholds_Rates!$F$15,IF(OR($B$4="APM Level 7",$B$4="R&amp;T Level 7"),$C11*Thresholds_Rates!$F$15,IF(SUMIF(Grades!$A:$A,$B$4,Grades!$BO:$BO)=1,$C11*Thresholds_Rates!$F$15,""))))))))</f>
        <v>2746.44</v>
      </c>
      <c r="F11" s="24">
        <f ca="1">IF(B11="","",IF($B$4="Salary Points 2 to 57","-",IF(SUMIF(Grades!$A:$A,$B$4,Grades!$BP:$BP)=0,"-",IF(AND(OR($B$4="New Consultant Contract"),$B11&lt;&gt;""),$C11*Thresholds_Rates!$F$16,IF(AND(OR($B$4="Clinical Lecturer / Medical Research Fellow",$B$4="Clinical Consultant - Old Contract (GP)"),$B11&lt;&gt;""),$C11*Thresholds_Rates!$F$16,IF(AND(OR($B$4="APM Level 7",$B$4="R&amp;T Level 7"),E11&lt;&gt;""),$C11*Thresholds_Rates!$F$16,IF(SUMIF(Grades!$A:$A,$B$4,Grades!$BP:$BP)=1,$C11*Thresholds_Rates!$F$16,"")))))))</f>
        <v>2181.8939999999998</v>
      </c>
      <c r="G11" s="24">
        <f ca="1">IF($B$4="Apprenticeship","-",IF(B11="","",IF(SUMIF(Grades!$A:$A,$B$4,Grades!$BQ:$BQ)=0,"-",IF(AND($B$4="Salary Points 2 to 57",B11&gt;Thresholds_Rates!$C$17),"-",IF(AND($B$4="Salary Points 2 to 57",B11&lt;=Thresholds_Rates!$C$17),$C11*Thresholds_Rates!$F$17,IF(AND(OR($B$4="New Consultant Contract"),$B11&lt;&gt;""),$C11*Thresholds_Rates!$F$17,IF(AND(OR($B$4="Clinical Lecturer / Medical Research Fellow",$B$4="Clinical Consultant - Old Contract (GP)"),$B11&lt;&gt;""),$C11*Thresholds_Rates!$F$17,IF(AND(OR($B$4="APM Level 7",$B$4="R&amp;T Level 7"),F11&lt;&gt;""),$C11*Thresholds_Rates!$F$17,IF(SUMIF(Grades!$A:$A,$B$4,Grades!$BQ:$BQ)=1,$C11*Thresholds_Rates!$F$17,"")))))))))</f>
        <v>5950.62</v>
      </c>
      <c r="H11" s="24">
        <f ca="1">IF($B11="","",ROUND(($C11-(Thresholds_Rates!$C$5*12))*Thresholds_Rates!$C$10,0))</f>
        <v>986</v>
      </c>
      <c r="I11" s="24">
        <f ca="1">IF(B11="","",IF(AND($B$4="Salary Points 2 to 57",B11&gt;Thresholds_Rates!$C$17),"-",IF(SUMIF(Grades!$A:$A,$B$4,Grades!$BR:$BR)=0,"-",IF(AND($B$4="Salary Points 2 to 57",B11&lt;=Thresholds_Rates!$C$17),$C11*Thresholds_Rates!$F$18,IF(AND(OR($B$4="New Consultant Contract"),$B11&lt;&gt;""),$C11*Thresholds_Rates!$F$18,IF(AND(OR($B$4="Clinical Lecturer / Medical Research Fellow",$B$4="Clinical Consultant - Old Contract (GP)"),$B11&lt;&gt;""),$C11*Thresholds_Rates!$F$18,IF(AND(OR($B$4="APM Level 7",$B$4="R&amp;T Level 7"),H11&lt;&gt;""),$C11*Thresholds_Rates!$F$18,IF(SUMIF(Grades!$A:$A,$B$4,Grades!$BQ:$BQ)=1,$C11*Thresholds_Rates!$F$18,""))))))))</f>
        <v>1525.8000000000002</v>
      </c>
      <c r="J11" s="4"/>
      <c r="K11" s="24">
        <f t="shared" ca="1" si="0"/>
        <v>18990.439999999999</v>
      </c>
      <c r="L11" s="24">
        <f t="shared" ca="1" si="1"/>
        <v>18425.894</v>
      </c>
      <c r="M11" s="24">
        <f t="shared" ca="1" si="2"/>
        <v>22194.62</v>
      </c>
      <c r="N11" s="24">
        <f t="shared" ca="1" si="3"/>
        <v>17769.8</v>
      </c>
      <c r="O11" s="24">
        <f t="shared" ca="1" si="4"/>
        <v>16244</v>
      </c>
      <c r="Q11" s="27" t="str">
        <f ca="1">IF(B11="","",IF($B$4="R&amp;T Level 5 - Clinical Lecturers (Vet School)",SUMIF(Points_Lookup!$M:$M,$B11,Points_Lookup!$N:$N),IF($B$4="R&amp;T Level 6 - Clinical Associate Professors and Clinical Readers (Vet School)",SUMIF(Points_Lookup!$T:$T,$B11,Points_Lookup!$U:$U),"")))</f>
        <v/>
      </c>
      <c r="R11" s="28" t="str">
        <f ca="1">IF(B11="","",IF($B$4="R&amp;T Level 5 - Clinical Lecturers (Vet School)",$C11-SUMIF(Points_Lookup!$M:$M,$B11,Points_Lookup!$O:$O),IF($B$4="R&amp;T Level 6 - Clinical Associate Professors and Clinical Readers (Vet School)",$C11-SUMIF(Points_Lookup!$T:$T,$B11,Points_Lookup!$V:$V),"")))</f>
        <v/>
      </c>
      <c r="S11" s="27" t="str">
        <f ca="1">IF(B11="","",IF($B$4="R&amp;T Level 5 - Clinical Lecturers (Vet School)",SUMIF(Points_Lookup!$M:$M,$B11,Points_Lookup!$Q:$Q),IF($B$4="R&amp;T Level 6 - Clinical Associate Professors and Clinical Readers (Vet School)",SUMIF(Points_Lookup!$T:$T,$B11,Points_Lookup!$X:$X),"")))</f>
        <v/>
      </c>
      <c r="T11" s="28" t="str">
        <f t="shared" ca="1" si="5"/>
        <v/>
      </c>
      <c r="V11" s="25"/>
      <c r="Y11" s="25">
        <v>3</v>
      </c>
    </row>
    <row r="12" spans="2:53" x14ac:dyDescent="0.25">
      <c r="B12" s="4">
        <f ca="1">IFERROR(INDEX(Points_Lookup!$A:$A,MATCH($Y12,Points_Lookup!$AE:$AE,0)),"")</f>
        <v>5</v>
      </c>
      <c r="C12" s="24">
        <f ca="1">IF(B12="","",IF($B$4="Apprenticeship",SUMIF(Points_Lookup!$AA:$AA,B12,Points_Lookup!$AC:$AC),IF(AND(OR($B$4="New Consultant Contract"),$B12&lt;&gt;""),INDEX(Points_Lookup!$K:$K,MATCH($B12,Points_Lookup!$J:$J,0)),IF(AND(OR($B$4="Clinical Lecturer / Medical Research Fellow",$B$4="Clinical Consultant - Old Contract (GP)"),$B12&lt;&gt;""),INDEX(Points_Lookup!$H:$H,MATCH($B12,Points_Lookup!$G:$G,0)),IF(AND(OR($B$4="APM Level 7",$B$4="R&amp;T Level 7",$B$4="APM Level 8"),B12&lt;&gt;""),INDEX(Points_Lookup!$E:$E,MATCH($Y12,Points_Lookup!$AE:$AE,0)),IF($B$4="R&amp;T Level 5 - Clinical Lecturers (Vet School)",SUMIF(Points_Lookup!$M:$M,$B12,Points_Lookup!$P:$P),IF($B$4="R&amp;T Level 6 - Clinical Associate Professors and Clinical Readers (Vet School)",SUMIF(Points_Lookup!$T:$T,$B12,Points_Lookup!$W:$W),IFERROR(INDEX(Points_Lookup!$B:$B,MATCH($Y12,Points_Lookup!$AE:$AE,0)),""))))))))</f>
        <v>15632</v>
      </c>
      <c r="D12" s="39"/>
      <c r="E12" s="24">
        <f ca="1">IF($B12="","",IF(AND($B$4="Salary Points 2 to 57",B12&lt;Thresholds_Rates!$C$16),"-",IF(SUMIF(Grades!$A:$A,$B$4,Grades!$BO:$BO)=0,"-",IF(AND($B$4="Salary Points 2 to 57",B12&gt;=Thresholds_Rates!$C$16),$C12*Thresholds_Rates!$F$15,IF(AND(OR($B$4="New Consultant Contract"),$B12&lt;&gt;""),$C12*Thresholds_Rates!$F$15,IF(AND(OR($B$4="Clinical Lecturer / Medical Research Fellow",$B$4="Clinical Consultant - Old Contract (GP)"),$B12&lt;&gt;""),$C12*Thresholds_Rates!$F$15,IF(OR($B$4="APM Level 7",$B$4="R&amp;T Level 7"),$C12*Thresholds_Rates!$F$15,IF(SUMIF(Grades!$A:$A,$B$4,Grades!$BO:$BO)=1,$C12*Thresholds_Rates!$F$15,""))))))))</f>
        <v>2813.7599999999998</v>
      </c>
      <c r="F12" s="24">
        <f ca="1">IF(B12="","",IF($B$4="Salary Points 2 to 57","-",IF(SUMIF(Grades!$A:$A,$B$4,Grades!$BP:$BP)=0,"-",IF(AND(OR($B$4="New Consultant Contract"),$B12&lt;&gt;""),$C12*Thresholds_Rates!$F$16,IF(AND(OR($B$4="Clinical Lecturer / Medical Research Fellow",$B$4="Clinical Consultant - Old Contract (GP)"),$B12&lt;&gt;""),$C12*Thresholds_Rates!$F$16,IF(AND(OR($B$4="APM Level 7",$B$4="R&amp;T Level 7"),E12&lt;&gt;""),$C12*Thresholds_Rates!$F$16,IF(SUMIF(Grades!$A:$A,$B$4,Grades!$BP:$BP)=1,$C12*Thresholds_Rates!$F$16,"")))))))</f>
        <v>2235.3759999999997</v>
      </c>
      <c r="G12" s="24">
        <f ca="1">IF($B$4="Apprenticeship","-",IF(B12="","",IF(SUMIF(Grades!$A:$A,$B$4,Grades!$BQ:$BQ)=0,"-",IF(AND($B$4="Salary Points 2 to 57",B12&gt;Thresholds_Rates!$C$17),"-",IF(AND($B$4="Salary Points 2 to 57",B12&lt;=Thresholds_Rates!$C$17),$C12*Thresholds_Rates!$F$17,IF(AND(OR($B$4="New Consultant Contract"),$B12&lt;&gt;""),$C12*Thresholds_Rates!$F$17,IF(AND(OR($B$4="Clinical Lecturer / Medical Research Fellow",$B$4="Clinical Consultant - Old Contract (GP)"),$B12&lt;&gt;""),$C12*Thresholds_Rates!$F$17,IF(AND(OR($B$4="APM Level 7",$B$4="R&amp;T Level 7"),F12&lt;&gt;""),$C12*Thresholds_Rates!$F$17,IF(SUMIF(Grades!$A:$A,$B$4,Grades!$BQ:$BQ)=1,$C12*Thresholds_Rates!$F$17,"")))))))))</f>
        <v>6096.4800000000005</v>
      </c>
      <c r="H12" s="24">
        <f ca="1">IF($B12="","",ROUND(($C12-(Thresholds_Rates!$C$5*12))*Thresholds_Rates!$C$10,0))</f>
        <v>1038</v>
      </c>
      <c r="I12" s="24">
        <f ca="1">IF(B12="","",IF(AND($B$4="Salary Points 2 to 57",B12&gt;Thresholds_Rates!$C$17),"-",IF(SUMIF(Grades!$A:$A,$B$4,Grades!$BR:$BR)=0,"-",IF(AND($B$4="Salary Points 2 to 57",B12&lt;=Thresholds_Rates!$C$17),$C12*Thresholds_Rates!$F$18,IF(AND(OR($B$4="New Consultant Contract"),$B12&lt;&gt;""),$C12*Thresholds_Rates!$F$18,IF(AND(OR($B$4="Clinical Lecturer / Medical Research Fellow",$B$4="Clinical Consultant - Old Contract (GP)"),$B12&lt;&gt;""),$C12*Thresholds_Rates!$F$18,IF(AND(OR($B$4="APM Level 7",$B$4="R&amp;T Level 7"),H12&lt;&gt;""),$C12*Thresholds_Rates!$F$18,IF(SUMIF(Grades!$A:$A,$B$4,Grades!$BQ:$BQ)=1,$C12*Thresholds_Rates!$F$18,""))))))))</f>
        <v>1563.2</v>
      </c>
      <c r="J12" s="4"/>
      <c r="K12" s="24">
        <f t="shared" ca="1" si="0"/>
        <v>19483.759999999998</v>
      </c>
      <c r="L12" s="24">
        <f t="shared" ca="1" si="1"/>
        <v>18905.376</v>
      </c>
      <c r="M12" s="24">
        <f t="shared" ca="1" si="2"/>
        <v>22766.48</v>
      </c>
      <c r="N12" s="24">
        <f t="shared" ca="1" si="3"/>
        <v>18233.2</v>
      </c>
      <c r="O12" s="24">
        <f t="shared" ca="1" si="4"/>
        <v>16670</v>
      </c>
      <c r="Q12" s="27" t="str">
        <f ca="1">IF(B12="","",IF($B$4="R&amp;T Level 5 - Clinical Lecturers (Vet School)",SUMIF(Points_Lookup!$M:$M,$B12,Points_Lookup!$N:$N),IF($B$4="R&amp;T Level 6 - Clinical Associate Professors and Clinical Readers (Vet School)",SUMIF(Points_Lookup!$T:$T,$B12,Points_Lookup!$U:$U),"")))</f>
        <v/>
      </c>
      <c r="R12" s="28" t="str">
        <f ca="1">IF(B12="","",IF($B$4="R&amp;T Level 5 - Clinical Lecturers (Vet School)",$C12-SUMIF(Points_Lookup!$M:$M,$B12,Points_Lookup!$O:$O),IF($B$4="R&amp;T Level 6 - Clinical Associate Professors and Clinical Readers (Vet School)",$C12-SUMIF(Points_Lookup!$T:$T,$B12,Points_Lookup!$V:$V),"")))</f>
        <v/>
      </c>
      <c r="S12" s="27" t="str">
        <f ca="1">IF(B12="","",IF($B$4="R&amp;T Level 5 - Clinical Lecturers (Vet School)",SUMIF(Points_Lookup!$M:$M,$B12,Points_Lookup!$Q:$Q),IF($B$4="R&amp;T Level 6 - Clinical Associate Professors and Clinical Readers (Vet School)",SUMIF(Points_Lookup!$T:$T,$B12,Points_Lookup!$X:$X),"")))</f>
        <v/>
      </c>
      <c r="T12" s="28" t="str">
        <f t="shared" ca="1" si="5"/>
        <v/>
      </c>
      <c r="V12" s="25"/>
      <c r="Y12" s="25">
        <v>4</v>
      </c>
    </row>
    <row r="13" spans="2:53" x14ac:dyDescent="0.25">
      <c r="B13" s="4">
        <f ca="1">IFERROR(INDEX(Points_Lookup!$A:$A,MATCH($Y13,Points_Lookup!$AE:$AE,0)),"")</f>
        <v>6</v>
      </c>
      <c r="C13" s="24">
        <f ca="1">IF(B13="","",IF($B$4="Apprenticeship",SUMIF(Points_Lookup!$AA:$AA,B13,Points_Lookup!$AC:$AC),IF(AND(OR($B$4="New Consultant Contract"),$B13&lt;&gt;""),INDEX(Points_Lookup!$K:$K,MATCH($B13,Points_Lookup!$J:$J,0)),IF(AND(OR($B$4="Clinical Lecturer / Medical Research Fellow",$B$4="Clinical Consultant - Old Contract (GP)"),$B13&lt;&gt;""),INDEX(Points_Lookup!$H:$H,MATCH($B13,Points_Lookup!$G:$G,0)),IF(AND(OR($B$4="APM Level 7",$B$4="R&amp;T Level 7",$B$4="APM Level 8"),B13&lt;&gt;""),INDEX(Points_Lookup!$E:$E,MATCH($Y13,Points_Lookup!$AE:$AE,0)),IF($B$4="R&amp;T Level 5 - Clinical Lecturers (Vet School)",SUMIF(Points_Lookup!$M:$M,$B13,Points_Lookup!$P:$P),IF($B$4="R&amp;T Level 6 - Clinical Associate Professors and Clinical Readers (Vet School)",SUMIF(Points_Lookup!$T:$T,$B13,Points_Lookup!$W:$W),IFERROR(INDEX(Points_Lookup!$B:$B,MATCH($Y13,Points_Lookup!$AE:$AE,0)),""))))))))</f>
        <v>16017</v>
      </c>
      <c r="D13" s="39"/>
      <c r="E13" s="24">
        <f ca="1">IF($B13="","",IF(AND($B$4="Salary Points 2 to 57",B13&lt;Thresholds_Rates!$C$16),"-",IF(SUMIF(Grades!$A:$A,$B$4,Grades!$BO:$BO)=0,"-",IF(AND($B$4="Salary Points 2 to 57",B13&gt;=Thresholds_Rates!$C$16),$C13*Thresholds_Rates!$F$15,IF(AND(OR($B$4="New Consultant Contract"),$B13&lt;&gt;""),$C13*Thresholds_Rates!$F$15,IF(AND(OR($B$4="Clinical Lecturer / Medical Research Fellow",$B$4="Clinical Consultant - Old Contract (GP)"),$B13&lt;&gt;""),$C13*Thresholds_Rates!$F$15,IF(OR($B$4="APM Level 7",$B$4="R&amp;T Level 7"),$C13*Thresholds_Rates!$F$15,IF(SUMIF(Grades!$A:$A,$B$4,Grades!$BO:$BO)=1,$C13*Thresholds_Rates!$F$15,""))))))))</f>
        <v>2883.06</v>
      </c>
      <c r="F13" s="24">
        <f ca="1">IF(B13="","",IF($B$4="Salary Points 2 to 57","-",IF(SUMIF(Grades!$A:$A,$B$4,Grades!$BP:$BP)=0,"-",IF(AND(OR($B$4="New Consultant Contract"),$B13&lt;&gt;""),$C13*Thresholds_Rates!$F$16,IF(AND(OR($B$4="Clinical Lecturer / Medical Research Fellow",$B$4="Clinical Consultant - Old Contract (GP)"),$B13&lt;&gt;""),$C13*Thresholds_Rates!$F$16,IF(AND(OR($B$4="APM Level 7",$B$4="R&amp;T Level 7"),E13&lt;&gt;""),$C13*Thresholds_Rates!$F$16,IF(SUMIF(Grades!$A:$A,$B$4,Grades!$BP:$BP)=1,$C13*Thresholds_Rates!$F$16,"")))))))</f>
        <v>2290.4309999999996</v>
      </c>
      <c r="G13" s="24">
        <f ca="1">IF($B$4="Apprenticeship","-",IF(B13="","",IF(SUMIF(Grades!$A:$A,$B$4,Grades!$BQ:$BQ)=0,"-",IF(AND($B$4="Salary Points 2 to 57",B13&gt;Thresholds_Rates!$C$17),"-",IF(AND($B$4="Salary Points 2 to 57",B13&lt;=Thresholds_Rates!$C$17),$C13*Thresholds_Rates!$F$17,IF(AND(OR($B$4="New Consultant Contract"),$B13&lt;&gt;""),$C13*Thresholds_Rates!$F$17,IF(AND(OR($B$4="Clinical Lecturer / Medical Research Fellow",$B$4="Clinical Consultant - Old Contract (GP)"),$B13&lt;&gt;""),$C13*Thresholds_Rates!$F$17,IF(AND(OR($B$4="APM Level 7",$B$4="R&amp;T Level 7"),F13&lt;&gt;""),$C13*Thresholds_Rates!$F$17,IF(SUMIF(Grades!$A:$A,$B$4,Grades!$BQ:$BQ)=1,$C13*Thresholds_Rates!$F$17,"")))))))))</f>
        <v>6246.63</v>
      </c>
      <c r="H13" s="24">
        <f ca="1">IF($B13="","",ROUND(($C13-(Thresholds_Rates!$C$5*12))*Thresholds_Rates!$C$10,0))</f>
        <v>1091</v>
      </c>
      <c r="I13" s="24">
        <f ca="1">IF(B13="","",IF(AND($B$4="Salary Points 2 to 57",B13&gt;Thresholds_Rates!$C$17),"-",IF(SUMIF(Grades!$A:$A,$B$4,Grades!$BR:$BR)=0,"-",IF(AND($B$4="Salary Points 2 to 57",B13&lt;=Thresholds_Rates!$C$17),$C13*Thresholds_Rates!$F$18,IF(AND(OR($B$4="New Consultant Contract"),$B13&lt;&gt;""),$C13*Thresholds_Rates!$F$18,IF(AND(OR($B$4="Clinical Lecturer / Medical Research Fellow",$B$4="Clinical Consultant - Old Contract (GP)"),$B13&lt;&gt;""),$C13*Thresholds_Rates!$F$18,IF(AND(OR($B$4="APM Level 7",$B$4="R&amp;T Level 7"),H13&lt;&gt;""),$C13*Thresholds_Rates!$F$18,IF(SUMIF(Grades!$A:$A,$B$4,Grades!$BQ:$BQ)=1,$C13*Thresholds_Rates!$F$18,""))))))))</f>
        <v>1601.7</v>
      </c>
      <c r="J13" s="4"/>
      <c r="K13" s="24">
        <f t="shared" ca="1" si="0"/>
        <v>19991.060000000001</v>
      </c>
      <c r="L13" s="24">
        <f t="shared" ca="1" si="1"/>
        <v>19398.431</v>
      </c>
      <c r="M13" s="24">
        <f t="shared" ca="1" si="2"/>
        <v>23354.63</v>
      </c>
      <c r="N13" s="24">
        <f t="shared" ca="1" si="3"/>
        <v>18709.7</v>
      </c>
      <c r="O13" s="24">
        <f t="shared" ca="1" si="4"/>
        <v>17108</v>
      </c>
      <c r="Q13" s="27" t="str">
        <f ca="1">IF(B13="","",IF($B$4="R&amp;T Level 5 - Clinical Lecturers (Vet School)",SUMIF(Points_Lookup!$M:$M,$B13,Points_Lookup!$N:$N),IF($B$4="R&amp;T Level 6 - Clinical Associate Professors and Clinical Readers (Vet School)",SUMIF(Points_Lookup!$T:$T,$B13,Points_Lookup!$U:$U),"")))</f>
        <v/>
      </c>
      <c r="R13" s="28" t="str">
        <f ca="1">IF(B13="","",IF($B$4="R&amp;T Level 5 - Clinical Lecturers (Vet School)",$C13-SUMIF(Points_Lookup!$M:$M,$B13,Points_Lookup!$O:$O),IF($B$4="R&amp;T Level 6 - Clinical Associate Professors and Clinical Readers (Vet School)",$C13-SUMIF(Points_Lookup!$T:$T,$B13,Points_Lookup!$V:$V),"")))</f>
        <v/>
      </c>
      <c r="S13" s="27" t="str">
        <f ca="1">IF(B13="","",IF($B$4="R&amp;T Level 5 - Clinical Lecturers (Vet School)",SUMIF(Points_Lookup!$M:$M,$B13,Points_Lookup!$Q:$Q),IF($B$4="R&amp;T Level 6 - Clinical Associate Professors and Clinical Readers (Vet School)",SUMIF(Points_Lookup!$T:$T,$B13,Points_Lookup!$X:$X),"")))</f>
        <v/>
      </c>
      <c r="T13" s="28" t="str">
        <f t="shared" ca="1" si="5"/>
        <v/>
      </c>
      <c r="V13" s="25"/>
      <c r="Y13" s="25">
        <v>5</v>
      </c>
    </row>
    <row r="14" spans="2:53" x14ac:dyDescent="0.25">
      <c r="B14" s="4">
        <f ca="1">IFERROR(INDEX(Points_Lookup!$A:$A,MATCH($Y14,Points_Lookup!$AE:$AE,0)),"")</f>
        <v>7</v>
      </c>
      <c r="C14" s="24">
        <f ca="1">IF(B14="","",IF($B$4="Apprenticeship",SUMIF(Points_Lookup!$AA:$AA,B14,Points_Lookup!$AC:$AC),IF(AND(OR($B$4="New Consultant Contract"),$B14&lt;&gt;""),INDEX(Points_Lookup!$K:$K,MATCH($B14,Points_Lookup!$J:$J,0)),IF(AND(OR($B$4="Clinical Lecturer / Medical Research Fellow",$B$4="Clinical Consultant - Old Contract (GP)"),$B14&lt;&gt;""),INDEX(Points_Lookup!$H:$H,MATCH($B14,Points_Lookup!$G:$G,0)),IF(AND(OR($B$4="APM Level 7",$B$4="R&amp;T Level 7",$B$4="APM Level 8"),B14&lt;&gt;""),INDEX(Points_Lookup!$E:$E,MATCH($Y14,Points_Lookup!$AE:$AE,0)),IF($B$4="R&amp;T Level 5 - Clinical Lecturers (Vet School)",SUMIF(Points_Lookup!$M:$M,$B14,Points_Lookup!$P:$P),IF($B$4="R&amp;T Level 6 - Clinical Associate Professors and Clinical Readers (Vet School)",SUMIF(Points_Lookup!$T:$T,$B14,Points_Lookup!$W:$W),IFERROR(INDEX(Points_Lookup!$B:$B,MATCH($Y14,Points_Lookup!$AE:$AE,0)),""))))))))</f>
        <v>16357</v>
      </c>
      <c r="D14" s="39"/>
      <c r="E14" s="24">
        <f ca="1">IF($B14="","",IF(AND($B$4="Salary Points 2 to 57",B14&lt;Thresholds_Rates!$C$16),"-",IF(SUMIF(Grades!$A:$A,$B$4,Grades!$BO:$BO)=0,"-",IF(AND($B$4="Salary Points 2 to 57",B14&gt;=Thresholds_Rates!$C$16),$C14*Thresholds_Rates!$F$15,IF(AND(OR($B$4="New Consultant Contract"),$B14&lt;&gt;""),$C14*Thresholds_Rates!$F$15,IF(AND(OR($B$4="Clinical Lecturer / Medical Research Fellow",$B$4="Clinical Consultant - Old Contract (GP)"),$B14&lt;&gt;""),$C14*Thresholds_Rates!$F$15,IF(OR($B$4="APM Level 7",$B$4="R&amp;T Level 7"),$C14*Thresholds_Rates!$F$15,IF(SUMIF(Grades!$A:$A,$B$4,Grades!$BO:$BO)=1,$C14*Thresholds_Rates!$F$15,""))))))))</f>
        <v>2944.2599999999998</v>
      </c>
      <c r="F14" s="24">
        <f ca="1">IF(B14="","",IF($B$4="Salary Points 2 to 57","-",IF(SUMIF(Grades!$A:$A,$B$4,Grades!$BP:$BP)=0,"-",IF(AND(OR($B$4="New Consultant Contract"),$B14&lt;&gt;""),$C14*Thresholds_Rates!$F$16,IF(AND(OR($B$4="Clinical Lecturer / Medical Research Fellow",$B$4="Clinical Consultant - Old Contract (GP)"),$B14&lt;&gt;""),$C14*Thresholds_Rates!$F$16,IF(AND(OR($B$4="APM Level 7",$B$4="R&amp;T Level 7"),E14&lt;&gt;""),$C14*Thresholds_Rates!$F$16,IF(SUMIF(Grades!$A:$A,$B$4,Grades!$BP:$BP)=1,$C14*Thresholds_Rates!$F$16,"")))))))</f>
        <v>2339.0509999999999</v>
      </c>
      <c r="G14" s="24">
        <f ca="1">IF($B$4="Apprenticeship","-",IF(B14="","",IF(SUMIF(Grades!$A:$A,$B$4,Grades!$BQ:$BQ)=0,"-",IF(AND($B$4="Salary Points 2 to 57",B14&gt;Thresholds_Rates!$C$17),"-",IF(AND($B$4="Salary Points 2 to 57",B14&lt;=Thresholds_Rates!$C$17),$C14*Thresholds_Rates!$F$17,IF(AND(OR($B$4="New Consultant Contract"),$B14&lt;&gt;""),$C14*Thresholds_Rates!$F$17,IF(AND(OR($B$4="Clinical Lecturer / Medical Research Fellow",$B$4="Clinical Consultant - Old Contract (GP)"),$B14&lt;&gt;""),$C14*Thresholds_Rates!$F$17,IF(AND(OR($B$4="APM Level 7",$B$4="R&amp;T Level 7"),F14&lt;&gt;""),$C14*Thresholds_Rates!$F$17,IF(SUMIF(Grades!$A:$A,$B$4,Grades!$BQ:$BQ)=1,$C14*Thresholds_Rates!$F$17,"")))))))))</f>
        <v>6379.2300000000005</v>
      </c>
      <c r="H14" s="24">
        <f ca="1">IF($B14="","",ROUND(($C14-(Thresholds_Rates!$C$5*12))*Thresholds_Rates!$C$10,0))</f>
        <v>1138</v>
      </c>
      <c r="I14" s="24">
        <f ca="1">IF(B14="","",IF(AND($B$4="Salary Points 2 to 57",B14&gt;Thresholds_Rates!$C$17),"-",IF(SUMIF(Grades!$A:$A,$B$4,Grades!$BR:$BR)=0,"-",IF(AND($B$4="Salary Points 2 to 57",B14&lt;=Thresholds_Rates!$C$17),$C14*Thresholds_Rates!$F$18,IF(AND(OR($B$4="New Consultant Contract"),$B14&lt;&gt;""),$C14*Thresholds_Rates!$F$18,IF(AND(OR($B$4="Clinical Lecturer / Medical Research Fellow",$B$4="Clinical Consultant - Old Contract (GP)"),$B14&lt;&gt;""),$C14*Thresholds_Rates!$F$18,IF(AND(OR($B$4="APM Level 7",$B$4="R&amp;T Level 7"),H14&lt;&gt;""),$C14*Thresholds_Rates!$F$18,IF(SUMIF(Grades!$A:$A,$B$4,Grades!$BQ:$BQ)=1,$C14*Thresholds_Rates!$F$18,""))))))))</f>
        <v>1635.7</v>
      </c>
      <c r="J14" s="4"/>
      <c r="K14" s="24">
        <f t="shared" ca="1" si="0"/>
        <v>20439.259999999998</v>
      </c>
      <c r="L14" s="24">
        <f t="shared" ca="1" si="1"/>
        <v>19834.050999999999</v>
      </c>
      <c r="M14" s="24">
        <f t="shared" ca="1" si="2"/>
        <v>23874.23</v>
      </c>
      <c r="N14" s="24">
        <f t="shared" ca="1" si="3"/>
        <v>19130.7</v>
      </c>
      <c r="O14" s="24">
        <f t="shared" ca="1" si="4"/>
        <v>17495</v>
      </c>
      <c r="Q14" s="27" t="str">
        <f ca="1">IF(B14="","",IF($B$4="R&amp;T Level 5 - Clinical Lecturers (Vet School)",SUMIF(Points_Lookup!$M:$M,$B14,Points_Lookup!$N:$N),IF($B$4="R&amp;T Level 6 - Clinical Associate Professors and Clinical Readers (Vet School)",SUMIF(Points_Lookup!$T:$T,$B14,Points_Lookup!$U:$U),"")))</f>
        <v/>
      </c>
      <c r="R14" s="28" t="str">
        <f ca="1">IF(B14="","",IF($B$4="R&amp;T Level 5 - Clinical Lecturers (Vet School)",$C14-SUMIF(Points_Lookup!$M:$M,$B14,Points_Lookup!$O:$O),IF($B$4="R&amp;T Level 6 - Clinical Associate Professors and Clinical Readers (Vet School)",$C14-SUMIF(Points_Lookup!$T:$T,$B14,Points_Lookup!$V:$V),"")))</f>
        <v/>
      </c>
      <c r="S14" s="27" t="str">
        <f ca="1">IF(B14="","",IF($B$4="R&amp;T Level 5 - Clinical Lecturers (Vet School)",SUMIF(Points_Lookup!$M:$M,$B14,Points_Lookup!$Q:$Q),IF($B$4="R&amp;T Level 6 - Clinical Associate Professors and Clinical Readers (Vet School)",SUMIF(Points_Lookup!$T:$T,$B14,Points_Lookup!$X:$X),"")))</f>
        <v/>
      </c>
      <c r="T14" s="28" t="str">
        <f t="shared" ca="1" si="5"/>
        <v/>
      </c>
      <c r="V14" s="25"/>
      <c r="Y14" s="25">
        <v>6</v>
      </c>
    </row>
    <row r="15" spans="2:53" x14ac:dyDescent="0.25">
      <c r="B15" s="4">
        <f ca="1">IFERROR(INDEX(Points_Lookup!$A:$A,MATCH($Y15,Points_Lookup!$AE:$AE,0)),"")</f>
        <v>8</v>
      </c>
      <c r="C15" s="24">
        <f ca="1">IF(B15="","",IF($B$4="Apprenticeship",SUMIF(Points_Lookup!$AA:$AA,B15,Points_Lookup!$AC:$AC),IF(AND(OR($B$4="New Consultant Contract"),$B15&lt;&gt;""),INDEX(Points_Lookup!$K:$K,MATCH($B15,Points_Lookup!$J:$J,0)),IF(AND(OR($B$4="Clinical Lecturer / Medical Research Fellow",$B$4="Clinical Consultant - Old Contract (GP)"),$B15&lt;&gt;""),INDEX(Points_Lookup!$H:$H,MATCH($B15,Points_Lookup!$G:$G,0)),IF(AND(OR($B$4="APM Level 7",$B$4="R&amp;T Level 7",$B$4="APM Level 8"),B15&lt;&gt;""),INDEX(Points_Lookup!$E:$E,MATCH($Y15,Points_Lookup!$AE:$AE,0)),IF($B$4="R&amp;T Level 5 - Clinical Lecturers (Vet School)",SUMIF(Points_Lookup!$M:$M,$B15,Points_Lookup!$P:$P),IF($B$4="R&amp;T Level 6 - Clinical Associate Professors and Clinical Readers (Vet School)",SUMIF(Points_Lookup!$T:$T,$B15,Points_Lookup!$W:$W),IFERROR(INDEX(Points_Lookup!$B:$B,MATCH($Y15,Points_Lookup!$AE:$AE,0)),""))))))))</f>
        <v>16776</v>
      </c>
      <c r="D15" s="39"/>
      <c r="E15" s="24">
        <f ca="1">IF($B15="","",IF(AND($B$4="Salary Points 2 to 57",B15&lt;Thresholds_Rates!$C$16),"-",IF(SUMIF(Grades!$A:$A,$B$4,Grades!$BO:$BO)=0,"-",IF(AND($B$4="Salary Points 2 to 57",B15&gt;=Thresholds_Rates!$C$16),$C15*Thresholds_Rates!$F$15,IF(AND(OR($B$4="New Consultant Contract"),$B15&lt;&gt;""),$C15*Thresholds_Rates!$F$15,IF(AND(OR($B$4="Clinical Lecturer / Medical Research Fellow",$B$4="Clinical Consultant - Old Contract (GP)"),$B15&lt;&gt;""),$C15*Thresholds_Rates!$F$15,IF(OR($B$4="APM Level 7",$B$4="R&amp;T Level 7"),$C15*Thresholds_Rates!$F$15,IF(SUMIF(Grades!$A:$A,$B$4,Grades!$BO:$BO)=1,$C15*Thresholds_Rates!$F$15,""))))))))</f>
        <v>3019.68</v>
      </c>
      <c r="F15" s="24">
        <f ca="1">IF(B15="","",IF($B$4="Salary Points 2 to 57","-",IF(SUMIF(Grades!$A:$A,$B$4,Grades!$BP:$BP)=0,"-",IF(AND(OR($B$4="New Consultant Contract"),$B15&lt;&gt;""),$C15*Thresholds_Rates!$F$16,IF(AND(OR($B$4="Clinical Lecturer / Medical Research Fellow",$B$4="Clinical Consultant - Old Contract (GP)"),$B15&lt;&gt;""),$C15*Thresholds_Rates!$F$16,IF(AND(OR($B$4="APM Level 7",$B$4="R&amp;T Level 7"),E15&lt;&gt;""),$C15*Thresholds_Rates!$F$16,IF(SUMIF(Grades!$A:$A,$B$4,Grades!$BP:$BP)=1,$C15*Thresholds_Rates!$F$16,"")))))))</f>
        <v>2398.9679999999998</v>
      </c>
      <c r="G15" s="24">
        <f ca="1">IF($B$4="Apprenticeship","-",IF(B15="","",IF(SUMIF(Grades!$A:$A,$B$4,Grades!$BQ:$BQ)=0,"-",IF(AND($B$4="Salary Points 2 to 57",B15&gt;Thresholds_Rates!$C$17),"-",IF(AND($B$4="Salary Points 2 to 57",B15&lt;=Thresholds_Rates!$C$17),$C15*Thresholds_Rates!$F$17,IF(AND(OR($B$4="New Consultant Contract"),$B15&lt;&gt;""),$C15*Thresholds_Rates!$F$17,IF(AND(OR($B$4="Clinical Lecturer / Medical Research Fellow",$B$4="Clinical Consultant - Old Contract (GP)"),$B15&lt;&gt;""),$C15*Thresholds_Rates!$F$17,IF(AND(OR($B$4="APM Level 7",$B$4="R&amp;T Level 7"),F15&lt;&gt;""),$C15*Thresholds_Rates!$F$17,IF(SUMIF(Grades!$A:$A,$B$4,Grades!$BQ:$BQ)=1,$C15*Thresholds_Rates!$F$17,"")))))))))</f>
        <v>6542.64</v>
      </c>
      <c r="H15" s="24">
        <f ca="1">IF($B15="","",ROUND(($C15-(Thresholds_Rates!$C$5*12))*Thresholds_Rates!$C$10,0))</f>
        <v>1196</v>
      </c>
      <c r="I15" s="24">
        <f ca="1">IF(B15="","",IF(AND($B$4="Salary Points 2 to 57",B15&gt;Thresholds_Rates!$C$17),"-",IF(SUMIF(Grades!$A:$A,$B$4,Grades!$BR:$BR)=0,"-",IF(AND($B$4="Salary Points 2 to 57",B15&lt;=Thresholds_Rates!$C$17),$C15*Thresholds_Rates!$F$18,IF(AND(OR($B$4="New Consultant Contract"),$B15&lt;&gt;""),$C15*Thresholds_Rates!$F$18,IF(AND(OR($B$4="Clinical Lecturer / Medical Research Fellow",$B$4="Clinical Consultant - Old Contract (GP)"),$B15&lt;&gt;""),$C15*Thresholds_Rates!$F$18,IF(AND(OR($B$4="APM Level 7",$B$4="R&amp;T Level 7"),H15&lt;&gt;""),$C15*Thresholds_Rates!$F$18,IF(SUMIF(Grades!$A:$A,$B$4,Grades!$BQ:$BQ)=1,$C15*Thresholds_Rates!$F$18,""))))))))</f>
        <v>1677.6000000000001</v>
      </c>
      <c r="J15" s="4"/>
      <c r="K15" s="24">
        <f t="shared" ca="1" si="0"/>
        <v>20991.68</v>
      </c>
      <c r="L15" s="24">
        <f t="shared" ca="1" si="1"/>
        <v>20370.968000000001</v>
      </c>
      <c r="M15" s="24">
        <f t="shared" ca="1" si="2"/>
        <v>24514.639999999999</v>
      </c>
      <c r="N15" s="24">
        <f t="shared" ca="1" si="3"/>
        <v>19649.599999999999</v>
      </c>
      <c r="O15" s="24">
        <f t="shared" ca="1" si="4"/>
        <v>17972</v>
      </c>
      <c r="Q15" s="27" t="str">
        <f ca="1">IF(B15="","",IF($B$4="R&amp;T Level 5 - Clinical Lecturers (Vet School)",SUMIF(Points_Lookup!$M:$M,$B15,Points_Lookup!$N:$N),IF($B$4="R&amp;T Level 6 - Clinical Associate Professors and Clinical Readers (Vet School)",SUMIF(Points_Lookup!$T:$T,$B15,Points_Lookup!$U:$U),"")))</f>
        <v/>
      </c>
      <c r="R15" s="28" t="str">
        <f ca="1">IF(B15="","",IF($B$4="R&amp;T Level 5 - Clinical Lecturers (Vet School)",$C15-SUMIF(Points_Lookup!$M:$M,$B15,Points_Lookup!$O:$O),IF($B$4="R&amp;T Level 6 - Clinical Associate Professors and Clinical Readers (Vet School)",$C15-SUMIF(Points_Lookup!$T:$T,$B15,Points_Lookup!$V:$V),"")))</f>
        <v/>
      </c>
      <c r="S15" s="27" t="str">
        <f ca="1">IF(B15="","",IF($B$4="R&amp;T Level 5 - Clinical Lecturers (Vet School)",SUMIF(Points_Lookup!$M:$M,$B15,Points_Lookup!$Q:$Q),IF($B$4="R&amp;T Level 6 - Clinical Associate Professors and Clinical Readers (Vet School)",SUMIF(Points_Lookup!$T:$T,$B15,Points_Lookup!$X:$X),"")))</f>
        <v/>
      </c>
      <c r="T15" s="28" t="str">
        <f t="shared" ca="1" si="5"/>
        <v/>
      </c>
      <c r="V15" s="25"/>
      <c r="Y15" s="25">
        <v>7</v>
      </c>
    </row>
    <row r="16" spans="2:53" x14ac:dyDescent="0.25">
      <c r="B16" s="4">
        <f ca="1">IFERROR(INDEX(Points_Lookup!$A:$A,MATCH($Y16,Points_Lookup!$AE:$AE,0)),"")</f>
        <v>9</v>
      </c>
      <c r="C16" s="24">
        <f ca="1">IF(B16="","",IF($B$4="Apprenticeship",SUMIF(Points_Lookup!$AA:$AA,B16,Points_Lookup!$AC:$AC),IF(AND(OR($B$4="New Consultant Contract"),$B16&lt;&gt;""),INDEX(Points_Lookup!$K:$K,MATCH($B16,Points_Lookup!$J:$J,0)),IF(AND(OR($B$4="Clinical Lecturer / Medical Research Fellow",$B$4="Clinical Consultant - Old Contract (GP)"),$B16&lt;&gt;""),INDEX(Points_Lookup!$H:$H,MATCH($B16,Points_Lookup!$G:$G,0)),IF(AND(OR($B$4="APM Level 7",$B$4="R&amp;T Level 7",$B$4="APM Level 8"),B16&lt;&gt;""),INDEX(Points_Lookup!$E:$E,MATCH($Y16,Points_Lookup!$AE:$AE,0)),IF($B$4="R&amp;T Level 5 - Clinical Lecturers (Vet School)",SUMIF(Points_Lookup!$M:$M,$B16,Points_Lookup!$P:$P),IF($B$4="R&amp;T Level 6 - Clinical Associate Professors and Clinical Readers (Vet School)",SUMIF(Points_Lookup!$T:$T,$B16,Points_Lookup!$W:$W),IFERROR(INDEX(Points_Lookup!$B:$B,MATCH($Y16,Points_Lookup!$AE:$AE,0)),""))))))))</f>
        <v>17210</v>
      </c>
      <c r="D16" s="39"/>
      <c r="E16" s="24">
        <f ca="1">IF($B16="","",IF(AND($B$4="Salary Points 2 to 57",B16&lt;Thresholds_Rates!$C$16),"-",IF(SUMIF(Grades!$A:$A,$B$4,Grades!$BO:$BO)=0,"-",IF(AND($B$4="Salary Points 2 to 57",B16&gt;=Thresholds_Rates!$C$16),$C16*Thresholds_Rates!$F$15,IF(AND(OR($B$4="New Consultant Contract"),$B16&lt;&gt;""),$C16*Thresholds_Rates!$F$15,IF(AND(OR($B$4="Clinical Lecturer / Medical Research Fellow",$B$4="Clinical Consultant - Old Contract (GP)"),$B16&lt;&gt;""),$C16*Thresholds_Rates!$F$15,IF(OR($B$4="APM Level 7",$B$4="R&amp;T Level 7"),$C16*Thresholds_Rates!$F$15,IF(SUMIF(Grades!$A:$A,$B$4,Grades!$BO:$BO)=1,$C16*Thresholds_Rates!$F$15,""))))))))</f>
        <v>3097.7999999999997</v>
      </c>
      <c r="F16" s="24">
        <f ca="1">IF(B16="","",IF($B$4="Salary Points 2 to 57","-",IF(SUMIF(Grades!$A:$A,$B$4,Grades!$BP:$BP)=0,"-",IF(AND(OR($B$4="New Consultant Contract"),$B16&lt;&gt;""),$C16*Thresholds_Rates!$F$16,IF(AND(OR($B$4="Clinical Lecturer / Medical Research Fellow",$B$4="Clinical Consultant - Old Contract (GP)"),$B16&lt;&gt;""),$C16*Thresholds_Rates!$F$16,IF(AND(OR($B$4="APM Level 7",$B$4="R&amp;T Level 7"),E16&lt;&gt;""),$C16*Thresholds_Rates!$F$16,IF(SUMIF(Grades!$A:$A,$B$4,Grades!$BP:$BP)=1,$C16*Thresholds_Rates!$F$16,"")))))))</f>
        <v>2461.0299999999997</v>
      </c>
      <c r="G16" s="24">
        <f ca="1">IF($B$4="Apprenticeship","-",IF(B16="","",IF(SUMIF(Grades!$A:$A,$B$4,Grades!$BQ:$BQ)=0,"-",IF(AND($B$4="Salary Points 2 to 57",B16&gt;Thresholds_Rates!$C$17),"-",IF(AND($B$4="Salary Points 2 to 57",B16&lt;=Thresholds_Rates!$C$17),$C16*Thresholds_Rates!$F$17,IF(AND(OR($B$4="New Consultant Contract"),$B16&lt;&gt;""),$C16*Thresholds_Rates!$F$17,IF(AND(OR($B$4="Clinical Lecturer / Medical Research Fellow",$B$4="Clinical Consultant - Old Contract (GP)"),$B16&lt;&gt;""),$C16*Thresholds_Rates!$F$17,IF(AND(OR($B$4="APM Level 7",$B$4="R&amp;T Level 7"),F16&lt;&gt;""),$C16*Thresholds_Rates!$F$17,IF(SUMIF(Grades!$A:$A,$B$4,Grades!$BQ:$BQ)=1,$C16*Thresholds_Rates!$F$17,"")))))))))</f>
        <v>6711.9000000000005</v>
      </c>
      <c r="H16" s="24">
        <f ca="1">IF($B16="","",ROUND(($C16-(Thresholds_Rates!$C$5*12))*Thresholds_Rates!$C$10,0))</f>
        <v>1256</v>
      </c>
      <c r="I16" s="24">
        <f ca="1">IF(B16="","",IF(AND($B$4="Salary Points 2 to 57",B16&gt;Thresholds_Rates!$C$17),"-",IF(SUMIF(Grades!$A:$A,$B$4,Grades!$BR:$BR)=0,"-",IF(AND($B$4="Salary Points 2 to 57",B16&lt;=Thresholds_Rates!$C$17),$C16*Thresholds_Rates!$F$18,IF(AND(OR($B$4="New Consultant Contract"),$B16&lt;&gt;""),$C16*Thresholds_Rates!$F$18,IF(AND(OR($B$4="Clinical Lecturer / Medical Research Fellow",$B$4="Clinical Consultant - Old Contract (GP)"),$B16&lt;&gt;""),$C16*Thresholds_Rates!$F$18,IF(AND(OR($B$4="APM Level 7",$B$4="R&amp;T Level 7"),H16&lt;&gt;""),$C16*Thresholds_Rates!$F$18,IF(SUMIF(Grades!$A:$A,$B$4,Grades!$BQ:$BQ)=1,$C16*Thresholds_Rates!$F$18,""))))))))</f>
        <v>1721</v>
      </c>
      <c r="J16" s="4"/>
      <c r="K16" s="24">
        <f t="shared" ca="1" si="0"/>
        <v>21563.8</v>
      </c>
      <c r="L16" s="24">
        <f t="shared" ca="1" si="1"/>
        <v>20927.03</v>
      </c>
      <c r="M16" s="24">
        <f t="shared" ca="1" si="2"/>
        <v>25177.9</v>
      </c>
      <c r="N16" s="24">
        <f t="shared" ca="1" si="3"/>
        <v>20187</v>
      </c>
      <c r="O16" s="24">
        <f t="shared" ca="1" si="4"/>
        <v>18466</v>
      </c>
      <c r="Q16" s="27" t="str">
        <f ca="1">IF(B16="","",IF($B$4="R&amp;T Level 5 - Clinical Lecturers (Vet School)",SUMIF(Points_Lookup!$M:$M,$B16,Points_Lookup!$N:$N),IF($B$4="R&amp;T Level 6 - Clinical Associate Professors and Clinical Readers (Vet School)",SUMIF(Points_Lookup!$T:$T,$B16,Points_Lookup!$U:$U),"")))</f>
        <v/>
      </c>
      <c r="R16" s="28" t="str">
        <f ca="1">IF(B16="","",IF($B$4="R&amp;T Level 5 - Clinical Lecturers (Vet School)",$C16-SUMIF(Points_Lookup!$M:$M,$B16,Points_Lookup!$O:$O),IF($B$4="R&amp;T Level 6 - Clinical Associate Professors and Clinical Readers (Vet School)",$C16-SUMIF(Points_Lookup!$T:$T,$B16,Points_Lookup!$V:$V),"")))</f>
        <v/>
      </c>
      <c r="S16" s="27" t="str">
        <f ca="1">IF(B16="","",IF($B$4="R&amp;T Level 5 - Clinical Lecturers (Vet School)",SUMIF(Points_Lookup!$M:$M,$B16,Points_Lookup!$Q:$Q),IF($B$4="R&amp;T Level 6 - Clinical Associate Professors and Clinical Readers (Vet School)",SUMIF(Points_Lookup!$T:$T,$B16,Points_Lookup!$X:$X),"")))</f>
        <v/>
      </c>
      <c r="T16" s="28" t="str">
        <f t="shared" ca="1" si="5"/>
        <v/>
      </c>
      <c r="V16" s="25"/>
      <c r="Y16" s="25">
        <v>8</v>
      </c>
    </row>
    <row r="17" spans="2:25" x14ac:dyDescent="0.25">
      <c r="B17" s="4">
        <f ca="1">IFERROR(INDEX(Points_Lookup!$A:$A,MATCH($Y17,Points_Lookup!$AE:$AE,0)),"")</f>
        <v>10</v>
      </c>
      <c r="C17" s="24">
        <f ca="1">IF(B17="","",IF($B$4="Apprenticeship",SUMIF(Points_Lookup!$AA:$AA,B17,Points_Lookup!$AC:$AC),IF(AND(OR($B$4="New Consultant Contract"),$B17&lt;&gt;""),INDEX(Points_Lookup!$K:$K,MATCH($B17,Points_Lookup!$J:$J,0)),IF(AND(OR($B$4="Clinical Lecturer / Medical Research Fellow",$B$4="Clinical Consultant - Old Contract (GP)"),$B17&lt;&gt;""),INDEX(Points_Lookup!$H:$H,MATCH($B17,Points_Lookup!$G:$G,0)),IF(AND(OR($B$4="APM Level 7",$B$4="R&amp;T Level 7",$B$4="APM Level 8"),B17&lt;&gt;""),INDEX(Points_Lookup!$E:$E,MATCH($Y17,Points_Lookup!$AE:$AE,0)),IF($B$4="R&amp;T Level 5 - Clinical Lecturers (Vet School)",SUMIF(Points_Lookup!$M:$M,$B17,Points_Lookup!$P:$P),IF($B$4="R&amp;T Level 6 - Clinical Associate Professors and Clinical Readers (Vet School)",SUMIF(Points_Lookup!$T:$T,$B17,Points_Lookup!$W:$W),IFERROR(INDEX(Points_Lookup!$B:$B,MATCH($Y17,Points_Lookup!$AE:$AE,0)),""))))))))</f>
        <v>17703</v>
      </c>
      <c r="D17" s="39"/>
      <c r="E17" s="24">
        <f ca="1">IF($B17="","",IF(AND($B$4="Salary Points 2 to 57",B17&lt;Thresholds_Rates!$C$16),"-",IF(SUMIF(Grades!$A:$A,$B$4,Grades!$BO:$BO)=0,"-",IF(AND($B$4="Salary Points 2 to 57",B17&gt;=Thresholds_Rates!$C$16),$C17*Thresholds_Rates!$F$15,IF(AND(OR($B$4="New Consultant Contract"),$B17&lt;&gt;""),$C17*Thresholds_Rates!$F$15,IF(AND(OR($B$4="Clinical Lecturer / Medical Research Fellow",$B$4="Clinical Consultant - Old Contract (GP)"),$B17&lt;&gt;""),$C17*Thresholds_Rates!$F$15,IF(OR($B$4="APM Level 7",$B$4="R&amp;T Level 7"),$C17*Thresholds_Rates!$F$15,IF(SUMIF(Grades!$A:$A,$B$4,Grades!$BO:$BO)=1,$C17*Thresholds_Rates!$F$15,""))))))))</f>
        <v>3186.54</v>
      </c>
      <c r="F17" s="24">
        <f ca="1">IF(B17="","",IF($B$4="Salary Points 2 to 57","-",IF(SUMIF(Grades!$A:$A,$B$4,Grades!$BP:$BP)=0,"-",IF(AND(OR($B$4="New Consultant Contract"),$B17&lt;&gt;""),$C17*Thresholds_Rates!$F$16,IF(AND(OR($B$4="Clinical Lecturer / Medical Research Fellow",$B$4="Clinical Consultant - Old Contract (GP)"),$B17&lt;&gt;""),$C17*Thresholds_Rates!$F$16,IF(AND(OR($B$4="APM Level 7",$B$4="R&amp;T Level 7"),E17&lt;&gt;""),$C17*Thresholds_Rates!$F$16,IF(SUMIF(Grades!$A:$A,$B$4,Grades!$BP:$BP)=1,$C17*Thresholds_Rates!$F$16,"")))))))</f>
        <v>2531.529</v>
      </c>
      <c r="G17" s="24">
        <f ca="1">IF($B$4="Apprenticeship","-",IF(B17="","",IF(SUMIF(Grades!$A:$A,$B$4,Grades!$BQ:$BQ)=0,"-",IF(AND($B$4="Salary Points 2 to 57",B17&gt;Thresholds_Rates!$C$17),"-",IF(AND($B$4="Salary Points 2 to 57",B17&lt;=Thresholds_Rates!$C$17),$C17*Thresholds_Rates!$F$17,IF(AND(OR($B$4="New Consultant Contract"),$B17&lt;&gt;""),$C17*Thresholds_Rates!$F$17,IF(AND(OR($B$4="Clinical Lecturer / Medical Research Fellow",$B$4="Clinical Consultant - Old Contract (GP)"),$B17&lt;&gt;""),$C17*Thresholds_Rates!$F$17,IF(AND(OR($B$4="APM Level 7",$B$4="R&amp;T Level 7"),F17&lt;&gt;""),$C17*Thresholds_Rates!$F$17,IF(SUMIF(Grades!$A:$A,$B$4,Grades!$BQ:$BQ)=1,$C17*Thresholds_Rates!$F$17,"")))))))))</f>
        <v>6904.17</v>
      </c>
      <c r="H17" s="24">
        <f ca="1">IF($B17="","",ROUND(($C17-(Thresholds_Rates!$C$5*12))*Thresholds_Rates!$C$10,0))</f>
        <v>1324</v>
      </c>
      <c r="I17" s="24">
        <f ca="1">IF(B17="","",IF(AND($B$4="Salary Points 2 to 57",B17&gt;Thresholds_Rates!$C$17),"-",IF(SUMIF(Grades!$A:$A,$B$4,Grades!$BR:$BR)=0,"-",IF(AND($B$4="Salary Points 2 to 57",B17&lt;=Thresholds_Rates!$C$17),$C17*Thresholds_Rates!$F$18,IF(AND(OR($B$4="New Consultant Contract"),$B17&lt;&gt;""),$C17*Thresholds_Rates!$F$18,IF(AND(OR($B$4="Clinical Lecturer / Medical Research Fellow",$B$4="Clinical Consultant - Old Contract (GP)"),$B17&lt;&gt;""),$C17*Thresholds_Rates!$F$18,IF(AND(OR($B$4="APM Level 7",$B$4="R&amp;T Level 7"),H17&lt;&gt;""),$C17*Thresholds_Rates!$F$18,IF(SUMIF(Grades!$A:$A,$B$4,Grades!$BQ:$BQ)=1,$C17*Thresholds_Rates!$F$18,""))))))))</f>
        <v>1770.3000000000002</v>
      </c>
      <c r="J17" s="4"/>
      <c r="K17" s="24">
        <f t="shared" ca="1" si="0"/>
        <v>22213.54</v>
      </c>
      <c r="L17" s="24">
        <f t="shared" ca="1" si="1"/>
        <v>21558.528999999999</v>
      </c>
      <c r="M17" s="24">
        <f t="shared" ca="1" si="2"/>
        <v>25931.17</v>
      </c>
      <c r="N17" s="24">
        <f t="shared" ca="1" si="3"/>
        <v>20797.3</v>
      </c>
      <c r="O17" s="24">
        <f t="shared" ca="1" si="4"/>
        <v>19027</v>
      </c>
      <c r="Q17" s="27" t="str">
        <f ca="1">IF(B17="","",IF($B$4="R&amp;T Level 5 - Clinical Lecturers (Vet School)",SUMIF(Points_Lookup!$M:$M,$B17,Points_Lookup!$N:$N),IF($B$4="R&amp;T Level 6 - Clinical Associate Professors and Clinical Readers (Vet School)",SUMIF(Points_Lookup!$T:$T,$B17,Points_Lookup!$U:$U),"")))</f>
        <v/>
      </c>
      <c r="R17" s="28" t="str">
        <f ca="1">IF(B17="","",IF($B$4="R&amp;T Level 5 - Clinical Lecturers (Vet School)",$C17-SUMIF(Points_Lookup!$M:$M,$B17,Points_Lookup!$O:$O),IF($B$4="R&amp;T Level 6 - Clinical Associate Professors and Clinical Readers (Vet School)",$C17-SUMIF(Points_Lookup!$T:$T,$B17,Points_Lookup!$V:$V),"")))</f>
        <v/>
      </c>
      <c r="S17" s="27" t="str">
        <f ca="1">IF(B17="","",IF($B$4="R&amp;T Level 5 - Clinical Lecturers (Vet School)",SUMIF(Points_Lookup!$M:$M,$B17,Points_Lookup!$Q:$Q),IF($B$4="R&amp;T Level 6 - Clinical Associate Professors and Clinical Readers (Vet School)",SUMIF(Points_Lookup!$T:$T,$B17,Points_Lookup!$X:$X),"")))</f>
        <v/>
      </c>
      <c r="T17" s="28" t="str">
        <f t="shared" ca="1" si="5"/>
        <v/>
      </c>
      <c r="V17" s="25"/>
      <c r="Y17" s="25">
        <v>9</v>
      </c>
    </row>
    <row r="18" spans="2:25" x14ac:dyDescent="0.25">
      <c r="B18" s="4">
        <f ca="1">IFERROR(INDEX(Points_Lookup!$A:$A,MATCH($Y18,Points_Lookup!$AE:$AE,0)),"")</f>
        <v>11</v>
      </c>
      <c r="C18" s="24">
        <f ca="1">IF(B18="","",IF($B$4="Apprenticeship",SUMIF(Points_Lookup!$AA:$AA,B18,Points_Lookup!$AC:$AC),IF(AND(OR($B$4="New Consultant Contract"),$B18&lt;&gt;""),INDEX(Points_Lookup!$K:$K,MATCH($B18,Points_Lookup!$J:$J,0)),IF(AND(OR($B$4="Clinical Lecturer / Medical Research Fellow",$B$4="Clinical Consultant - Old Contract (GP)"),$B18&lt;&gt;""),INDEX(Points_Lookup!$H:$H,MATCH($B18,Points_Lookup!$G:$G,0)),IF(AND(OR($B$4="APM Level 7",$B$4="R&amp;T Level 7",$B$4="APM Level 8"),B18&lt;&gt;""),INDEX(Points_Lookup!$E:$E,MATCH($Y18,Points_Lookup!$AE:$AE,0)),IF($B$4="R&amp;T Level 5 - Clinical Lecturers (Vet School)",SUMIF(Points_Lookup!$M:$M,$B18,Points_Lookup!$P:$P),IF($B$4="R&amp;T Level 6 - Clinical Associate Professors and Clinical Readers (Vet School)",SUMIF(Points_Lookup!$T:$T,$B18,Points_Lookup!$W:$W),IFERROR(INDEX(Points_Lookup!$B:$B,MATCH($Y18,Points_Lookup!$AE:$AE,0)),""))))))))</f>
        <v>18212</v>
      </c>
      <c r="D18" s="39"/>
      <c r="E18" s="24">
        <f ca="1">IF($B18="","",IF(AND($B$4="Salary Points 2 to 57",B18&lt;Thresholds_Rates!$C$16),"-",IF(SUMIF(Grades!$A:$A,$B$4,Grades!$BO:$BO)=0,"-",IF(AND($B$4="Salary Points 2 to 57",B18&gt;=Thresholds_Rates!$C$16),$C18*Thresholds_Rates!$F$15,IF(AND(OR($B$4="New Consultant Contract"),$B18&lt;&gt;""),$C18*Thresholds_Rates!$F$15,IF(AND(OR($B$4="Clinical Lecturer / Medical Research Fellow",$B$4="Clinical Consultant - Old Contract (GP)"),$B18&lt;&gt;""),$C18*Thresholds_Rates!$F$15,IF(OR($B$4="APM Level 7",$B$4="R&amp;T Level 7"),$C18*Thresholds_Rates!$F$15,IF(SUMIF(Grades!$A:$A,$B$4,Grades!$BO:$BO)=1,$C18*Thresholds_Rates!$F$15,""))))))))</f>
        <v>3278.16</v>
      </c>
      <c r="F18" s="24">
        <f ca="1">IF(B18="","",IF($B$4="Salary Points 2 to 57","-",IF(SUMIF(Grades!$A:$A,$B$4,Grades!$BP:$BP)=0,"-",IF(AND(OR($B$4="New Consultant Contract"),$B18&lt;&gt;""),$C18*Thresholds_Rates!$F$16,IF(AND(OR($B$4="Clinical Lecturer / Medical Research Fellow",$B$4="Clinical Consultant - Old Contract (GP)"),$B18&lt;&gt;""),$C18*Thresholds_Rates!$F$16,IF(AND(OR($B$4="APM Level 7",$B$4="R&amp;T Level 7"),E18&lt;&gt;""),$C18*Thresholds_Rates!$F$16,IF(SUMIF(Grades!$A:$A,$B$4,Grades!$BP:$BP)=1,$C18*Thresholds_Rates!$F$16,"")))))))</f>
        <v>2604.3159999999998</v>
      </c>
      <c r="G18" s="24">
        <f ca="1">IF($B$4="Apprenticeship","-",IF(B18="","",IF(SUMIF(Grades!$A:$A,$B$4,Grades!$BQ:$BQ)=0,"-",IF(AND($B$4="Salary Points 2 to 57",B18&gt;Thresholds_Rates!$C$17),"-",IF(AND($B$4="Salary Points 2 to 57",B18&lt;=Thresholds_Rates!$C$17),$C18*Thresholds_Rates!$F$17,IF(AND(OR($B$4="New Consultant Contract"),$B18&lt;&gt;""),$C18*Thresholds_Rates!$F$17,IF(AND(OR($B$4="Clinical Lecturer / Medical Research Fellow",$B$4="Clinical Consultant - Old Contract (GP)"),$B18&lt;&gt;""),$C18*Thresholds_Rates!$F$17,IF(AND(OR($B$4="APM Level 7",$B$4="R&amp;T Level 7"),F18&lt;&gt;""),$C18*Thresholds_Rates!$F$17,IF(SUMIF(Grades!$A:$A,$B$4,Grades!$BQ:$BQ)=1,$C18*Thresholds_Rates!$F$17,"")))))))))</f>
        <v>7102.68</v>
      </c>
      <c r="H18" s="24">
        <f ca="1">IF($B18="","",ROUND(($C18-(Thresholds_Rates!$C$5*12))*Thresholds_Rates!$C$10,0))</f>
        <v>1394</v>
      </c>
      <c r="I18" s="24">
        <f ca="1">IF(B18="","",IF(AND($B$4="Salary Points 2 to 57",B18&gt;Thresholds_Rates!$C$17),"-",IF(SUMIF(Grades!$A:$A,$B$4,Grades!$BR:$BR)=0,"-",IF(AND($B$4="Salary Points 2 to 57",B18&lt;=Thresholds_Rates!$C$17),$C18*Thresholds_Rates!$F$18,IF(AND(OR($B$4="New Consultant Contract"),$B18&lt;&gt;""),$C18*Thresholds_Rates!$F$18,IF(AND(OR($B$4="Clinical Lecturer / Medical Research Fellow",$B$4="Clinical Consultant - Old Contract (GP)"),$B18&lt;&gt;""),$C18*Thresholds_Rates!$F$18,IF(AND(OR($B$4="APM Level 7",$B$4="R&amp;T Level 7"),H18&lt;&gt;""),$C18*Thresholds_Rates!$F$18,IF(SUMIF(Grades!$A:$A,$B$4,Grades!$BQ:$BQ)=1,$C18*Thresholds_Rates!$F$18,""))))))))</f>
        <v>1821.2</v>
      </c>
      <c r="J18" s="4"/>
      <c r="K18" s="24">
        <f t="shared" ca="1" si="0"/>
        <v>22884.16</v>
      </c>
      <c r="L18" s="24">
        <f t="shared" ca="1" si="1"/>
        <v>22210.315999999999</v>
      </c>
      <c r="M18" s="24">
        <f t="shared" ca="1" si="2"/>
        <v>26708.68</v>
      </c>
      <c r="N18" s="24">
        <f t="shared" ca="1" si="3"/>
        <v>21427.200000000001</v>
      </c>
      <c r="O18" s="24">
        <f t="shared" ca="1" si="4"/>
        <v>19606</v>
      </c>
      <c r="Q18" s="27" t="str">
        <f ca="1">IF(B18="","",IF($B$4="R&amp;T Level 5 - Clinical Lecturers (Vet School)",SUMIF(Points_Lookup!$M:$M,$B18,Points_Lookup!$N:$N),IF($B$4="R&amp;T Level 6 - Clinical Associate Professors and Clinical Readers (Vet School)",SUMIF(Points_Lookup!$T:$T,$B18,Points_Lookup!$U:$U),"")))</f>
        <v/>
      </c>
      <c r="R18" s="28" t="str">
        <f ca="1">IF(B18="","",IF($B$4="R&amp;T Level 5 - Clinical Lecturers (Vet School)",$C18-SUMIF(Points_Lookup!$M:$M,$B18,Points_Lookup!$O:$O),IF($B$4="R&amp;T Level 6 - Clinical Associate Professors and Clinical Readers (Vet School)",$C18-SUMIF(Points_Lookup!$T:$T,$B18,Points_Lookup!$V:$V),"")))</f>
        <v/>
      </c>
      <c r="S18" s="27" t="str">
        <f ca="1">IF(B18="","",IF($B$4="R&amp;T Level 5 - Clinical Lecturers (Vet School)",SUMIF(Points_Lookup!$M:$M,$B18,Points_Lookup!$Q:$Q),IF($B$4="R&amp;T Level 6 - Clinical Associate Professors and Clinical Readers (Vet School)",SUMIF(Points_Lookup!$T:$T,$B18,Points_Lookup!$X:$X),"")))</f>
        <v/>
      </c>
      <c r="T18" s="28" t="str">
        <f t="shared" ca="1" si="5"/>
        <v/>
      </c>
      <c r="V18" s="25"/>
      <c r="Y18" s="25">
        <v>10</v>
      </c>
    </row>
    <row r="19" spans="2:25" x14ac:dyDescent="0.25">
      <c r="B19" s="4">
        <f ca="1">IFERROR(INDEX(Points_Lookup!$A:$A,MATCH($Y19,Points_Lookup!$AE:$AE,0)),"")</f>
        <v>12</v>
      </c>
      <c r="C19" s="24">
        <f ca="1">IF(B19="","",IF($B$4="Apprenticeship",SUMIF(Points_Lookup!$AA:$AA,B19,Points_Lookup!$AC:$AC),IF(AND(OR($B$4="New Consultant Contract"),$B19&lt;&gt;""),INDEX(Points_Lookup!$K:$K,MATCH($B19,Points_Lookup!$J:$J,0)),IF(AND(OR($B$4="Clinical Lecturer / Medical Research Fellow",$B$4="Clinical Consultant - Old Contract (GP)"),$B19&lt;&gt;""),INDEX(Points_Lookup!$H:$H,MATCH($B19,Points_Lookup!$G:$G,0)),IF(AND(OR($B$4="APM Level 7",$B$4="R&amp;T Level 7",$B$4="APM Level 8"),B19&lt;&gt;""),INDEX(Points_Lookup!$E:$E,MATCH($Y19,Points_Lookup!$AE:$AE,0)),IF($B$4="R&amp;T Level 5 - Clinical Lecturers (Vet School)",SUMIF(Points_Lookup!$M:$M,$B19,Points_Lookup!$P:$P),IF($B$4="R&amp;T Level 6 - Clinical Associate Professors and Clinical Readers (Vet School)",SUMIF(Points_Lookup!$T:$T,$B19,Points_Lookup!$W:$W),IFERROR(INDEX(Points_Lookup!$B:$B,MATCH($Y19,Points_Lookup!$AE:$AE,0)),""))))))))</f>
        <v>18734</v>
      </c>
      <c r="D19" s="39"/>
      <c r="E19" s="24">
        <f ca="1">IF($B19="","",IF(AND($B$4="Salary Points 2 to 57",B19&lt;Thresholds_Rates!$C$16),"-",IF(SUMIF(Grades!$A:$A,$B$4,Grades!$BO:$BO)=0,"-",IF(AND($B$4="Salary Points 2 to 57",B19&gt;=Thresholds_Rates!$C$16),$C19*Thresholds_Rates!$F$15,IF(AND(OR($B$4="New Consultant Contract"),$B19&lt;&gt;""),$C19*Thresholds_Rates!$F$15,IF(AND(OR($B$4="Clinical Lecturer / Medical Research Fellow",$B$4="Clinical Consultant - Old Contract (GP)"),$B19&lt;&gt;""),$C19*Thresholds_Rates!$F$15,IF(OR($B$4="APM Level 7",$B$4="R&amp;T Level 7"),$C19*Thresholds_Rates!$F$15,IF(SUMIF(Grades!$A:$A,$B$4,Grades!$BO:$BO)=1,$C19*Thresholds_Rates!$F$15,""))))))))</f>
        <v>3372.12</v>
      </c>
      <c r="F19" s="24">
        <f ca="1">IF(B19="","",IF($B$4="Salary Points 2 to 57","-",IF(SUMIF(Grades!$A:$A,$B$4,Grades!$BP:$BP)=0,"-",IF(AND(OR($B$4="New Consultant Contract"),$B19&lt;&gt;""),$C19*Thresholds_Rates!$F$16,IF(AND(OR($B$4="Clinical Lecturer / Medical Research Fellow",$B$4="Clinical Consultant - Old Contract (GP)"),$B19&lt;&gt;""),$C19*Thresholds_Rates!$F$16,IF(AND(OR($B$4="APM Level 7",$B$4="R&amp;T Level 7"),E19&lt;&gt;""),$C19*Thresholds_Rates!$F$16,IF(SUMIF(Grades!$A:$A,$B$4,Grades!$BP:$BP)=1,$C19*Thresholds_Rates!$F$16,"")))))))</f>
        <v>2678.962</v>
      </c>
      <c r="G19" s="24">
        <f ca="1">IF($B$4="Apprenticeship","-",IF(B19="","",IF(SUMIF(Grades!$A:$A,$B$4,Grades!$BQ:$BQ)=0,"-",IF(AND($B$4="Salary Points 2 to 57",B19&gt;Thresholds_Rates!$C$17),"-",IF(AND($B$4="Salary Points 2 to 57",B19&lt;=Thresholds_Rates!$C$17),$C19*Thresholds_Rates!$F$17,IF(AND(OR($B$4="New Consultant Contract"),$B19&lt;&gt;""),$C19*Thresholds_Rates!$F$17,IF(AND(OR($B$4="Clinical Lecturer / Medical Research Fellow",$B$4="Clinical Consultant - Old Contract (GP)"),$B19&lt;&gt;""),$C19*Thresholds_Rates!$F$17,IF(AND(OR($B$4="APM Level 7",$B$4="R&amp;T Level 7"),F19&lt;&gt;""),$C19*Thresholds_Rates!$F$17,IF(SUMIF(Grades!$A:$A,$B$4,Grades!$BQ:$BQ)=1,$C19*Thresholds_Rates!$F$17,"")))))))))</f>
        <v>7306.26</v>
      </c>
      <c r="H19" s="24">
        <f ca="1">IF($B19="","",ROUND(($C19-(Thresholds_Rates!$C$5*12))*Thresholds_Rates!$C$10,0))</f>
        <v>1466</v>
      </c>
      <c r="I19" s="24">
        <f ca="1">IF(B19="","",IF(AND($B$4="Salary Points 2 to 57",B19&gt;Thresholds_Rates!$C$17),"-",IF(SUMIF(Grades!$A:$A,$B$4,Grades!$BR:$BR)=0,"-",IF(AND($B$4="Salary Points 2 to 57",B19&lt;=Thresholds_Rates!$C$17),$C19*Thresholds_Rates!$F$18,IF(AND(OR($B$4="New Consultant Contract"),$B19&lt;&gt;""),$C19*Thresholds_Rates!$F$18,IF(AND(OR($B$4="Clinical Lecturer / Medical Research Fellow",$B$4="Clinical Consultant - Old Contract (GP)"),$B19&lt;&gt;""),$C19*Thresholds_Rates!$F$18,IF(AND(OR($B$4="APM Level 7",$B$4="R&amp;T Level 7"),H19&lt;&gt;""),$C19*Thresholds_Rates!$F$18,IF(SUMIF(Grades!$A:$A,$B$4,Grades!$BQ:$BQ)=1,$C19*Thresholds_Rates!$F$18,""))))))))</f>
        <v>1873.4</v>
      </c>
      <c r="J19" s="4"/>
      <c r="K19" s="24">
        <f t="shared" ca="1" si="0"/>
        <v>23572.12</v>
      </c>
      <c r="L19" s="24">
        <f t="shared" ca="1" si="1"/>
        <v>22878.962</v>
      </c>
      <c r="M19" s="24">
        <f t="shared" ca="1" si="2"/>
        <v>27506.260000000002</v>
      </c>
      <c r="N19" s="24">
        <f t="shared" ca="1" si="3"/>
        <v>22073.4</v>
      </c>
      <c r="O19" s="24">
        <f t="shared" ca="1" si="4"/>
        <v>20200</v>
      </c>
      <c r="Q19" s="27" t="str">
        <f ca="1">IF(B19="","",IF($B$4="R&amp;T Level 5 - Clinical Lecturers (Vet School)",SUMIF(Points_Lookup!$M:$M,$B19,Points_Lookup!$N:$N),IF($B$4="R&amp;T Level 6 - Clinical Associate Professors and Clinical Readers (Vet School)",SUMIF(Points_Lookup!$T:$T,$B19,Points_Lookup!$U:$U),"")))</f>
        <v/>
      </c>
      <c r="R19" s="28" t="str">
        <f ca="1">IF(B19="","",IF($B$4="R&amp;T Level 5 - Clinical Lecturers (Vet School)",$C19-SUMIF(Points_Lookup!$M:$M,$B19,Points_Lookup!$O:$O),IF($B$4="R&amp;T Level 6 - Clinical Associate Professors and Clinical Readers (Vet School)",$C19-SUMIF(Points_Lookup!$T:$T,$B19,Points_Lookup!$V:$V),"")))</f>
        <v/>
      </c>
      <c r="S19" s="27" t="str">
        <f ca="1">IF(B19="","",IF($B$4="R&amp;T Level 5 - Clinical Lecturers (Vet School)",SUMIF(Points_Lookup!$M:$M,$B19,Points_Lookup!$Q:$Q),IF($B$4="R&amp;T Level 6 - Clinical Associate Professors and Clinical Readers (Vet School)",SUMIF(Points_Lookup!$T:$T,$B19,Points_Lookup!$X:$X),"")))</f>
        <v/>
      </c>
      <c r="T19" s="28" t="str">
        <f t="shared" ca="1" si="5"/>
        <v/>
      </c>
      <c r="Y19" s="25">
        <v>11</v>
      </c>
    </row>
    <row r="20" spans="2:25" x14ac:dyDescent="0.25">
      <c r="B20" s="4">
        <f ca="1">IFERROR(INDEX(Points_Lookup!$A:$A,MATCH($Y20,Points_Lookup!$AE:$AE,0)),"")</f>
        <v>13</v>
      </c>
      <c r="C20" s="24">
        <f ca="1">IF(B20="","",IF($B$4="Apprenticeship",SUMIF(Points_Lookup!$AA:$AA,B20,Points_Lookup!$AC:$AC),IF(AND(OR($B$4="New Consultant Contract"),$B20&lt;&gt;""),INDEX(Points_Lookup!$K:$K,MATCH($B20,Points_Lookup!$J:$J,0)),IF(AND(OR($B$4="Clinical Lecturer / Medical Research Fellow",$B$4="Clinical Consultant - Old Contract (GP)"),$B20&lt;&gt;""),INDEX(Points_Lookup!$H:$H,MATCH($B20,Points_Lookup!$G:$G,0)),IF(AND(OR($B$4="APM Level 7",$B$4="R&amp;T Level 7",$B$4="APM Level 8"),B20&lt;&gt;""),INDEX(Points_Lookup!$E:$E,MATCH($Y20,Points_Lookup!$AE:$AE,0)),IF($B$4="R&amp;T Level 5 - Clinical Lecturers (Vet School)",SUMIF(Points_Lookup!$M:$M,$B20,Points_Lookup!$P:$P),IF($B$4="R&amp;T Level 6 - Clinical Associate Professors and Clinical Readers (Vet School)",SUMIF(Points_Lookup!$T:$T,$B20,Points_Lookup!$W:$W),IFERROR(INDEX(Points_Lookup!$B:$B,MATCH($Y20,Points_Lookup!$AE:$AE,0)),""))))))))</f>
        <v>19273</v>
      </c>
      <c r="D20" s="39"/>
      <c r="E20" s="24">
        <f ca="1">IF($B20="","",IF(AND($B$4="Salary Points 2 to 57",B20&lt;Thresholds_Rates!$C$16),"-",IF(SUMIF(Grades!$A:$A,$B$4,Grades!$BO:$BO)=0,"-",IF(AND($B$4="Salary Points 2 to 57",B20&gt;=Thresholds_Rates!$C$16),$C20*Thresholds_Rates!$F$15,IF(AND(OR($B$4="New Consultant Contract"),$B20&lt;&gt;""),$C20*Thresholds_Rates!$F$15,IF(AND(OR($B$4="Clinical Lecturer / Medical Research Fellow",$B$4="Clinical Consultant - Old Contract (GP)"),$B20&lt;&gt;""),$C20*Thresholds_Rates!$F$15,IF(OR($B$4="APM Level 7",$B$4="R&amp;T Level 7"),$C20*Thresholds_Rates!$F$15,IF(SUMIF(Grades!$A:$A,$B$4,Grades!$BO:$BO)=1,$C20*Thresholds_Rates!$F$15,""))))))))</f>
        <v>3469.14</v>
      </c>
      <c r="F20" s="24">
        <f ca="1">IF(B20="","",IF($B$4="Salary Points 2 to 57","-",IF(SUMIF(Grades!$A:$A,$B$4,Grades!$BP:$BP)=0,"-",IF(AND(OR($B$4="New Consultant Contract"),$B20&lt;&gt;""),$C20*Thresholds_Rates!$F$16,IF(AND(OR($B$4="Clinical Lecturer / Medical Research Fellow",$B$4="Clinical Consultant - Old Contract (GP)"),$B20&lt;&gt;""),$C20*Thresholds_Rates!$F$16,IF(AND(OR($B$4="APM Level 7",$B$4="R&amp;T Level 7"),E20&lt;&gt;""),$C20*Thresholds_Rates!$F$16,IF(SUMIF(Grades!$A:$A,$B$4,Grades!$BP:$BP)=1,$C20*Thresholds_Rates!$F$16,"")))))))</f>
        <v>2756.0389999999998</v>
      </c>
      <c r="G20" s="24">
        <f ca="1">IF($B$4="Apprenticeship","-",IF(B20="","",IF(SUMIF(Grades!$A:$A,$B$4,Grades!$BQ:$BQ)=0,"-",IF(AND($B$4="Salary Points 2 to 57",B20&gt;Thresholds_Rates!$C$17),"-",IF(AND($B$4="Salary Points 2 to 57",B20&lt;=Thresholds_Rates!$C$17),$C20*Thresholds_Rates!$F$17,IF(AND(OR($B$4="New Consultant Contract"),$B20&lt;&gt;""),$C20*Thresholds_Rates!$F$17,IF(AND(OR($B$4="Clinical Lecturer / Medical Research Fellow",$B$4="Clinical Consultant - Old Contract (GP)"),$B20&lt;&gt;""),$C20*Thresholds_Rates!$F$17,IF(AND(OR($B$4="APM Level 7",$B$4="R&amp;T Level 7"),F20&lt;&gt;""),$C20*Thresholds_Rates!$F$17,IF(SUMIF(Grades!$A:$A,$B$4,Grades!$BQ:$BQ)=1,$C20*Thresholds_Rates!$F$17,"")))))))))</f>
        <v>7516.47</v>
      </c>
      <c r="H20" s="24">
        <f ca="1">IF($B20="","",ROUND(($C20-(Thresholds_Rates!$C$5*12))*Thresholds_Rates!$C$10,0))</f>
        <v>1540</v>
      </c>
      <c r="I20" s="24">
        <f ca="1">IF(B20="","",IF(AND($B$4="Salary Points 2 to 57",B20&gt;Thresholds_Rates!$C$17),"-",IF(SUMIF(Grades!$A:$A,$B$4,Grades!$BR:$BR)=0,"-",IF(AND($B$4="Salary Points 2 to 57",B20&lt;=Thresholds_Rates!$C$17),$C20*Thresholds_Rates!$F$18,IF(AND(OR($B$4="New Consultant Contract"),$B20&lt;&gt;""),$C20*Thresholds_Rates!$F$18,IF(AND(OR($B$4="Clinical Lecturer / Medical Research Fellow",$B$4="Clinical Consultant - Old Contract (GP)"),$B20&lt;&gt;""),$C20*Thresholds_Rates!$F$18,IF(AND(OR($B$4="APM Level 7",$B$4="R&amp;T Level 7"),H20&lt;&gt;""),$C20*Thresholds_Rates!$F$18,IF(SUMIF(Grades!$A:$A,$B$4,Grades!$BQ:$BQ)=1,$C20*Thresholds_Rates!$F$18,""))))))))</f>
        <v>1927.3000000000002</v>
      </c>
      <c r="J20" s="4"/>
      <c r="K20" s="24">
        <f t="shared" ca="1" si="0"/>
        <v>24282.14</v>
      </c>
      <c r="L20" s="24">
        <f t="shared" ca="1" si="1"/>
        <v>23569.039000000001</v>
      </c>
      <c r="M20" s="24">
        <f t="shared" ca="1" si="2"/>
        <v>28329.47</v>
      </c>
      <c r="N20" s="24">
        <f t="shared" ca="1" si="3"/>
        <v>22740.3</v>
      </c>
      <c r="O20" s="24">
        <f t="shared" ca="1" si="4"/>
        <v>20813</v>
      </c>
      <c r="Q20" s="27" t="str">
        <f ca="1">IF(B20="","",IF($B$4="R&amp;T Level 5 - Clinical Lecturers (Vet School)",SUMIF(Points_Lookup!$M:$M,$B20,Points_Lookup!$N:$N),IF($B$4="R&amp;T Level 6 - Clinical Associate Professors and Clinical Readers (Vet School)",SUMIF(Points_Lookup!$T:$T,$B20,Points_Lookup!$U:$U),"")))</f>
        <v/>
      </c>
      <c r="R20" s="28" t="str">
        <f ca="1">IF(B20="","",IF($B$4="R&amp;T Level 5 - Clinical Lecturers (Vet School)",$C20-SUMIF(Points_Lookup!$M:$M,$B20,Points_Lookup!$O:$O),IF($B$4="R&amp;T Level 6 - Clinical Associate Professors and Clinical Readers (Vet School)",$C20-SUMIF(Points_Lookup!$T:$T,$B20,Points_Lookup!$V:$V),"")))</f>
        <v/>
      </c>
      <c r="S20" s="27" t="str">
        <f ca="1">IF(B20="","",IF($B$4="R&amp;T Level 5 - Clinical Lecturers (Vet School)",SUMIF(Points_Lookup!$M:$M,$B20,Points_Lookup!$Q:$Q),IF($B$4="R&amp;T Level 6 - Clinical Associate Professors and Clinical Readers (Vet School)",SUMIF(Points_Lookup!$T:$T,$B20,Points_Lookup!$X:$X),"")))</f>
        <v/>
      </c>
      <c r="T20" s="28" t="str">
        <f t="shared" ca="1" si="5"/>
        <v/>
      </c>
      <c r="Y20" s="25">
        <v>12</v>
      </c>
    </row>
    <row r="21" spans="2:25" x14ac:dyDescent="0.25">
      <c r="B21" s="4">
        <f ca="1">IFERROR(INDEX(Points_Lookup!$A:$A,MATCH($Y21,Points_Lookup!$AE:$AE,0)),"")</f>
        <v>14</v>
      </c>
      <c r="C21" s="24">
        <f ca="1">IF(B21="","",IF($B$4="Apprenticeship",SUMIF(Points_Lookup!$AA:$AA,B21,Points_Lookup!$AC:$AC),IF(AND(OR($B$4="New Consultant Contract"),$B21&lt;&gt;""),INDEX(Points_Lookup!$K:$K,MATCH($B21,Points_Lookup!$J:$J,0)),IF(AND(OR($B$4="Clinical Lecturer / Medical Research Fellow",$B$4="Clinical Consultant - Old Contract (GP)"),$B21&lt;&gt;""),INDEX(Points_Lookup!$H:$H,MATCH($B21,Points_Lookup!$G:$G,0)),IF(AND(OR($B$4="APM Level 7",$B$4="R&amp;T Level 7",$B$4="APM Level 8"),B21&lt;&gt;""),INDEX(Points_Lookup!$E:$E,MATCH($Y21,Points_Lookup!$AE:$AE,0)),IF($B$4="R&amp;T Level 5 - Clinical Lecturers (Vet School)",SUMIF(Points_Lookup!$M:$M,$B21,Points_Lookup!$P:$P),IF($B$4="R&amp;T Level 6 - Clinical Associate Professors and Clinical Readers (Vet School)",SUMIF(Points_Lookup!$T:$T,$B21,Points_Lookup!$W:$W),IFERROR(INDEX(Points_Lookup!$B:$B,MATCH($Y21,Points_Lookup!$AE:$AE,0)),""))))))))</f>
        <v>19828</v>
      </c>
      <c r="D21" s="39"/>
      <c r="E21" s="24">
        <f ca="1">IF($B21="","",IF(AND($B$4="Salary Points 2 to 57",B21&lt;Thresholds_Rates!$C$16),"-",IF(SUMIF(Grades!$A:$A,$B$4,Grades!$BO:$BO)=0,"-",IF(AND($B$4="Salary Points 2 to 57",B21&gt;=Thresholds_Rates!$C$16),$C21*Thresholds_Rates!$F$15,IF(AND(OR($B$4="New Consultant Contract"),$B21&lt;&gt;""),$C21*Thresholds_Rates!$F$15,IF(AND(OR($B$4="Clinical Lecturer / Medical Research Fellow",$B$4="Clinical Consultant - Old Contract (GP)"),$B21&lt;&gt;""),$C21*Thresholds_Rates!$F$15,IF(OR($B$4="APM Level 7",$B$4="R&amp;T Level 7"),$C21*Thresholds_Rates!$F$15,IF(SUMIF(Grades!$A:$A,$B$4,Grades!$BO:$BO)=1,$C21*Thresholds_Rates!$F$15,""))))))))</f>
        <v>3569.04</v>
      </c>
      <c r="F21" s="24">
        <f ca="1">IF(B21="","",IF($B$4="Salary Points 2 to 57","-",IF(SUMIF(Grades!$A:$A,$B$4,Grades!$BP:$BP)=0,"-",IF(AND(OR($B$4="New Consultant Contract"),$B21&lt;&gt;""),$C21*Thresholds_Rates!$F$16,IF(AND(OR($B$4="Clinical Lecturer / Medical Research Fellow",$B$4="Clinical Consultant - Old Contract (GP)"),$B21&lt;&gt;""),$C21*Thresholds_Rates!$F$16,IF(AND(OR($B$4="APM Level 7",$B$4="R&amp;T Level 7"),E21&lt;&gt;""),$C21*Thresholds_Rates!$F$16,IF(SUMIF(Grades!$A:$A,$B$4,Grades!$BP:$BP)=1,$C21*Thresholds_Rates!$F$16,"")))))))</f>
        <v>2835.4039999999995</v>
      </c>
      <c r="G21" s="24">
        <f ca="1">IF($B$4="Apprenticeship","-",IF(B21="","",IF(SUMIF(Grades!$A:$A,$B$4,Grades!$BQ:$BQ)=0,"-",IF(AND($B$4="Salary Points 2 to 57",B21&gt;Thresholds_Rates!$C$17),"-",IF(AND($B$4="Salary Points 2 to 57",B21&lt;=Thresholds_Rates!$C$17),$C21*Thresholds_Rates!$F$17,IF(AND(OR($B$4="New Consultant Contract"),$B21&lt;&gt;""),$C21*Thresholds_Rates!$F$17,IF(AND(OR($B$4="Clinical Lecturer / Medical Research Fellow",$B$4="Clinical Consultant - Old Contract (GP)"),$B21&lt;&gt;""),$C21*Thresholds_Rates!$F$17,IF(AND(OR($B$4="APM Level 7",$B$4="R&amp;T Level 7"),F21&lt;&gt;""),$C21*Thresholds_Rates!$F$17,IF(SUMIF(Grades!$A:$A,$B$4,Grades!$BQ:$BQ)=1,$C21*Thresholds_Rates!$F$17,"")))))))))</f>
        <v>7732.92</v>
      </c>
      <c r="H21" s="24">
        <f ca="1">IF($B21="","",ROUND(($C21-(Thresholds_Rates!$C$5*12))*Thresholds_Rates!$C$10,0))</f>
        <v>1617</v>
      </c>
      <c r="I21" s="24">
        <f ca="1">IF(B21="","",IF(AND($B$4="Salary Points 2 to 57",B21&gt;Thresholds_Rates!$C$17),"-",IF(SUMIF(Grades!$A:$A,$B$4,Grades!$BR:$BR)=0,"-",IF(AND($B$4="Salary Points 2 to 57",B21&lt;=Thresholds_Rates!$C$17),$C21*Thresholds_Rates!$F$18,IF(AND(OR($B$4="New Consultant Contract"),$B21&lt;&gt;""),$C21*Thresholds_Rates!$F$18,IF(AND(OR($B$4="Clinical Lecturer / Medical Research Fellow",$B$4="Clinical Consultant - Old Contract (GP)"),$B21&lt;&gt;""),$C21*Thresholds_Rates!$F$18,IF(AND(OR($B$4="APM Level 7",$B$4="R&amp;T Level 7"),H21&lt;&gt;""),$C21*Thresholds_Rates!$F$18,IF(SUMIF(Grades!$A:$A,$B$4,Grades!$BQ:$BQ)=1,$C21*Thresholds_Rates!$F$18,""))))))))</f>
        <v>1982.8000000000002</v>
      </c>
      <c r="J21" s="4"/>
      <c r="K21" s="24">
        <f t="shared" ca="1" si="0"/>
        <v>25014.04</v>
      </c>
      <c r="L21" s="24">
        <f t="shared" ca="1" si="1"/>
        <v>24280.403999999999</v>
      </c>
      <c r="M21" s="24">
        <f t="shared" ca="1" si="2"/>
        <v>29177.919999999998</v>
      </c>
      <c r="N21" s="24">
        <f t="shared" ca="1" si="3"/>
        <v>23427.8</v>
      </c>
      <c r="O21" s="24">
        <f t="shared" ca="1" si="4"/>
        <v>21445</v>
      </c>
      <c r="Q21" s="27" t="str">
        <f ca="1">IF(B21="","",IF($B$4="R&amp;T Level 5 - Clinical Lecturers (Vet School)",SUMIF(Points_Lookup!$M:$M,$B21,Points_Lookup!$N:$N),IF($B$4="R&amp;T Level 6 - Clinical Associate Professors and Clinical Readers (Vet School)",SUMIF(Points_Lookup!$T:$T,$B21,Points_Lookup!$U:$U),"")))</f>
        <v/>
      </c>
      <c r="R21" s="28" t="str">
        <f ca="1">IF(B21="","",IF($B$4="R&amp;T Level 5 - Clinical Lecturers (Vet School)",$C21-SUMIF(Points_Lookup!$M:$M,$B21,Points_Lookup!$O:$O),IF($B$4="R&amp;T Level 6 - Clinical Associate Professors and Clinical Readers (Vet School)",$C21-SUMIF(Points_Lookup!$T:$T,$B21,Points_Lookup!$V:$V),"")))</f>
        <v/>
      </c>
      <c r="S21" s="27" t="str">
        <f ca="1">IF(B21="","",IF($B$4="R&amp;T Level 5 - Clinical Lecturers (Vet School)",SUMIF(Points_Lookup!$M:$M,$B21,Points_Lookup!$Q:$Q),IF($B$4="R&amp;T Level 6 - Clinical Associate Professors and Clinical Readers (Vet School)",SUMIF(Points_Lookup!$T:$T,$B21,Points_Lookup!$X:$X),"")))</f>
        <v/>
      </c>
      <c r="T21" s="28" t="str">
        <f t="shared" ca="1" si="5"/>
        <v/>
      </c>
      <c r="Y21" s="25">
        <v>13</v>
      </c>
    </row>
    <row r="22" spans="2:25" x14ac:dyDescent="0.25">
      <c r="B22" s="4">
        <f ca="1">IFERROR(INDEX(Points_Lookup!$A:$A,MATCH($Y22,Points_Lookup!$AE:$AE,0)),"")</f>
        <v>15</v>
      </c>
      <c r="C22" s="24">
        <f ca="1">IF(B22="","",IF($B$4="Apprenticeship",SUMIF(Points_Lookup!$AA:$AA,B22,Points_Lookup!$AC:$AC),IF(AND(OR($B$4="New Consultant Contract"),$B22&lt;&gt;""),INDEX(Points_Lookup!$K:$K,MATCH($B22,Points_Lookup!$J:$J,0)),IF(AND(OR($B$4="Clinical Lecturer / Medical Research Fellow",$B$4="Clinical Consultant - Old Contract (GP)"),$B22&lt;&gt;""),INDEX(Points_Lookup!$H:$H,MATCH($B22,Points_Lookup!$G:$G,0)),IF(AND(OR($B$4="APM Level 7",$B$4="R&amp;T Level 7",$B$4="APM Level 8"),B22&lt;&gt;""),INDEX(Points_Lookup!$E:$E,MATCH($Y22,Points_Lookup!$AE:$AE,0)),IF($B$4="R&amp;T Level 5 - Clinical Lecturers (Vet School)",SUMIF(Points_Lookup!$M:$M,$B22,Points_Lookup!$P:$P),IF($B$4="R&amp;T Level 6 - Clinical Associate Professors and Clinical Readers (Vet School)",SUMIF(Points_Lookup!$T:$T,$B22,Points_Lookup!$W:$W),IFERROR(INDEX(Points_Lookup!$B:$B,MATCH($Y22,Points_Lookup!$AE:$AE,0)),""))))))))</f>
        <v>20400</v>
      </c>
      <c r="D22" s="39"/>
      <c r="E22" s="24">
        <f ca="1">IF($B22="","",IF(AND($B$4="Salary Points 2 to 57",B22&lt;Thresholds_Rates!$C$16),"-",IF(SUMIF(Grades!$A:$A,$B$4,Grades!$BO:$BO)=0,"-",IF(AND($B$4="Salary Points 2 to 57",B22&gt;=Thresholds_Rates!$C$16),$C22*Thresholds_Rates!$F$15,IF(AND(OR($B$4="New Consultant Contract"),$B22&lt;&gt;""),$C22*Thresholds_Rates!$F$15,IF(AND(OR($B$4="Clinical Lecturer / Medical Research Fellow",$B$4="Clinical Consultant - Old Contract (GP)"),$B22&lt;&gt;""),$C22*Thresholds_Rates!$F$15,IF(OR($B$4="APM Level 7",$B$4="R&amp;T Level 7"),$C22*Thresholds_Rates!$F$15,IF(SUMIF(Grades!$A:$A,$B$4,Grades!$BO:$BO)=1,$C22*Thresholds_Rates!$F$15,""))))))))</f>
        <v>3672</v>
      </c>
      <c r="F22" s="24">
        <f ca="1">IF(B22="","",IF($B$4="Salary Points 2 to 57","-",IF(SUMIF(Grades!$A:$A,$B$4,Grades!$BP:$BP)=0,"-",IF(AND(OR($B$4="New Consultant Contract"),$B22&lt;&gt;""),$C22*Thresholds_Rates!$F$16,IF(AND(OR($B$4="Clinical Lecturer / Medical Research Fellow",$B$4="Clinical Consultant - Old Contract (GP)"),$B22&lt;&gt;""),$C22*Thresholds_Rates!$F$16,IF(AND(OR($B$4="APM Level 7",$B$4="R&amp;T Level 7"),E22&lt;&gt;""),$C22*Thresholds_Rates!$F$16,IF(SUMIF(Grades!$A:$A,$B$4,Grades!$BP:$BP)=1,$C22*Thresholds_Rates!$F$16,"")))))))</f>
        <v>2917.2</v>
      </c>
      <c r="G22" s="24">
        <f ca="1">IF($B$4="Apprenticeship","-",IF(B22="","",IF(SUMIF(Grades!$A:$A,$B$4,Grades!$BQ:$BQ)=0,"-",IF(AND($B$4="Salary Points 2 to 57",B22&gt;Thresholds_Rates!$C$17),"-",IF(AND($B$4="Salary Points 2 to 57",B22&lt;=Thresholds_Rates!$C$17),$C22*Thresholds_Rates!$F$17,IF(AND(OR($B$4="New Consultant Contract"),$B22&lt;&gt;""),$C22*Thresholds_Rates!$F$17,IF(AND(OR($B$4="Clinical Lecturer / Medical Research Fellow",$B$4="Clinical Consultant - Old Contract (GP)"),$B22&lt;&gt;""),$C22*Thresholds_Rates!$F$17,IF(AND(OR($B$4="APM Level 7",$B$4="R&amp;T Level 7"),F22&lt;&gt;""),$C22*Thresholds_Rates!$F$17,IF(SUMIF(Grades!$A:$A,$B$4,Grades!$BQ:$BQ)=1,$C22*Thresholds_Rates!$F$17,"")))))))))</f>
        <v>7956</v>
      </c>
      <c r="H22" s="24">
        <f ca="1">IF($B22="","",ROUND(($C22-(Thresholds_Rates!$C$5*12))*Thresholds_Rates!$C$10,0))</f>
        <v>1696</v>
      </c>
      <c r="I22" s="24">
        <f ca="1">IF(B22="","",IF(AND($B$4="Salary Points 2 to 57",B22&gt;Thresholds_Rates!$C$17),"-",IF(SUMIF(Grades!$A:$A,$B$4,Grades!$BR:$BR)=0,"-",IF(AND($B$4="Salary Points 2 to 57",B22&lt;=Thresholds_Rates!$C$17),$C22*Thresholds_Rates!$F$18,IF(AND(OR($B$4="New Consultant Contract"),$B22&lt;&gt;""),$C22*Thresholds_Rates!$F$18,IF(AND(OR($B$4="Clinical Lecturer / Medical Research Fellow",$B$4="Clinical Consultant - Old Contract (GP)"),$B22&lt;&gt;""),$C22*Thresholds_Rates!$F$18,IF(AND(OR($B$4="APM Level 7",$B$4="R&amp;T Level 7"),H22&lt;&gt;""),$C22*Thresholds_Rates!$F$18,IF(SUMIF(Grades!$A:$A,$B$4,Grades!$BQ:$BQ)=1,$C22*Thresholds_Rates!$F$18,""))))))))</f>
        <v>2040</v>
      </c>
      <c r="J22" s="4"/>
      <c r="K22" s="24">
        <f t="shared" ca="1" si="0"/>
        <v>25768</v>
      </c>
      <c r="L22" s="24">
        <f t="shared" ca="1" si="1"/>
        <v>25013.200000000001</v>
      </c>
      <c r="M22" s="24">
        <f t="shared" ca="1" si="2"/>
        <v>30052</v>
      </c>
      <c r="N22" s="24">
        <f t="shared" ca="1" si="3"/>
        <v>24136</v>
      </c>
      <c r="O22" s="24">
        <f t="shared" ca="1" si="4"/>
        <v>22096</v>
      </c>
      <c r="Q22" s="27" t="str">
        <f ca="1">IF(B22="","",IF($B$4="R&amp;T Level 5 - Clinical Lecturers (Vet School)",SUMIF(Points_Lookup!$M:$M,$B22,Points_Lookup!$N:$N),IF($B$4="R&amp;T Level 6 - Clinical Associate Professors and Clinical Readers (Vet School)",SUMIF(Points_Lookup!$T:$T,$B22,Points_Lookup!$U:$U),"")))</f>
        <v/>
      </c>
      <c r="R22" s="28" t="str">
        <f ca="1">IF(B22="","",IF($B$4="R&amp;T Level 5 - Clinical Lecturers (Vet School)",$C22-SUMIF(Points_Lookup!$M:$M,$B22,Points_Lookup!$O:$O),IF($B$4="R&amp;T Level 6 - Clinical Associate Professors and Clinical Readers (Vet School)",$C22-SUMIF(Points_Lookup!$T:$T,$B22,Points_Lookup!$V:$V),"")))</f>
        <v/>
      </c>
      <c r="S22" s="27" t="str">
        <f ca="1">IF(B22="","",IF($B$4="R&amp;T Level 5 - Clinical Lecturers (Vet School)",SUMIF(Points_Lookup!$M:$M,$B22,Points_Lookup!$Q:$Q),IF($B$4="R&amp;T Level 6 - Clinical Associate Professors and Clinical Readers (Vet School)",SUMIF(Points_Lookup!$T:$T,$B22,Points_Lookup!$X:$X),"")))</f>
        <v/>
      </c>
      <c r="T22" s="28" t="str">
        <f t="shared" ca="1" si="5"/>
        <v/>
      </c>
      <c r="Y22" s="25">
        <v>14</v>
      </c>
    </row>
    <row r="23" spans="2:25" x14ac:dyDescent="0.25">
      <c r="B23" s="4">
        <f ca="1">IFERROR(INDEX(Points_Lookup!$A:$A,MATCH($Y23,Points_Lookup!$AE:$AE,0)),"")</f>
        <v>16</v>
      </c>
      <c r="C23" s="24">
        <f ca="1">IF(B23="","",IF($B$4="Apprenticeship",SUMIF(Points_Lookup!$AA:$AA,B23,Points_Lookup!$AC:$AC),IF(AND(OR($B$4="New Consultant Contract"),$B23&lt;&gt;""),INDEX(Points_Lookup!$K:$K,MATCH($B23,Points_Lookup!$J:$J,0)),IF(AND(OR($B$4="Clinical Lecturer / Medical Research Fellow",$B$4="Clinical Consultant - Old Contract (GP)"),$B23&lt;&gt;""),INDEX(Points_Lookup!$H:$H,MATCH($B23,Points_Lookup!$G:$G,0)),IF(AND(OR($B$4="APM Level 7",$B$4="R&amp;T Level 7",$B$4="APM Level 8"),B23&lt;&gt;""),INDEX(Points_Lookup!$E:$E,MATCH($Y23,Points_Lookup!$AE:$AE,0)),IF($B$4="R&amp;T Level 5 - Clinical Lecturers (Vet School)",SUMIF(Points_Lookup!$M:$M,$B23,Points_Lookup!$P:$P),IF($B$4="R&amp;T Level 6 - Clinical Associate Professors and Clinical Readers (Vet School)",SUMIF(Points_Lookup!$T:$T,$B23,Points_Lookup!$W:$W),IFERROR(INDEX(Points_Lookup!$B:$B,MATCH($Y23,Points_Lookup!$AE:$AE,0)),""))))))))</f>
        <v>20989</v>
      </c>
      <c r="D23" s="39"/>
      <c r="E23" s="24">
        <f ca="1">IF($B23="","",IF(AND($B$4="Salary Points 2 to 57",B23&lt;Thresholds_Rates!$C$16),"-",IF(SUMIF(Grades!$A:$A,$B$4,Grades!$BO:$BO)=0,"-",IF(AND($B$4="Salary Points 2 to 57",B23&gt;=Thresholds_Rates!$C$16),$C23*Thresholds_Rates!$F$15,IF(AND(OR($B$4="New Consultant Contract"),$B23&lt;&gt;""),$C23*Thresholds_Rates!$F$15,IF(AND(OR($B$4="Clinical Lecturer / Medical Research Fellow",$B$4="Clinical Consultant - Old Contract (GP)"),$B23&lt;&gt;""),$C23*Thresholds_Rates!$F$15,IF(OR($B$4="APM Level 7",$B$4="R&amp;T Level 7"),$C23*Thresholds_Rates!$F$15,IF(SUMIF(Grades!$A:$A,$B$4,Grades!$BO:$BO)=1,$C23*Thresholds_Rates!$F$15,""))))))))</f>
        <v>3778.02</v>
      </c>
      <c r="F23" s="24">
        <f ca="1">IF(B23="","",IF($B$4="Salary Points 2 to 57","-",IF(SUMIF(Grades!$A:$A,$B$4,Grades!$BP:$BP)=0,"-",IF(AND(OR($B$4="New Consultant Contract"),$B23&lt;&gt;""),$C23*Thresholds_Rates!$F$16,IF(AND(OR($B$4="Clinical Lecturer / Medical Research Fellow",$B$4="Clinical Consultant - Old Contract (GP)"),$B23&lt;&gt;""),$C23*Thresholds_Rates!$F$16,IF(AND(OR($B$4="APM Level 7",$B$4="R&amp;T Level 7"),E23&lt;&gt;""),$C23*Thresholds_Rates!$F$16,IF(SUMIF(Grades!$A:$A,$B$4,Grades!$BP:$BP)=1,$C23*Thresholds_Rates!$F$16,"")))))))</f>
        <v>3001.4269999999997</v>
      </c>
      <c r="G23" s="24">
        <f ca="1">IF($B$4="Apprenticeship","-",IF(B23="","",IF(SUMIF(Grades!$A:$A,$B$4,Grades!$BQ:$BQ)=0,"-",IF(AND($B$4="Salary Points 2 to 57",B23&gt;Thresholds_Rates!$C$17),"-",IF(AND($B$4="Salary Points 2 to 57",B23&lt;=Thresholds_Rates!$C$17),$C23*Thresholds_Rates!$F$17,IF(AND(OR($B$4="New Consultant Contract"),$B23&lt;&gt;""),$C23*Thresholds_Rates!$F$17,IF(AND(OR($B$4="Clinical Lecturer / Medical Research Fellow",$B$4="Clinical Consultant - Old Contract (GP)"),$B23&lt;&gt;""),$C23*Thresholds_Rates!$F$17,IF(AND(OR($B$4="APM Level 7",$B$4="R&amp;T Level 7"),F23&lt;&gt;""),$C23*Thresholds_Rates!$F$17,IF(SUMIF(Grades!$A:$A,$B$4,Grades!$BQ:$BQ)=1,$C23*Thresholds_Rates!$F$17,"")))))))))</f>
        <v>8185.71</v>
      </c>
      <c r="H23" s="24">
        <f ca="1">IF($B23="","",ROUND(($C23-(Thresholds_Rates!$C$5*12))*Thresholds_Rates!$C$10,0))</f>
        <v>1777</v>
      </c>
      <c r="I23" s="24">
        <f ca="1">IF(B23="","",IF(AND($B$4="Salary Points 2 to 57",B23&gt;Thresholds_Rates!$C$17),"-",IF(SUMIF(Grades!$A:$A,$B$4,Grades!$BR:$BR)=0,"-",IF(AND($B$4="Salary Points 2 to 57",B23&lt;=Thresholds_Rates!$C$17),$C23*Thresholds_Rates!$F$18,IF(AND(OR($B$4="New Consultant Contract"),$B23&lt;&gt;""),$C23*Thresholds_Rates!$F$18,IF(AND(OR($B$4="Clinical Lecturer / Medical Research Fellow",$B$4="Clinical Consultant - Old Contract (GP)"),$B23&lt;&gt;""),$C23*Thresholds_Rates!$F$18,IF(AND(OR($B$4="APM Level 7",$B$4="R&amp;T Level 7"),H23&lt;&gt;""),$C23*Thresholds_Rates!$F$18,IF(SUMIF(Grades!$A:$A,$B$4,Grades!$BQ:$BQ)=1,$C23*Thresholds_Rates!$F$18,""))))))))</f>
        <v>2098.9</v>
      </c>
      <c r="J23" s="4"/>
      <c r="K23" s="24">
        <f t="shared" ca="1" si="0"/>
        <v>26544.02</v>
      </c>
      <c r="L23" s="24">
        <f t="shared" ca="1" si="1"/>
        <v>25767.427</v>
      </c>
      <c r="M23" s="24">
        <f t="shared" ca="1" si="2"/>
        <v>30951.71</v>
      </c>
      <c r="N23" s="24">
        <f t="shared" ca="1" si="3"/>
        <v>24864.9</v>
      </c>
      <c r="O23" s="24">
        <f t="shared" ca="1" si="4"/>
        <v>22766</v>
      </c>
      <c r="Q23" s="27" t="str">
        <f ca="1">IF(B23="","",IF($B$4="R&amp;T Level 5 - Clinical Lecturers (Vet School)",SUMIF(Points_Lookup!$M:$M,$B23,Points_Lookup!$N:$N),IF($B$4="R&amp;T Level 6 - Clinical Associate Professors and Clinical Readers (Vet School)",SUMIF(Points_Lookup!$T:$T,$B23,Points_Lookup!$U:$U),"")))</f>
        <v/>
      </c>
      <c r="R23" s="28" t="str">
        <f ca="1">IF(B23="","",IF($B$4="R&amp;T Level 5 - Clinical Lecturers (Vet School)",$C23-SUMIF(Points_Lookup!$M:$M,$B23,Points_Lookup!$O:$O),IF($B$4="R&amp;T Level 6 - Clinical Associate Professors and Clinical Readers (Vet School)",$C23-SUMIF(Points_Lookup!$T:$T,$B23,Points_Lookup!$V:$V),"")))</f>
        <v/>
      </c>
      <c r="S23" s="27" t="str">
        <f ca="1">IF(B23="","",IF($B$4="R&amp;T Level 5 - Clinical Lecturers (Vet School)",SUMIF(Points_Lookup!$M:$M,$B23,Points_Lookup!$Q:$Q),IF($B$4="R&amp;T Level 6 - Clinical Associate Professors and Clinical Readers (Vet School)",SUMIF(Points_Lookup!$T:$T,$B23,Points_Lookup!$X:$X),"")))</f>
        <v/>
      </c>
      <c r="T23" s="28" t="str">
        <f t="shared" ca="1" si="5"/>
        <v/>
      </c>
      <c r="Y23" s="25">
        <v>15</v>
      </c>
    </row>
    <row r="24" spans="2:25" x14ac:dyDescent="0.25">
      <c r="B24" s="4">
        <f ca="1">IFERROR(INDEX(Points_Lookup!$A:$A,MATCH($Y24,Points_Lookup!$AE:$AE,0)),"")</f>
        <v>17</v>
      </c>
      <c r="C24" s="24">
        <f ca="1">IF(B24="","",IF($B$4="Apprenticeship",SUMIF(Points_Lookup!$AA:$AA,B24,Points_Lookup!$AC:$AC),IF(AND(OR($B$4="New Consultant Contract"),$B24&lt;&gt;""),INDEX(Points_Lookup!$K:$K,MATCH($B24,Points_Lookup!$J:$J,0)),IF(AND(OR($B$4="Clinical Lecturer / Medical Research Fellow",$B$4="Clinical Consultant - Old Contract (GP)"),$B24&lt;&gt;""),INDEX(Points_Lookup!$H:$H,MATCH($B24,Points_Lookup!$G:$G,0)),IF(AND(OR($B$4="APM Level 7",$B$4="R&amp;T Level 7",$B$4="APM Level 8"),B24&lt;&gt;""),INDEX(Points_Lookup!$E:$E,MATCH($Y24,Points_Lookup!$AE:$AE,0)),IF($B$4="R&amp;T Level 5 - Clinical Lecturers (Vet School)",SUMIF(Points_Lookup!$M:$M,$B24,Points_Lookup!$P:$P),IF($B$4="R&amp;T Level 6 - Clinical Associate Professors and Clinical Readers (Vet School)",SUMIF(Points_Lookup!$T:$T,$B24,Points_Lookup!$W:$W),IFERROR(INDEX(Points_Lookup!$B:$B,MATCH($Y24,Points_Lookup!$AE:$AE,0)),""))))))))</f>
        <v>21605</v>
      </c>
      <c r="D24" s="39"/>
      <c r="E24" s="24">
        <f ca="1">IF($B24="","",IF(AND($B$4="Salary Points 2 to 57",B24&lt;Thresholds_Rates!$C$16),"-",IF(SUMIF(Grades!$A:$A,$B$4,Grades!$BO:$BO)=0,"-",IF(AND($B$4="Salary Points 2 to 57",B24&gt;=Thresholds_Rates!$C$16),$C24*Thresholds_Rates!$F$15,IF(AND(OR($B$4="New Consultant Contract"),$B24&lt;&gt;""),$C24*Thresholds_Rates!$F$15,IF(AND(OR($B$4="Clinical Lecturer / Medical Research Fellow",$B$4="Clinical Consultant - Old Contract (GP)"),$B24&lt;&gt;""),$C24*Thresholds_Rates!$F$15,IF(OR($B$4="APM Level 7",$B$4="R&amp;T Level 7"),$C24*Thresholds_Rates!$F$15,IF(SUMIF(Grades!$A:$A,$B$4,Grades!$BO:$BO)=1,$C24*Thresholds_Rates!$F$15,""))))))))</f>
        <v>3888.8999999999996</v>
      </c>
      <c r="F24" s="24">
        <f ca="1">IF(B24="","",IF($B$4="Salary Points 2 to 57","-",IF(SUMIF(Grades!$A:$A,$B$4,Grades!$BP:$BP)=0,"-",IF(AND(OR($B$4="New Consultant Contract"),$B24&lt;&gt;""),$C24*Thresholds_Rates!$F$16,IF(AND(OR($B$4="Clinical Lecturer / Medical Research Fellow",$B$4="Clinical Consultant - Old Contract (GP)"),$B24&lt;&gt;""),$C24*Thresholds_Rates!$F$16,IF(AND(OR($B$4="APM Level 7",$B$4="R&amp;T Level 7"),E24&lt;&gt;""),$C24*Thresholds_Rates!$F$16,IF(SUMIF(Grades!$A:$A,$B$4,Grades!$BP:$BP)=1,$C24*Thresholds_Rates!$F$16,"")))))))</f>
        <v>3089.5149999999999</v>
      </c>
      <c r="G24" s="24">
        <f ca="1">IF($B$4="Apprenticeship","-",IF(B24="","",IF(SUMIF(Grades!$A:$A,$B$4,Grades!$BQ:$BQ)=0,"-",IF(AND($B$4="Salary Points 2 to 57",B24&gt;Thresholds_Rates!$C$17),"-",IF(AND($B$4="Salary Points 2 to 57",B24&lt;=Thresholds_Rates!$C$17),$C24*Thresholds_Rates!$F$17,IF(AND(OR($B$4="New Consultant Contract"),$B24&lt;&gt;""),$C24*Thresholds_Rates!$F$17,IF(AND(OR($B$4="Clinical Lecturer / Medical Research Fellow",$B$4="Clinical Consultant - Old Contract (GP)"),$B24&lt;&gt;""),$C24*Thresholds_Rates!$F$17,IF(AND(OR($B$4="APM Level 7",$B$4="R&amp;T Level 7"),F24&lt;&gt;""),$C24*Thresholds_Rates!$F$17,IF(SUMIF(Grades!$A:$A,$B$4,Grades!$BQ:$BQ)=1,$C24*Thresholds_Rates!$F$17,"")))))))))</f>
        <v>8425.9500000000007</v>
      </c>
      <c r="H24" s="24">
        <f ca="1">IF($B24="","",ROUND(($C24-(Thresholds_Rates!$C$5*12))*Thresholds_Rates!$C$10,0))</f>
        <v>1862</v>
      </c>
      <c r="I24" s="24">
        <f ca="1">IF(B24="","",IF(AND($B$4="Salary Points 2 to 57",B24&gt;Thresholds_Rates!$C$17),"-",IF(SUMIF(Grades!$A:$A,$B$4,Grades!$BR:$BR)=0,"-",IF(AND($B$4="Salary Points 2 to 57",B24&lt;=Thresholds_Rates!$C$17),$C24*Thresholds_Rates!$F$18,IF(AND(OR($B$4="New Consultant Contract"),$B24&lt;&gt;""),$C24*Thresholds_Rates!$F$18,IF(AND(OR($B$4="Clinical Lecturer / Medical Research Fellow",$B$4="Clinical Consultant - Old Contract (GP)"),$B24&lt;&gt;""),$C24*Thresholds_Rates!$F$18,IF(AND(OR($B$4="APM Level 7",$B$4="R&amp;T Level 7"),H24&lt;&gt;""),$C24*Thresholds_Rates!$F$18,IF(SUMIF(Grades!$A:$A,$B$4,Grades!$BQ:$BQ)=1,$C24*Thresholds_Rates!$F$18,""))))))))</f>
        <v>2160.5</v>
      </c>
      <c r="J24" s="4"/>
      <c r="K24" s="24">
        <f t="shared" ca="1" si="0"/>
        <v>27355.9</v>
      </c>
      <c r="L24" s="24">
        <f t="shared" ca="1" si="1"/>
        <v>26556.514999999999</v>
      </c>
      <c r="M24" s="24">
        <f t="shared" ca="1" si="2"/>
        <v>31892.95</v>
      </c>
      <c r="N24" s="24">
        <f t="shared" ca="1" si="3"/>
        <v>25627.5</v>
      </c>
      <c r="O24" s="24">
        <f t="shared" ca="1" si="4"/>
        <v>23467</v>
      </c>
      <c r="Q24" s="27" t="str">
        <f ca="1">IF(B24="","",IF($B$4="R&amp;T Level 5 - Clinical Lecturers (Vet School)",SUMIF(Points_Lookup!$M:$M,$B24,Points_Lookup!$N:$N),IF($B$4="R&amp;T Level 6 - Clinical Associate Professors and Clinical Readers (Vet School)",SUMIF(Points_Lookup!$T:$T,$B24,Points_Lookup!$U:$U),"")))</f>
        <v/>
      </c>
      <c r="R24" s="28" t="str">
        <f ca="1">IF(B24="","",IF($B$4="R&amp;T Level 5 - Clinical Lecturers (Vet School)",$C24-SUMIF(Points_Lookup!$M:$M,$B24,Points_Lookup!$O:$O),IF($B$4="R&amp;T Level 6 - Clinical Associate Professors and Clinical Readers (Vet School)",$C24-SUMIF(Points_Lookup!$T:$T,$B24,Points_Lookup!$V:$V),"")))</f>
        <v/>
      </c>
      <c r="S24" s="27" t="str">
        <f ca="1">IF(B24="","",IF($B$4="R&amp;T Level 5 - Clinical Lecturers (Vet School)",SUMIF(Points_Lookup!$M:$M,$B24,Points_Lookup!$Q:$Q),IF($B$4="R&amp;T Level 6 - Clinical Associate Professors and Clinical Readers (Vet School)",SUMIF(Points_Lookup!$T:$T,$B24,Points_Lookup!$X:$X),"")))</f>
        <v/>
      </c>
      <c r="T24" s="28" t="str">
        <f t="shared" ca="1" si="5"/>
        <v/>
      </c>
      <c r="Y24" s="25">
        <v>16</v>
      </c>
    </row>
    <row r="25" spans="2:25" x14ac:dyDescent="0.25">
      <c r="B25" s="4">
        <f ca="1">IFERROR(INDEX(Points_Lookup!$A:$A,MATCH($Y25,Points_Lookup!$AE:$AE,0)),"")</f>
        <v>18</v>
      </c>
      <c r="C25" s="24">
        <f ca="1">IF(B25="","",IF($B$4="Apprenticeship",SUMIF(Points_Lookup!$AA:$AA,B25,Points_Lookup!$AC:$AC),IF(AND(OR($B$4="New Consultant Contract"),$B25&lt;&gt;""),INDEX(Points_Lookup!$K:$K,MATCH($B25,Points_Lookup!$J:$J,0)),IF(AND(OR($B$4="Clinical Lecturer / Medical Research Fellow",$B$4="Clinical Consultant - Old Contract (GP)"),$B25&lt;&gt;""),INDEX(Points_Lookup!$H:$H,MATCH($B25,Points_Lookup!$G:$G,0)),IF(AND(OR($B$4="APM Level 7",$B$4="R&amp;T Level 7",$B$4="APM Level 8"),B25&lt;&gt;""),INDEX(Points_Lookup!$E:$E,MATCH($Y25,Points_Lookup!$AE:$AE,0)),IF($B$4="R&amp;T Level 5 - Clinical Lecturers (Vet School)",SUMIF(Points_Lookup!$M:$M,$B25,Points_Lookup!$P:$P),IF($B$4="R&amp;T Level 6 - Clinical Associate Professors and Clinical Readers (Vet School)",SUMIF(Points_Lookup!$T:$T,$B25,Points_Lookup!$W:$W),IFERROR(INDEX(Points_Lookup!$B:$B,MATCH($Y25,Points_Lookup!$AE:$AE,0)),""))))))))</f>
        <v>22249</v>
      </c>
      <c r="D25" s="39"/>
      <c r="E25" s="24">
        <f ca="1">IF($B25="","",IF(AND($B$4="Salary Points 2 to 57",B25&lt;Thresholds_Rates!$C$16),"-",IF(SUMIF(Grades!$A:$A,$B$4,Grades!$BO:$BO)=0,"-",IF(AND($B$4="Salary Points 2 to 57",B25&gt;=Thresholds_Rates!$C$16),$C25*Thresholds_Rates!$F$15,IF(AND(OR($B$4="New Consultant Contract"),$B25&lt;&gt;""),$C25*Thresholds_Rates!$F$15,IF(AND(OR($B$4="Clinical Lecturer / Medical Research Fellow",$B$4="Clinical Consultant - Old Contract (GP)"),$B25&lt;&gt;""),$C25*Thresholds_Rates!$F$15,IF(OR($B$4="APM Level 7",$B$4="R&amp;T Level 7"),$C25*Thresholds_Rates!$F$15,IF(SUMIF(Grades!$A:$A,$B$4,Grades!$BO:$BO)=1,$C25*Thresholds_Rates!$F$15,""))))))))</f>
        <v>4004.8199999999997</v>
      </c>
      <c r="F25" s="24">
        <f ca="1">IF(B25="","",IF($B$4="Salary Points 2 to 57","-",IF(SUMIF(Grades!$A:$A,$B$4,Grades!$BP:$BP)=0,"-",IF(AND(OR($B$4="New Consultant Contract"),$B25&lt;&gt;""),$C25*Thresholds_Rates!$F$16,IF(AND(OR($B$4="Clinical Lecturer / Medical Research Fellow",$B$4="Clinical Consultant - Old Contract (GP)"),$B25&lt;&gt;""),$C25*Thresholds_Rates!$F$16,IF(AND(OR($B$4="APM Level 7",$B$4="R&amp;T Level 7"),E25&lt;&gt;""),$C25*Thresholds_Rates!$F$16,IF(SUMIF(Grades!$A:$A,$B$4,Grades!$BP:$BP)=1,$C25*Thresholds_Rates!$F$16,"")))))))</f>
        <v>3181.6069999999995</v>
      </c>
      <c r="G25" s="24">
        <f ca="1">IF($B$4="Apprenticeship","-",IF(B25="","",IF(SUMIF(Grades!$A:$A,$B$4,Grades!$BQ:$BQ)=0,"-",IF(AND($B$4="Salary Points 2 to 57",B25&gt;Thresholds_Rates!$C$17),"-",IF(AND($B$4="Salary Points 2 to 57",B25&lt;=Thresholds_Rates!$C$17),$C25*Thresholds_Rates!$F$17,IF(AND(OR($B$4="New Consultant Contract"),$B25&lt;&gt;""),$C25*Thresholds_Rates!$F$17,IF(AND(OR($B$4="Clinical Lecturer / Medical Research Fellow",$B$4="Clinical Consultant - Old Contract (GP)"),$B25&lt;&gt;""),$C25*Thresholds_Rates!$F$17,IF(AND(OR($B$4="APM Level 7",$B$4="R&amp;T Level 7"),F25&lt;&gt;""),$C25*Thresholds_Rates!$F$17,IF(SUMIF(Grades!$A:$A,$B$4,Grades!$BQ:$BQ)=1,$C25*Thresholds_Rates!$F$17,"")))))))))</f>
        <v>8677.11</v>
      </c>
      <c r="H25" s="24">
        <f ca="1">IF($B25="","",ROUND(($C25-(Thresholds_Rates!$C$5*12))*Thresholds_Rates!$C$10,0))</f>
        <v>1951</v>
      </c>
      <c r="I25" s="24">
        <f ca="1">IF(B25="","",IF(AND($B$4="Salary Points 2 to 57",B25&gt;Thresholds_Rates!$C$17),"-",IF(SUMIF(Grades!$A:$A,$B$4,Grades!$BR:$BR)=0,"-",IF(AND($B$4="Salary Points 2 to 57",B25&lt;=Thresholds_Rates!$C$17),$C25*Thresholds_Rates!$F$18,IF(AND(OR($B$4="New Consultant Contract"),$B25&lt;&gt;""),$C25*Thresholds_Rates!$F$18,IF(AND(OR($B$4="Clinical Lecturer / Medical Research Fellow",$B$4="Clinical Consultant - Old Contract (GP)"),$B25&lt;&gt;""),$C25*Thresholds_Rates!$F$18,IF(AND(OR($B$4="APM Level 7",$B$4="R&amp;T Level 7"),H25&lt;&gt;""),$C25*Thresholds_Rates!$F$18,IF(SUMIF(Grades!$A:$A,$B$4,Grades!$BQ:$BQ)=1,$C25*Thresholds_Rates!$F$18,""))))))))</f>
        <v>2224.9</v>
      </c>
      <c r="J25" s="4"/>
      <c r="K25" s="24">
        <f t="shared" ca="1" si="0"/>
        <v>28204.82</v>
      </c>
      <c r="L25" s="24">
        <f t="shared" ca="1" si="1"/>
        <v>27381.607</v>
      </c>
      <c r="M25" s="24">
        <f t="shared" ca="1" si="2"/>
        <v>32877.11</v>
      </c>
      <c r="N25" s="24">
        <f t="shared" ca="1" si="3"/>
        <v>26424.9</v>
      </c>
      <c r="O25" s="24">
        <f t="shared" ca="1" si="4"/>
        <v>24200</v>
      </c>
      <c r="Q25" s="27" t="str">
        <f ca="1">IF(B25="","",IF($B$4="R&amp;T Level 5 - Clinical Lecturers (Vet School)",SUMIF(Points_Lookup!$M:$M,$B25,Points_Lookup!$N:$N),IF($B$4="R&amp;T Level 6 - Clinical Associate Professors and Clinical Readers (Vet School)",SUMIF(Points_Lookup!$T:$T,$B25,Points_Lookup!$U:$U),"")))</f>
        <v/>
      </c>
      <c r="R25" s="28" t="str">
        <f ca="1">IF(B25="","",IF($B$4="R&amp;T Level 5 - Clinical Lecturers (Vet School)",$C25-SUMIF(Points_Lookup!$M:$M,$B25,Points_Lookup!$O:$O),IF($B$4="R&amp;T Level 6 - Clinical Associate Professors and Clinical Readers (Vet School)",$C25-SUMIF(Points_Lookup!$T:$T,$B25,Points_Lookup!$V:$V),"")))</f>
        <v/>
      </c>
      <c r="S25" s="27" t="str">
        <f ca="1">IF(B25="","",IF($B$4="R&amp;T Level 5 - Clinical Lecturers (Vet School)",SUMIF(Points_Lookup!$M:$M,$B25,Points_Lookup!$Q:$Q),IF($B$4="R&amp;T Level 6 - Clinical Associate Professors and Clinical Readers (Vet School)",SUMIF(Points_Lookup!$T:$T,$B25,Points_Lookup!$X:$X),"")))</f>
        <v/>
      </c>
      <c r="T25" s="28" t="str">
        <f t="shared" ca="1" si="5"/>
        <v/>
      </c>
      <c r="Y25" s="25">
        <v>17</v>
      </c>
    </row>
    <row r="26" spans="2:25" x14ac:dyDescent="0.25">
      <c r="B26" s="4">
        <f ca="1">IFERROR(INDEX(Points_Lookup!$A:$A,MATCH($Y26,Points_Lookup!$AE:$AE,0)),"")</f>
        <v>19</v>
      </c>
      <c r="C26" s="24">
        <f ca="1">IF(B26="","",IF($B$4="Apprenticeship",SUMIF(Points_Lookup!$AA:$AA,B26,Points_Lookup!$AC:$AC),IF(AND(OR($B$4="New Consultant Contract"),$B26&lt;&gt;""),INDEX(Points_Lookup!$K:$K,MATCH($B26,Points_Lookup!$J:$J,0)),IF(AND(OR($B$4="Clinical Lecturer / Medical Research Fellow",$B$4="Clinical Consultant - Old Contract (GP)"),$B26&lt;&gt;""),INDEX(Points_Lookup!$H:$H,MATCH($B26,Points_Lookup!$G:$G,0)),IF(AND(OR($B$4="APM Level 7",$B$4="R&amp;T Level 7",$B$4="APM Level 8"),B26&lt;&gt;""),INDEX(Points_Lookup!$E:$E,MATCH($Y26,Points_Lookup!$AE:$AE,0)),IF($B$4="R&amp;T Level 5 - Clinical Lecturers (Vet School)",SUMIF(Points_Lookup!$M:$M,$B26,Points_Lookup!$P:$P),IF($B$4="R&amp;T Level 6 - Clinical Associate Professors and Clinical Readers (Vet School)",SUMIF(Points_Lookup!$T:$T,$B26,Points_Lookup!$W:$W),IFERROR(INDEX(Points_Lookup!$B:$B,MATCH($Y26,Points_Lookup!$AE:$AE,0)),""))))))))</f>
        <v>22912</v>
      </c>
      <c r="D26" s="39"/>
      <c r="E26" s="24">
        <f ca="1">IF($B26="","",IF(AND($B$4="Salary Points 2 to 57",B26&lt;Thresholds_Rates!$C$16),"-",IF(SUMIF(Grades!$A:$A,$B$4,Grades!$BO:$BO)=0,"-",IF(AND($B$4="Salary Points 2 to 57",B26&gt;=Thresholds_Rates!$C$16),$C26*Thresholds_Rates!$F$15,IF(AND(OR($B$4="New Consultant Contract"),$B26&lt;&gt;""),$C26*Thresholds_Rates!$F$15,IF(AND(OR($B$4="Clinical Lecturer / Medical Research Fellow",$B$4="Clinical Consultant - Old Contract (GP)"),$B26&lt;&gt;""),$C26*Thresholds_Rates!$F$15,IF(OR($B$4="APM Level 7",$B$4="R&amp;T Level 7"),$C26*Thresholds_Rates!$F$15,IF(SUMIF(Grades!$A:$A,$B$4,Grades!$BO:$BO)=1,$C26*Thresholds_Rates!$F$15,""))))))))</f>
        <v>4124.16</v>
      </c>
      <c r="F26" s="24">
        <f ca="1">IF(B26="","",IF($B$4="Salary Points 2 to 57","-",IF(SUMIF(Grades!$A:$A,$B$4,Grades!$BP:$BP)=0,"-",IF(AND(OR($B$4="New Consultant Contract"),$B26&lt;&gt;""),$C26*Thresholds_Rates!$F$16,IF(AND(OR($B$4="Clinical Lecturer / Medical Research Fellow",$B$4="Clinical Consultant - Old Contract (GP)"),$B26&lt;&gt;""),$C26*Thresholds_Rates!$F$16,IF(AND(OR($B$4="APM Level 7",$B$4="R&amp;T Level 7"),E26&lt;&gt;""),$C26*Thresholds_Rates!$F$16,IF(SUMIF(Grades!$A:$A,$B$4,Grades!$BP:$BP)=1,$C26*Thresholds_Rates!$F$16,"")))))))</f>
        <v>3276.4159999999997</v>
      </c>
      <c r="G26" s="24">
        <f ca="1">IF($B$4="Apprenticeship","-",IF(B26="","",IF(SUMIF(Grades!$A:$A,$B$4,Grades!$BQ:$BQ)=0,"-",IF(AND($B$4="Salary Points 2 to 57",B26&gt;Thresholds_Rates!$C$17),"-",IF(AND($B$4="Salary Points 2 to 57",B26&lt;=Thresholds_Rates!$C$17),$C26*Thresholds_Rates!$F$17,IF(AND(OR($B$4="New Consultant Contract"),$B26&lt;&gt;""),$C26*Thresholds_Rates!$F$17,IF(AND(OR($B$4="Clinical Lecturer / Medical Research Fellow",$B$4="Clinical Consultant - Old Contract (GP)"),$B26&lt;&gt;""),$C26*Thresholds_Rates!$F$17,IF(AND(OR($B$4="APM Level 7",$B$4="R&amp;T Level 7"),F26&lt;&gt;""),$C26*Thresholds_Rates!$F$17,IF(SUMIF(Grades!$A:$A,$B$4,Grades!$BQ:$BQ)=1,$C26*Thresholds_Rates!$F$17,"")))))))))</f>
        <v>8935.68</v>
      </c>
      <c r="H26" s="24">
        <f ca="1">IF($B26="","",ROUND(($C26-(Thresholds_Rates!$C$5*12))*Thresholds_Rates!$C$10,0))</f>
        <v>2042</v>
      </c>
      <c r="I26" s="24">
        <f ca="1">IF(B26="","",IF(AND($B$4="Salary Points 2 to 57",B26&gt;Thresholds_Rates!$C$17),"-",IF(SUMIF(Grades!$A:$A,$B$4,Grades!$BR:$BR)=0,"-",IF(AND($B$4="Salary Points 2 to 57",B26&lt;=Thresholds_Rates!$C$17),$C26*Thresholds_Rates!$F$18,IF(AND(OR($B$4="New Consultant Contract"),$B26&lt;&gt;""),$C26*Thresholds_Rates!$F$18,IF(AND(OR($B$4="Clinical Lecturer / Medical Research Fellow",$B$4="Clinical Consultant - Old Contract (GP)"),$B26&lt;&gt;""),$C26*Thresholds_Rates!$F$18,IF(AND(OR($B$4="APM Level 7",$B$4="R&amp;T Level 7"),H26&lt;&gt;""),$C26*Thresholds_Rates!$F$18,IF(SUMIF(Grades!$A:$A,$B$4,Grades!$BQ:$BQ)=1,$C26*Thresholds_Rates!$F$18,""))))))))</f>
        <v>2291.2000000000003</v>
      </c>
      <c r="J26" s="4"/>
      <c r="K26" s="24">
        <f t="shared" ca="1" si="0"/>
        <v>29078.16</v>
      </c>
      <c r="L26" s="24">
        <f t="shared" ca="1" si="1"/>
        <v>28230.416000000001</v>
      </c>
      <c r="M26" s="24">
        <f t="shared" ca="1" si="2"/>
        <v>33889.68</v>
      </c>
      <c r="N26" s="24">
        <f t="shared" ca="1" si="3"/>
        <v>27245.200000000001</v>
      </c>
      <c r="O26" s="24">
        <f t="shared" ca="1" si="4"/>
        <v>24954</v>
      </c>
      <c r="Q26" s="27" t="str">
        <f ca="1">IF(B26="","",IF($B$4="R&amp;T Level 5 - Clinical Lecturers (Vet School)",SUMIF(Points_Lookup!$M:$M,$B26,Points_Lookup!$N:$N),IF($B$4="R&amp;T Level 6 - Clinical Associate Professors and Clinical Readers (Vet School)",SUMIF(Points_Lookup!$T:$T,$B26,Points_Lookup!$U:$U),"")))</f>
        <v/>
      </c>
      <c r="R26" s="28" t="str">
        <f ca="1">IF(B26="","",IF($B$4="R&amp;T Level 5 - Clinical Lecturers (Vet School)",$C26-SUMIF(Points_Lookup!$M:$M,$B26,Points_Lookup!$O:$O),IF($B$4="R&amp;T Level 6 - Clinical Associate Professors and Clinical Readers (Vet School)",$C26-SUMIF(Points_Lookup!$T:$T,$B26,Points_Lookup!$V:$V),"")))</f>
        <v/>
      </c>
      <c r="S26" s="27" t="str">
        <f ca="1">IF(B26="","",IF($B$4="R&amp;T Level 5 - Clinical Lecturers (Vet School)",SUMIF(Points_Lookup!$M:$M,$B26,Points_Lookup!$Q:$Q),IF($B$4="R&amp;T Level 6 - Clinical Associate Professors and Clinical Readers (Vet School)",SUMIF(Points_Lookup!$T:$T,$B26,Points_Lookup!$X:$X),"")))</f>
        <v/>
      </c>
      <c r="T26" s="28" t="str">
        <f t="shared" ca="1" si="5"/>
        <v/>
      </c>
      <c r="Y26" s="25">
        <v>18</v>
      </c>
    </row>
    <row r="27" spans="2:25" x14ac:dyDescent="0.25">
      <c r="B27" s="4">
        <f ca="1">IFERROR(INDEX(Points_Lookup!$A:$A,MATCH($Y27,Points_Lookup!$AE:$AE,0)),"")</f>
        <v>20</v>
      </c>
      <c r="C27" s="24">
        <f ca="1">IF(B27="","",IF($B$4="Apprenticeship",SUMIF(Points_Lookup!$AA:$AA,B27,Points_Lookup!$AC:$AC),IF(AND(OR($B$4="New Consultant Contract"),$B27&lt;&gt;""),INDEX(Points_Lookup!$K:$K,MATCH($B27,Points_Lookup!$J:$J,0)),IF(AND(OR($B$4="Clinical Lecturer / Medical Research Fellow",$B$4="Clinical Consultant - Old Contract (GP)"),$B27&lt;&gt;""),INDEX(Points_Lookup!$H:$H,MATCH($B27,Points_Lookup!$G:$G,0)),IF(AND(OR($B$4="APM Level 7",$B$4="R&amp;T Level 7",$B$4="APM Level 8"),B27&lt;&gt;""),INDEX(Points_Lookup!$E:$E,MATCH($Y27,Points_Lookup!$AE:$AE,0)),IF($B$4="R&amp;T Level 5 - Clinical Lecturers (Vet School)",SUMIF(Points_Lookup!$M:$M,$B27,Points_Lookup!$P:$P),IF($B$4="R&amp;T Level 6 - Clinical Associate Professors and Clinical Readers (Vet School)",SUMIF(Points_Lookup!$T:$T,$B27,Points_Lookup!$W:$W),IFERROR(INDEX(Points_Lookup!$B:$B,MATCH($Y27,Points_Lookup!$AE:$AE,0)),""))))))))</f>
        <v>23619</v>
      </c>
      <c r="D27" s="39"/>
      <c r="E27" s="24">
        <f ca="1">IF($B27="","",IF(AND($B$4="Salary Points 2 to 57",B27&lt;Thresholds_Rates!$C$16),"-",IF(SUMIF(Grades!$A:$A,$B$4,Grades!$BO:$BO)=0,"-",IF(AND($B$4="Salary Points 2 to 57",B27&gt;=Thresholds_Rates!$C$16),$C27*Thresholds_Rates!$F$15,IF(AND(OR($B$4="New Consultant Contract"),$B27&lt;&gt;""),$C27*Thresholds_Rates!$F$15,IF(AND(OR($B$4="Clinical Lecturer / Medical Research Fellow",$B$4="Clinical Consultant - Old Contract (GP)"),$B27&lt;&gt;""),$C27*Thresholds_Rates!$F$15,IF(OR($B$4="APM Level 7",$B$4="R&amp;T Level 7"),$C27*Thresholds_Rates!$F$15,IF(SUMIF(Grades!$A:$A,$B$4,Grades!$BO:$BO)=1,$C27*Thresholds_Rates!$F$15,""))))))))</f>
        <v>4251.42</v>
      </c>
      <c r="F27" s="24">
        <f ca="1">IF(B27="","",IF($B$4="Salary Points 2 to 57","-",IF(SUMIF(Grades!$A:$A,$B$4,Grades!$BP:$BP)=0,"-",IF(AND(OR($B$4="New Consultant Contract"),$B27&lt;&gt;""),$C27*Thresholds_Rates!$F$16,IF(AND(OR($B$4="Clinical Lecturer / Medical Research Fellow",$B$4="Clinical Consultant - Old Contract (GP)"),$B27&lt;&gt;""),$C27*Thresholds_Rates!$F$16,IF(AND(OR($B$4="APM Level 7",$B$4="R&amp;T Level 7"),E27&lt;&gt;""),$C27*Thresholds_Rates!$F$16,IF(SUMIF(Grades!$A:$A,$B$4,Grades!$BP:$BP)=1,$C27*Thresholds_Rates!$F$16,"")))))))</f>
        <v>3377.5169999999998</v>
      </c>
      <c r="G27" s="24">
        <f ca="1">IF($B$4="Apprenticeship","-",IF(B27="","",IF(SUMIF(Grades!$A:$A,$B$4,Grades!$BQ:$BQ)=0,"-",IF(AND($B$4="Salary Points 2 to 57",B27&gt;Thresholds_Rates!$C$17),"-",IF(AND($B$4="Salary Points 2 to 57",B27&lt;=Thresholds_Rates!$C$17),$C27*Thresholds_Rates!$F$17,IF(AND(OR($B$4="New Consultant Contract"),$B27&lt;&gt;""),$C27*Thresholds_Rates!$F$17,IF(AND(OR($B$4="Clinical Lecturer / Medical Research Fellow",$B$4="Clinical Consultant - Old Contract (GP)"),$B27&lt;&gt;""),$C27*Thresholds_Rates!$F$17,IF(AND(OR($B$4="APM Level 7",$B$4="R&amp;T Level 7"),F27&lt;&gt;""),$C27*Thresholds_Rates!$F$17,IF(SUMIF(Grades!$A:$A,$B$4,Grades!$BQ:$BQ)=1,$C27*Thresholds_Rates!$F$17,"")))))))))</f>
        <v>9211.41</v>
      </c>
      <c r="H27" s="24">
        <f ca="1">IF($B27="","",ROUND(($C27-(Thresholds_Rates!$C$5*12))*Thresholds_Rates!$C$10,0))</f>
        <v>2140</v>
      </c>
      <c r="I27" s="24">
        <f ca="1">IF(B27="","",IF(AND($B$4="Salary Points 2 to 57",B27&gt;Thresholds_Rates!$C$17),"-",IF(SUMIF(Grades!$A:$A,$B$4,Grades!$BR:$BR)=0,"-",IF(AND($B$4="Salary Points 2 to 57",B27&lt;=Thresholds_Rates!$C$17),$C27*Thresholds_Rates!$F$18,IF(AND(OR($B$4="New Consultant Contract"),$B27&lt;&gt;""),$C27*Thresholds_Rates!$F$18,IF(AND(OR($B$4="Clinical Lecturer / Medical Research Fellow",$B$4="Clinical Consultant - Old Contract (GP)"),$B27&lt;&gt;""),$C27*Thresholds_Rates!$F$18,IF(AND(OR($B$4="APM Level 7",$B$4="R&amp;T Level 7"),H27&lt;&gt;""),$C27*Thresholds_Rates!$F$18,IF(SUMIF(Grades!$A:$A,$B$4,Grades!$BQ:$BQ)=1,$C27*Thresholds_Rates!$F$18,""))))))))</f>
        <v>2361.9</v>
      </c>
      <c r="J27" s="4"/>
      <c r="K27" s="24">
        <f t="shared" ca="1" si="0"/>
        <v>30010.42</v>
      </c>
      <c r="L27" s="24">
        <f t="shared" ca="1" si="1"/>
        <v>29136.517</v>
      </c>
      <c r="M27" s="24">
        <f t="shared" ca="1" si="2"/>
        <v>34970.410000000003</v>
      </c>
      <c r="N27" s="24">
        <f t="shared" ca="1" si="3"/>
        <v>28120.9</v>
      </c>
      <c r="O27" s="24">
        <f t="shared" ca="1" si="4"/>
        <v>25759</v>
      </c>
      <c r="Q27" s="27" t="str">
        <f ca="1">IF(B27="","",IF($B$4="R&amp;T Level 5 - Clinical Lecturers (Vet School)",SUMIF(Points_Lookup!$M:$M,$B27,Points_Lookup!$N:$N),IF($B$4="R&amp;T Level 6 - Clinical Associate Professors and Clinical Readers (Vet School)",SUMIF(Points_Lookup!$T:$T,$B27,Points_Lookup!$U:$U),"")))</f>
        <v/>
      </c>
      <c r="R27" s="28" t="str">
        <f ca="1">IF(B27="","",IF($B$4="R&amp;T Level 5 - Clinical Lecturers (Vet School)",$C27-SUMIF(Points_Lookup!$M:$M,$B27,Points_Lookup!$O:$O),IF($B$4="R&amp;T Level 6 - Clinical Associate Professors and Clinical Readers (Vet School)",$C27-SUMIF(Points_Lookup!$T:$T,$B27,Points_Lookup!$V:$V),"")))</f>
        <v/>
      </c>
      <c r="S27" s="27" t="str">
        <f ca="1">IF(B27="","",IF($B$4="R&amp;T Level 5 - Clinical Lecturers (Vet School)",SUMIF(Points_Lookup!$M:$M,$B27,Points_Lookup!$Q:$Q),IF($B$4="R&amp;T Level 6 - Clinical Associate Professors and Clinical Readers (Vet School)",SUMIF(Points_Lookup!$T:$T,$B27,Points_Lookup!$X:$X),"")))</f>
        <v/>
      </c>
      <c r="T27" s="28" t="str">
        <f t="shared" ca="1" si="5"/>
        <v/>
      </c>
      <c r="Y27" s="25">
        <v>19</v>
      </c>
    </row>
    <row r="28" spans="2:25" x14ac:dyDescent="0.25">
      <c r="B28" s="4">
        <f ca="1">IFERROR(INDEX(Points_Lookup!$A:$A,MATCH($Y28,Points_Lookup!$AE:$AE,0)),"")</f>
        <v>21</v>
      </c>
      <c r="C28" s="24">
        <f ca="1">IF(B28="","",IF($B$4="Apprenticeship",SUMIF(Points_Lookup!$AA:$AA,B28,Points_Lookup!$AC:$AC),IF(AND(OR($B$4="New Consultant Contract"),$B28&lt;&gt;""),INDEX(Points_Lookup!$K:$K,MATCH($B28,Points_Lookup!$J:$J,0)),IF(AND(OR($B$4="Clinical Lecturer / Medical Research Fellow",$B$4="Clinical Consultant - Old Contract (GP)"),$B28&lt;&gt;""),INDEX(Points_Lookup!$H:$H,MATCH($B28,Points_Lookup!$G:$G,0)),IF(AND(OR($B$4="APM Level 7",$B$4="R&amp;T Level 7",$B$4="APM Level 8"),B28&lt;&gt;""),INDEX(Points_Lookup!$E:$E,MATCH($Y28,Points_Lookup!$AE:$AE,0)),IF($B$4="R&amp;T Level 5 - Clinical Lecturers (Vet School)",SUMIF(Points_Lookup!$M:$M,$B28,Points_Lookup!$P:$P),IF($B$4="R&amp;T Level 6 - Clinical Associate Professors and Clinical Readers (Vet School)",SUMIF(Points_Lookup!$T:$T,$B28,Points_Lookup!$W:$W),IFERROR(INDEX(Points_Lookup!$B:$B,MATCH($Y28,Points_Lookup!$AE:$AE,0)),""))))))))</f>
        <v>24298</v>
      </c>
      <c r="D28" s="39"/>
      <c r="E28" s="24">
        <f ca="1">IF($B28="","",IF(AND($B$4="Salary Points 2 to 57",B28&lt;Thresholds_Rates!$C$16),"-",IF(SUMIF(Grades!$A:$A,$B$4,Grades!$BO:$BO)=0,"-",IF(AND($B$4="Salary Points 2 to 57",B28&gt;=Thresholds_Rates!$C$16),$C28*Thresholds_Rates!$F$15,IF(AND(OR($B$4="New Consultant Contract"),$B28&lt;&gt;""),$C28*Thresholds_Rates!$F$15,IF(AND(OR($B$4="Clinical Lecturer / Medical Research Fellow",$B$4="Clinical Consultant - Old Contract (GP)"),$B28&lt;&gt;""),$C28*Thresholds_Rates!$F$15,IF(OR($B$4="APM Level 7",$B$4="R&amp;T Level 7"),$C28*Thresholds_Rates!$F$15,IF(SUMIF(Grades!$A:$A,$B$4,Grades!$BO:$BO)=1,$C28*Thresholds_Rates!$F$15,""))))))))</f>
        <v>4373.6399999999994</v>
      </c>
      <c r="F28" s="24">
        <f ca="1">IF(B28="","",IF($B$4="Salary Points 2 to 57","-",IF(SUMIF(Grades!$A:$A,$B$4,Grades!$BP:$BP)=0,"-",IF(AND(OR($B$4="New Consultant Contract"),$B28&lt;&gt;""),$C28*Thresholds_Rates!$F$16,IF(AND(OR($B$4="Clinical Lecturer / Medical Research Fellow",$B$4="Clinical Consultant - Old Contract (GP)"),$B28&lt;&gt;""),$C28*Thresholds_Rates!$F$16,IF(AND(OR($B$4="APM Level 7",$B$4="R&amp;T Level 7"),E28&lt;&gt;""),$C28*Thresholds_Rates!$F$16,IF(SUMIF(Grades!$A:$A,$B$4,Grades!$BP:$BP)=1,$C28*Thresholds_Rates!$F$16,"")))))))</f>
        <v>3474.6139999999996</v>
      </c>
      <c r="G28" s="24">
        <f ca="1">IF($B$4="Apprenticeship","-",IF(B28="","",IF(SUMIF(Grades!$A:$A,$B$4,Grades!$BQ:$BQ)=0,"-",IF(AND($B$4="Salary Points 2 to 57",B28&gt;Thresholds_Rates!$C$17),"-",IF(AND($B$4="Salary Points 2 to 57",B28&lt;=Thresholds_Rates!$C$17),$C28*Thresholds_Rates!$F$17,IF(AND(OR($B$4="New Consultant Contract"),$B28&lt;&gt;""),$C28*Thresholds_Rates!$F$17,IF(AND(OR($B$4="Clinical Lecturer / Medical Research Fellow",$B$4="Clinical Consultant - Old Contract (GP)"),$B28&lt;&gt;""),$C28*Thresholds_Rates!$F$17,IF(AND(OR($B$4="APM Level 7",$B$4="R&amp;T Level 7"),F28&lt;&gt;""),$C28*Thresholds_Rates!$F$17,IF(SUMIF(Grades!$A:$A,$B$4,Grades!$BQ:$BQ)=1,$C28*Thresholds_Rates!$F$17,"")))))))))</f>
        <v>9476.2200000000012</v>
      </c>
      <c r="H28" s="24">
        <f ca="1">IF($B28="","",ROUND(($C28-(Thresholds_Rates!$C$5*12))*Thresholds_Rates!$C$10,0))</f>
        <v>2234</v>
      </c>
      <c r="I28" s="24">
        <f ca="1">IF(B28="","",IF(AND($B$4="Salary Points 2 to 57",B28&gt;Thresholds_Rates!$C$17),"-",IF(SUMIF(Grades!$A:$A,$B$4,Grades!$BR:$BR)=0,"-",IF(AND($B$4="Salary Points 2 to 57",B28&lt;=Thresholds_Rates!$C$17),$C28*Thresholds_Rates!$F$18,IF(AND(OR($B$4="New Consultant Contract"),$B28&lt;&gt;""),$C28*Thresholds_Rates!$F$18,IF(AND(OR($B$4="Clinical Lecturer / Medical Research Fellow",$B$4="Clinical Consultant - Old Contract (GP)"),$B28&lt;&gt;""),$C28*Thresholds_Rates!$F$18,IF(AND(OR($B$4="APM Level 7",$B$4="R&amp;T Level 7"),H28&lt;&gt;""),$C28*Thresholds_Rates!$F$18,IF(SUMIF(Grades!$A:$A,$B$4,Grades!$BQ:$BQ)=1,$C28*Thresholds_Rates!$F$18,""))))))))</f>
        <v>2429.8000000000002</v>
      </c>
      <c r="J28" s="4"/>
      <c r="K28" s="24">
        <f t="shared" ca="1" si="0"/>
        <v>30905.64</v>
      </c>
      <c r="L28" s="24">
        <f t="shared" ca="1" si="1"/>
        <v>30006.614000000001</v>
      </c>
      <c r="M28" s="24">
        <f t="shared" ca="1" si="2"/>
        <v>36008.22</v>
      </c>
      <c r="N28" s="24">
        <f t="shared" ca="1" si="3"/>
        <v>28961.8</v>
      </c>
      <c r="O28" s="24">
        <f t="shared" ca="1" si="4"/>
        <v>26532</v>
      </c>
      <c r="Q28" s="27" t="str">
        <f ca="1">IF(B28="","",IF($B$4="R&amp;T Level 5 - Clinical Lecturers (Vet School)",SUMIF(Points_Lookup!$M:$M,$B28,Points_Lookup!$N:$N),IF($B$4="R&amp;T Level 6 - Clinical Associate Professors and Clinical Readers (Vet School)",SUMIF(Points_Lookup!$T:$T,$B28,Points_Lookup!$U:$U),"")))</f>
        <v/>
      </c>
      <c r="R28" s="28" t="str">
        <f ca="1">IF(B28="","",IF($B$4="R&amp;T Level 5 - Clinical Lecturers (Vet School)",$C28-SUMIF(Points_Lookup!$M:$M,$B28,Points_Lookup!$O:$O),IF($B$4="R&amp;T Level 6 - Clinical Associate Professors and Clinical Readers (Vet School)",$C28-SUMIF(Points_Lookup!$T:$T,$B28,Points_Lookup!$V:$V),"")))</f>
        <v/>
      </c>
      <c r="S28" s="27" t="str">
        <f ca="1">IF(B28="","",IF($B$4="R&amp;T Level 5 - Clinical Lecturers (Vet School)",SUMIF(Points_Lookup!$M:$M,$B28,Points_Lookup!$Q:$Q),IF($B$4="R&amp;T Level 6 - Clinical Associate Professors and Clinical Readers (Vet School)",SUMIF(Points_Lookup!$T:$T,$B28,Points_Lookup!$X:$X),"")))</f>
        <v/>
      </c>
      <c r="T28" s="28" t="str">
        <f t="shared" ca="1" si="5"/>
        <v/>
      </c>
      <c r="Y28" s="25">
        <v>20</v>
      </c>
    </row>
    <row r="29" spans="2:25" x14ac:dyDescent="0.25">
      <c r="B29" s="4">
        <f ca="1">IFERROR(INDEX(Points_Lookup!$A:$A,MATCH($Y29,Points_Lookup!$AE:$AE,0)),"")</f>
        <v>22</v>
      </c>
      <c r="C29" s="24">
        <f ca="1">IF(B29="","",IF($B$4="Apprenticeship",SUMIF(Points_Lookup!$AA:$AA,B29,Points_Lookup!$AC:$AC),IF(AND(OR($B$4="New Consultant Contract"),$B29&lt;&gt;""),INDEX(Points_Lookup!$K:$K,MATCH($B29,Points_Lookup!$J:$J,0)),IF(AND(OR($B$4="Clinical Lecturer / Medical Research Fellow",$B$4="Clinical Consultant - Old Contract (GP)"),$B29&lt;&gt;""),INDEX(Points_Lookup!$H:$H,MATCH($B29,Points_Lookup!$G:$G,0)),IF(AND(OR($B$4="APM Level 7",$B$4="R&amp;T Level 7",$B$4="APM Level 8"),B29&lt;&gt;""),INDEX(Points_Lookup!$E:$E,MATCH($Y29,Points_Lookup!$AE:$AE,0)),IF($B$4="R&amp;T Level 5 - Clinical Lecturers (Vet School)",SUMIF(Points_Lookup!$M:$M,$B29,Points_Lookup!$P:$P),IF($B$4="R&amp;T Level 6 - Clinical Associate Professors and Clinical Readers (Vet School)",SUMIF(Points_Lookup!$T:$T,$B29,Points_Lookup!$W:$W),IFERROR(INDEX(Points_Lookup!$B:$B,MATCH($Y29,Points_Lookup!$AE:$AE,0)),""))))))))</f>
        <v>25023</v>
      </c>
      <c r="D29" s="39"/>
      <c r="E29" s="24">
        <f ca="1">IF($B29="","",IF(AND($B$4="Salary Points 2 to 57",B29&lt;Thresholds_Rates!$C$16),"-",IF(SUMIF(Grades!$A:$A,$B$4,Grades!$BO:$BO)=0,"-",IF(AND($B$4="Salary Points 2 to 57",B29&gt;=Thresholds_Rates!$C$16),$C29*Thresholds_Rates!$F$15,IF(AND(OR($B$4="New Consultant Contract"),$B29&lt;&gt;""),$C29*Thresholds_Rates!$F$15,IF(AND(OR($B$4="Clinical Lecturer / Medical Research Fellow",$B$4="Clinical Consultant - Old Contract (GP)"),$B29&lt;&gt;""),$C29*Thresholds_Rates!$F$15,IF(OR($B$4="APM Level 7",$B$4="R&amp;T Level 7"),$C29*Thresholds_Rates!$F$15,IF(SUMIF(Grades!$A:$A,$B$4,Grades!$BO:$BO)=1,$C29*Thresholds_Rates!$F$15,""))))))))</f>
        <v>4504.1399999999994</v>
      </c>
      <c r="F29" s="24">
        <f ca="1">IF(B29="","",IF($B$4="Salary Points 2 to 57","-",IF(SUMIF(Grades!$A:$A,$B$4,Grades!$BP:$BP)=0,"-",IF(AND(OR($B$4="New Consultant Contract"),$B29&lt;&gt;""),$C29*Thresholds_Rates!$F$16,IF(AND(OR($B$4="Clinical Lecturer / Medical Research Fellow",$B$4="Clinical Consultant - Old Contract (GP)"),$B29&lt;&gt;""),$C29*Thresholds_Rates!$F$16,IF(AND(OR($B$4="APM Level 7",$B$4="R&amp;T Level 7"),E29&lt;&gt;""),$C29*Thresholds_Rates!$F$16,IF(SUMIF(Grades!$A:$A,$B$4,Grades!$BP:$BP)=1,$C29*Thresholds_Rates!$F$16,"")))))))</f>
        <v>3578.2889999999998</v>
      </c>
      <c r="G29" s="24">
        <f ca="1">IF($B$4="Apprenticeship","-",IF(B29="","",IF(SUMIF(Grades!$A:$A,$B$4,Grades!$BQ:$BQ)=0,"-",IF(AND($B$4="Salary Points 2 to 57",B29&gt;Thresholds_Rates!$C$17),"-",IF(AND($B$4="Salary Points 2 to 57",B29&lt;=Thresholds_Rates!$C$17),$C29*Thresholds_Rates!$F$17,IF(AND(OR($B$4="New Consultant Contract"),$B29&lt;&gt;""),$C29*Thresholds_Rates!$F$17,IF(AND(OR($B$4="Clinical Lecturer / Medical Research Fellow",$B$4="Clinical Consultant - Old Contract (GP)"),$B29&lt;&gt;""),$C29*Thresholds_Rates!$F$17,IF(AND(OR($B$4="APM Level 7",$B$4="R&amp;T Level 7"),F29&lt;&gt;""),$C29*Thresholds_Rates!$F$17,IF(SUMIF(Grades!$A:$A,$B$4,Grades!$BQ:$BQ)=1,$C29*Thresholds_Rates!$F$17,"")))))))))</f>
        <v>9758.9700000000012</v>
      </c>
      <c r="H29" s="24">
        <f ca="1">IF($B29="","",ROUND(($C29-(Thresholds_Rates!$C$5*12))*Thresholds_Rates!$C$10,0))</f>
        <v>2334</v>
      </c>
      <c r="I29" s="24">
        <f ca="1">IF(B29="","",IF(AND($B$4="Salary Points 2 to 57",B29&gt;Thresholds_Rates!$C$17),"-",IF(SUMIF(Grades!$A:$A,$B$4,Grades!$BR:$BR)=0,"-",IF(AND($B$4="Salary Points 2 to 57",B29&lt;=Thresholds_Rates!$C$17),$C29*Thresholds_Rates!$F$18,IF(AND(OR($B$4="New Consultant Contract"),$B29&lt;&gt;""),$C29*Thresholds_Rates!$F$18,IF(AND(OR($B$4="Clinical Lecturer / Medical Research Fellow",$B$4="Clinical Consultant - Old Contract (GP)"),$B29&lt;&gt;""),$C29*Thresholds_Rates!$F$18,IF(AND(OR($B$4="APM Level 7",$B$4="R&amp;T Level 7"),H29&lt;&gt;""),$C29*Thresholds_Rates!$F$18,IF(SUMIF(Grades!$A:$A,$B$4,Grades!$BQ:$BQ)=1,$C29*Thresholds_Rates!$F$18,""))))))))</f>
        <v>2502.3000000000002</v>
      </c>
      <c r="J29" s="4"/>
      <c r="K29" s="24">
        <f t="shared" ca="1" si="0"/>
        <v>31861.14</v>
      </c>
      <c r="L29" s="24">
        <f t="shared" ca="1" si="1"/>
        <v>30935.289000000001</v>
      </c>
      <c r="M29" s="24">
        <f t="shared" ca="1" si="2"/>
        <v>37115.97</v>
      </c>
      <c r="N29" s="24">
        <f t="shared" ca="1" si="3"/>
        <v>29859.3</v>
      </c>
      <c r="O29" s="24">
        <f t="shared" ca="1" si="4"/>
        <v>27357</v>
      </c>
      <c r="Q29" s="27" t="str">
        <f ca="1">IF(B29="","",IF($B$4="R&amp;T Level 5 - Clinical Lecturers (Vet School)",SUMIF(Points_Lookup!$M:$M,$B29,Points_Lookup!$N:$N),IF($B$4="R&amp;T Level 6 - Clinical Associate Professors and Clinical Readers (Vet School)",SUMIF(Points_Lookup!$T:$T,$B29,Points_Lookup!$U:$U),"")))</f>
        <v/>
      </c>
      <c r="R29" s="28" t="str">
        <f ca="1">IF(B29="","",IF($B$4="R&amp;T Level 5 - Clinical Lecturers (Vet School)",$C29-SUMIF(Points_Lookup!$M:$M,$B29,Points_Lookup!$O:$O),IF($B$4="R&amp;T Level 6 - Clinical Associate Professors and Clinical Readers (Vet School)",$C29-SUMIF(Points_Lookup!$T:$T,$B29,Points_Lookup!$V:$V),"")))</f>
        <v/>
      </c>
      <c r="S29" s="27" t="str">
        <f ca="1">IF(B29="","",IF($B$4="R&amp;T Level 5 - Clinical Lecturers (Vet School)",SUMIF(Points_Lookup!$M:$M,$B29,Points_Lookup!$Q:$Q),IF($B$4="R&amp;T Level 6 - Clinical Associate Professors and Clinical Readers (Vet School)",SUMIF(Points_Lookup!$T:$T,$B29,Points_Lookup!$X:$X),"")))</f>
        <v/>
      </c>
      <c r="T29" s="28" t="str">
        <f t="shared" ca="1" si="5"/>
        <v/>
      </c>
      <c r="Y29" s="25">
        <v>21</v>
      </c>
    </row>
    <row r="30" spans="2:25" x14ac:dyDescent="0.25">
      <c r="B30" s="4">
        <f ca="1">IFERROR(INDEX(Points_Lookup!$A:$A,MATCH($Y30,Points_Lookup!$AE:$AE,0)),"")</f>
        <v>23</v>
      </c>
      <c r="C30" s="24">
        <f ca="1">IF(B30="","",IF($B$4="Apprenticeship",SUMIF(Points_Lookup!$AA:$AA,B30,Points_Lookup!$AC:$AC),IF(AND(OR($B$4="New Consultant Contract"),$B30&lt;&gt;""),INDEX(Points_Lookup!$K:$K,MATCH($B30,Points_Lookup!$J:$J,0)),IF(AND(OR($B$4="Clinical Lecturer / Medical Research Fellow",$B$4="Clinical Consultant - Old Contract (GP)"),$B30&lt;&gt;""),INDEX(Points_Lookup!$H:$H,MATCH($B30,Points_Lookup!$G:$G,0)),IF(AND(OR($B$4="APM Level 7",$B$4="R&amp;T Level 7",$B$4="APM Level 8"),B30&lt;&gt;""),INDEX(Points_Lookup!$E:$E,MATCH($Y30,Points_Lookup!$AE:$AE,0)),IF($B$4="R&amp;T Level 5 - Clinical Lecturers (Vet School)",SUMIF(Points_Lookup!$M:$M,$B30,Points_Lookup!$P:$P),IF($B$4="R&amp;T Level 6 - Clinical Associate Professors and Clinical Readers (Vet School)",SUMIF(Points_Lookup!$T:$T,$B30,Points_Lookup!$W:$W),IFERROR(INDEX(Points_Lookup!$B:$B,MATCH($Y30,Points_Lookup!$AE:$AE,0)),""))))))))</f>
        <v>25769</v>
      </c>
      <c r="D30" s="39"/>
      <c r="E30" s="24">
        <f ca="1">IF($B30="","",IF(AND($B$4="Salary Points 2 to 57",B30&lt;Thresholds_Rates!$C$16),"-",IF(SUMIF(Grades!$A:$A,$B$4,Grades!$BO:$BO)=0,"-",IF(AND($B$4="Salary Points 2 to 57",B30&gt;=Thresholds_Rates!$C$16),$C30*Thresholds_Rates!$F$15,IF(AND(OR($B$4="New Consultant Contract"),$B30&lt;&gt;""),$C30*Thresholds_Rates!$F$15,IF(AND(OR($B$4="Clinical Lecturer / Medical Research Fellow",$B$4="Clinical Consultant - Old Contract (GP)"),$B30&lt;&gt;""),$C30*Thresholds_Rates!$F$15,IF(OR($B$4="APM Level 7",$B$4="R&amp;T Level 7"),$C30*Thresholds_Rates!$F$15,IF(SUMIF(Grades!$A:$A,$B$4,Grades!$BO:$BO)=1,$C30*Thresholds_Rates!$F$15,""))))))))</f>
        <v>4638.42</v>
      </c>
      <c r="F30" s="24">
        <f ca="1">IF(B30="","",IF($B$4="Salary Points 2 to 57","-",IF(SUMIF(Grades!$A:$A,$B$4,Grades!$BP:$BP)=0,"-",IF(AND(OR($B$4="New Consultant Contract"),$B30&lt;&gt;""),$C30*Thresholds_Rates!$F$16,IF(AND(OR($B$4="Clinical Lecturer / Medical Research Fellow",$B$4="Clinical Consultant - Old Contract (GP)"),$B30&lt;&gt;""),$C30*Thresholds_Rates!$F$16,IF(AND(OR($B$4="APM Level 7",$B$4="R&amp;T Level 7"),E30&lt;&gt;""),$C30*Thresholds_Rates!$F$16,IF(SUMIF(Grades!$A:$A,$B$4,Grades!$BP:$BP)=1,$C30*Thresholds_Rates!$F$16,"")))))))</f>
        <v>3684.9669999999996</v>
      </c>
      <c r="G30" s="24">
        <f ca="1">IF($B$4="Apprenticeship","-",IF(B30="","",IF(SUMIF(Grades!$A:$A,$B$4,Grades!$BQ:$BQ)=0,"-",IF(AND($B$4="Salary Points 2 to 57",B30&gt;Thresholds_Rates!$C$17),"-",IF(AND($B$4="Salary Points 2 to 57",B30&lt;=Thresholds_Rates!$C$17),$C30*Thresholds_Rates!$F$17,IF(AND(OR($B$4="New Consultant Contract"),$B30&lt;&gt;""),$C30*Thresholds_Rates!$F$17,IF(AND(OR($B$4="Clinical Lecturer / Medical Research Fellow",$B$4="Clinical Consultant - Old Contract (GP)"),$B30&lt;&gt;""),$C30*Thresholds_Rates!$F$17,IF(AND(OR($B$4="APM Level 7",$B$4="R&amp;T Level 7"),F30&lt;&gt;""),$C30*Thresholds_Rates!$F$17,IF(SUMIF(Grades!$A:$A,$B$4,Grades!$BQ:$BQ)=1,$C30*Thresholds_Rates!$F$17,"")))))))))</f>
        <v>10049.91</v>
      </c>
      <c r="H30" s="24">
        <f ca="1">IF($B30="","",ROUND(($C30-(Thresholds_Rates!$C$5*12))*Thresholds_Rates!$C$10,0))</f>
        <v>2437</v>
      </c>
      <c r="I30" s="24">
        <f ca="1">IF(B30="","",IF(AND($B$4="Salary Points 2 to 57",B30&gt;Thresholds_Rates!$C$17),"-",IF(SUMIF(Grades!$A:$A,$B$4,Grades!$BR:$BR)=0,"-",IF(AND($B$4="Salary Points 2 to 57",B30&lt;=Thresholds_Rates!$C$17),$C30*Thresholds_Rates!$F$18,IF(AND(OR($B$4="New Consultant Contract"),$B30&lt;&gt;""),$C30*Thresholds_Rates!$F$18,IF(AND(OR($B$4="Clinical Lecturer / Medical Research Fellow",$B$4="Clinical Consultant - Old Contract (GP)"),$B30&lt;&gt;""),$C30*Thresholds_Rates!$F$18,IF(AND(OR($B$4="APM Level 7",$B$4="R&amp;T Level 7"),H30&lt;&gt;""),$C30*Thresholds_Rates!$F$18,IF(SUMIF(Grades!$A:$A,$B$4,Grades!$BQ:$BQ)=1,$C30*Thresholds_Rates!$F$18,""))))))))</f>
        <v>2576.9</v>
      </c>
      <c r="J30" s="4"/>
      <c r="K30" s="24">
        <f t="shared" ca="1" si="0"/>
        <v>32844.42</v>
      </c>
      <c r="L30" s="24">
        <f t="shared" ca="1" si="1"/>
        <v>31890.967000000001</v>
      </c>
      <c r="M30" s="24">
        <f t="shared" ca="1" si="2"/>
        <v>38255.910000000003</v>
      </c>
      <c r="N30" s="24">
        <f t="shared" ca="1" si="3"/>
        <v>30782.9</v>
      </c>
      <c r="O30" s="24">
        <f t="shared" ca="1" si="4"/>
        <v>28206</v>
      </c>
      <c r="Q30" s="27" t="str">
        <f ca="1">IF(B30="","",IF($B$4="R&amp;T Level 5 - Clinical Lecturers (Vet School)",SUMIF(Points_Lookup!$M:$M,$B30,Points_Lookup!$N:$N),IF($B$4="R&amp;T Level 6 - Clinical Associate Professors and Clinical Readers (Vet School)",SUMIF(Points_Lookup!$T:$T,$B30,Points_Lookup!$U:$U),"")))</f>
        <v/>
      </c>
      <c r="R30" s="28" t="str">
        <f ca="1">IF(B30="","",IF($B$4="R&amp;T Level 5 - Clinical Lecturers (Vet School)",$C30-SUMIF(Points_Lookup!$M:$M,$B30,Points_Lookup!$O:$O),IF($B$4="R&amp;T Level 6 - Clinical Associate Professors and Clinical Readers (Vet School)",$C30-SUMIF(Points_Lookup!$T:$T,$B30,Points_Lookup!$V:$V),"")))</f>
        <v/>
      </c>
      <c r="S30" s="27" t="str">
        <f ca="1">IF(B30="","",IF($B$4="R&amp;T Level 5 - Clinical Lecturers (Vet School)",SUMIF(Points_Lookup!$M:$M,$B30,Points_Lookup!$Q:$Q),IF($B$4="R&amp;T Level 6 - Clinical Associate Professors and Clinical Readers (Vet School)",SUMIF(Points_Lookup!$T:$T,$B30,Points_Lookup!$X:$X),"")))</f>
        <v/>
      </c>
      <c r="T30" s="28" t="str">
        <f t="shared" ca="1" si="5"/>
        <v/>
      </c>
      <c r="Y30" s="25">
        <v>22</v>
      </c>
    </row>
    <row r="31" spans="2:25" x14ac:dyDescent="0.25">
      <c r="B31" s="4">
        <f ca="1">IFERROR(INDEX(Points_Lookup!$A:$A,MATCH($Y31,Points_Lookup!$AE:$AE,0)),"")</f>
        <v>24</v>
      </c>
      <c r="C31" s="24">
        <f ca="1">IF(B31="","",IF($B$4="Apprenticeship",SUMIF(Points_Lookup!$AA:$AA,B31,Points_Lookup!$AC:$AC),IF(AND(OR($B$4="New Consultant Contract"),$B31&lt;&gt;""),INDEX(Points_Lookup!$K:$K,MATCH($B31,Points_Lookup!$J:$J,0)),IF(AND(OR($B$4="Clinical Lecturer / Medical Research Fellow",$B$4="Clinical Consultant - Old Contract (GP)"),$B31&lt;&gt;""),INDEX(Points_Lookup!$H:$H,MATCH($B31,Points_Lookup!$G:$G,0)),IF(AND(OR($B$4="APM Level 7",$B$4="R&amp;T Level 7",$B$4="APM Level 8"),B31&lt;&gt;""),INDEX(Points_Lookup!$E:$E,MATCH($Y31,Points_Lookup!$AE:$AE,0)),IF($B$4="R&amp;T Level 5 - Clinical Lecturers (Vet School)",SUMIF(Points_Lookup!$M:$M,$B31,Points_Lookup!$P:$P),IF($B$4="R&amp;T Level 6 - Clinical Associate Professors and Clinical Readers (Vet School)",SUMIF(Points_Lookup!$T:$T,$B31,Points_Lookup!$W:$W),IFERROR(INDEX(Points_Lookup!$B:$B,MATCH($Y31,Points_Lookup!$AE:$AE,0)),""))))))))</f>
        <v>26537</v>
      </c>
      <c r="D31" s="39"/>
      <c r="E31" s="24">
        <f ca="1">IF($B31="","",IF(AND($B$4="Salary Points 2 to 57",B31&lt;Thresholds_Rates!$C$16),"-",IF(SUMIF(Grades!$A:$A,$B$4,Grades!$BO:$BO)=0,"-",IF(AND($B$4="Salary Points 2 to 57",B31&gt;=Thresholds_Rates!$C$16),$C31*Thresholds_Rates!$F$15,IF(AND(OR($B$4="New Consultant Contract"),$B31&lt;&gt;""),$C31*Thresholds_Rates!$F$15,IF(AND(OR($B$4="Clinical Lecturer / Medical Research Fellow",$B$4="Clinical Consultant - Old Contract (GP)"),$B31&lt;&gt;""),$C31*Thresholds_Rates!$F$15,IF(OR($B$4="APM Level 7",$B$4="R&amp;T Level 7"),$C31*Thresholds_Rates!$F$15,IF(SUMIF(Grades!$A:$A,$B$4,Grades!$BO:$BO)=1,$C31*Thresholds_Rates!$F$15,""))))))))</f>
        <v>4776.66</v>
      </c>
      <c r="F31" s="24">
        <f ca="1">IF(B31="","",IF($B$4="Salary Points 2 to 57","-",IF(SUMIF(Grades!$A:$A,$B$4,Grades!$BP:$BP)=0,"-",IF(AND(OR($B$4="New Consultant Contract"),$B31&lt;&gt;""),$C31*Thresholds_Rates!$F$16,IF(AND(OR($B$4="Clinical Lecturer / Medical Research Fellow",$B$4="Clinical Consultant - Old Contract (GP)"),$B31&lt;&gt;""),$C31*Thresholds_Rates!$F$16,IF(AND(OR($B$4="APM Level 7",$B$4="R&amp;T Level 7"),E31&lt;&gt;""),$C31*Thresholds_Rates!$F$16,IF(SUMIF(Grades!$A:$A,$B$4,Grades!$BP:$BP)=1,$C31*Thresholds_Rates!$F$16,"")))))))</f>
        <v>3794.7909999999997</v>
      </c>
      <c r="G31" s="24">
        <f ca="1">IF($B$4="Apprenticeship","-",IF(B31="","",IF(SUMIF(Grades!$A:$A,$B$4,Grades!$BQ:$BQ)=0,"-",IF(AND($B$4="Salary Points 2 to 57",B31&gt;Thresholds_Rates!$C$17),"-",IF(AND($B$4="Salary Points 2 to 57",B31&lt;=Thresholds_Rates!$C$17),$C31*Thresholds_Rates!$F$17,IF(AND(OR($B$4="New Consultant Contract"),$B31&lt;&gt;""),$C31*Thresholds_Rates!$F$17,IF(AND(OR($B$4="Clinical Lecturer / Medical Research Fellow",$B$4="Clinical Consultant - Old Contract (GP)"),$B31&lt;&gt;""),$C31*Thresholds_Rates!$F$17,IF(AND(OR($B$4="APM Level 7",$B$4="R&amp;T Level 7"),F31&lt;&gt;""),$C31*Thresholds_Rates!$F$17,IF(SUMIF(Grades!$A:$A,$B$4,Grades!$BQ:$BQ)=1,$C31*Thresholds_Rates!$F$17,"")))))))))</f>
        <v>10349.43</v>
      </c>
      <c r="H31" s="24">
        <f ca="1">IF($B31="","",ROUND(($C31-(Thresholds_Rates!$C$5*12))*Thresholds_Rates!$C$10,0))</f>
        <v>2543</v>
      </c>
      <c r="I31" s="24">
        <f ca="1">IF(B31="","",IF(AND($B$4="Salary Points 2 to 57",B31&gt;Thresholds_Rates!$C$17),"-",IF(SUMIF(Grades!$A:$A,$B$4,Grades!$BR:$BR)=0,"-",IF(AND($B$4="Salary Points 2 to 57",B31&lt;=Thresholds_Rates!$C$17),$C31*Thresholds_Rates!$F$18,IF(AND(OR($B$4="New Consultant Contract"),$B31&lt;&gt;""),$C31*Thresholds_Rates!$F$18,IF(AND(OR($B$4="Clinical Lecturer / Medical Research Fellow",$B$4="Clinical Consultant - Old Contract (GP)"),$B31&lt;&gt;""),$C31*Thresholds_Rates!$F$18,IF(AND(OR($B$4="APM Level 7",$B$4="R&amp;T Level 7"),H31&lt;&gt;""),$C31*Thresholds_Rates!$F$18,IF(SUMIF(Grades!$A:$A,$B$4,Grades!$BQ:$BQ)=1,$C31*Thresholds_Rates!$F$18,""))))))))</f>
        <v>2653.7000000000003</v>
      </c>
      <c r="J31" s="4"/>
      <c r="K31" s="24">
        <f t="shared" ca="1" si="0"/>
        <v>33856.660000000003</v>
      </c>
      <c r="L31" s="24">
        <f t="shared" ca="1" si="1"/>
        <v>32874.790999999997</v>
      </c>
      <c r="M31" s="24">
        <f t="shared" ca="1" si="2"/>
        <v>39429.43</v>
      </c>
      <c r="N31" s="24">
        <f t="shared" ca="1" si="3"/>
        <v>31733.7</v>
      </c>
      <c r="O31" s="24">
        <f t="shared" ca="1" si="4"/>
        <v>29080</v>
      </c>
      <c r="Q31" s="27" t="str">
        <f ca="1">IF(B31="","",IF($B$4="R&amp;T Level 5 - Clinical Lecturers (Vet School)",SUMIF(Points_Lookup!$M:$M,$B31,Points_Lookup!$N:$N),IF($B$4="R&amp;T Level 6 - Clinical Associate Professors and Clinical Readers (Vet School)",SUMIF(Points_Lookup!$T:$T,$B31,Points_Lookup!$U:$U),"")))</f>
        <v/>
      </c>
      <c r="R31" s="28" t="str">
        <f ca="1">IF(B31="","",IF($B$4="R&amp;T Level 5 - Clinical Lecturers (Vet School)",$C31-SUMIF(Points_Lookup!$M:$M,$B31,Points_Lookup!$O:$O),IF($B$4="R&amp;T Level 6 - Clinical Associate Professors and Clinical Readers (Vet School)",$C31-SUMIF(Points_Lookup!$T:$T,$B31,Points_Lookup!$V:$V),"")))</f>
        <v/>
      </c>
      <c r="S31" s="27" t="str">
        <f ca="1">IF(B31="","",IF($B$4="R&amp;T Level 5 - Clinical Lecturers (Vet School)",SUMIF(Points_Lookup!$M:$M,$B31,Points_Lookup!$Q:$Q),IF($B$4="R&amp;T Level 6 - Clinical Associate Professors and Clinical Readers (Vet School)",SUMIF(Points_Lookup!$T:$T,$B31,Points_Lookup!$X:$X),"")))</f>
        <v/>
      </c>
      <c r="T31" s="28" t="str">
        <f t="shared" ca="1" si="5"/>
        <v/>
      </c>
      <c r="Y31" s="25">
        <v>23</v>
      </c>
    </row>
    <row r="32" spans="2:25" x14ac:dyDescent="0.25">
      <c r="B32" s="4">
        <f ca="1">IFERROR(INDEX(Points_Lookup!$A:$A,MATCH($Y32,Points_Lookup!$AE:$AE,0)),"")</f>
        <v>25</v>
      </c>
      <c r="C32" s="24">
        <f ca="1">IF(B32="","",IF($B$4="Apprenticeship",SUMIF(Points_Lookup!$AA:$AA,B32,Points_Lookup!$AC:$AC),IF(AND(OR($B$4="New Consultant Contract"),$B32&lt;&gt;""),INDEX(Points_Lookup!$K:$K,MATCH($B32,Points_Lookup!$J:$J,0)),IF(AND(OR($B$4="Clinical Lecturer / Medical Research Fellow",$B$4="Clinical Consultant - Old Contract (GP)"),$B32&lt;&gt;""),INDEX(Points_Lookup!$H:$H,MATCH($B32,Points_Lookup!$G:$G,0)),IF(AND(OR($B$4="APM Level 7",$B$4="R&amp;T Level 7",$B$4="APM Level 8"),B32&lt;&gt;""),INDEX(Points_Lookup!$E:$E,MATCH($Y32,Points_Lookup!$AE:$AE,0)),IF($B$4="R&amp;T Level 5 - Clinical Lecturers (Vet School)",SUMIF(Points_Lookup!$M:$M,$B32,Points_Lookup!$P:$P),IF($B$4="R&amp;T Level 6 - Clinical Associate Professors and Clinical Readers (Vet School)",SUMIF(Points_Lookup!$T:$T,$B32,Points_Lookup!$W:$W),IFERROR(INDEX(Points_Lookup!$B:$B,MATCH($Y32,Points_Lookup!$AE:$AE,0)),""))))))))</f>
        <v>27328</v>
      </c>
      <c r="D32" s="39"/>
      <c r="E32" s="24">
        <f ca="1">IF($B32="","",IF(AND($B$4="Salary Points 2 to 57",B32&lt;Thresholds_Rates!$C$16),"-",IF(SUMIF(Grades!$A:$A,$B$4,Grades!$BO:$BO)=0,"-",IF(AND($B$4="Salary Points 2 to 57",B32&gt;=Thresholds_Rates!$C$16),$C32*Thresholds_Rates!$F$15,IF(AND(OR($B$4="New Consultant Contract"),$B32&lt;&gt;""),$C32*Thresholds_Rates!$F$15,IF(AND(OR($B$4="Clinical Lecturer / Medical Research Fellow",$B$4="Clinical Consultant - Old Contract (GP)"),$B32&lt;&gt;""),$C32*Thresholds_Rates!$F$15,IF(OR($B$4="APM Level 7",$B$4="R&amp;T Level 7"),$C32*Thresholds_Rates!$F$15,IF(SUMIF(Grades!$A:$A,$B$4,Grades!$BO:$BO)=1,$C32*Thresholds_Rates!$F$15,""))))))))</f>
        <v>4919.04</v>
      </c>
      <c r="F32" s="24">
        <f ca="1">IF(B32="","",IF($B$4="Salary Points 2 to 57","-",IF(SUMIF(Grades!$A:$A,$B$4,Grades!$BP:$BP)=0,"-",IF(AND(OR($B$4="New Consultant Contract"),$B32&lt;&gt;""),$C32*Thresholds_Rates!$F$16,IF(AND(OR($B$4="Clinical Lecturer / Medical Research Fellow",$B$4="Clinical Consultant - Old Contract (GP)"),$B32&lt;&gt;""),$C32*Thresholds_Rates!$F$16,IF(AND(OR($B$4="APM Level 7",$B$4="R&amp;T Level 7"),E32&lt;&gt;""),$C32*Thresholds_Rates!$F$16,IF(SUMIF(Grades!$A:$A,$B$4,Grades!$BP:$BP)=1,$C32*Thresholds_Rates!$F$16,"")))))))</f>
        <v>3907.9039999999995</v>
      </c>
      <c r="G32" s="24">
        <f ca="1">IF($B$4="Apprenticeship","-",IF(B32="","",IF(SUMIF(Grades!$A:$A,$B$4,Grades!$BQ:$BQ)=0,"-",IF(AND($B$4="Salary Points 2 to 57",B32&gt;Thresholds_Rates!$C$17),"-",IF(AND($B$4="Salary Points 2 to 57",B32&lt;=Thresholds_Rates!$C$17),$C32*Thresholds_Rates!$F$17,IF(AND(OR($B$4="New Consultant Contract"),$B32&lt;&gt;""),$C32*Thresholds_Rates!$F$17,IF(AND(OR($B$4="Clinical Lecturer / Medical Research Fellow",$B$4="Clinical Consultant - Old Contract (GP)"),$B32&lt;&gt;""),$C32*Thresholds_Rates!$F$17,IF(AND(OR($B$4="APM Level 7",$B$4="R&amp;T Level 7"),F32&lt;&gt;""),$C32*Thresholds_Rates!$F$17,IF(SUMIF(Grades!$A:$A,$B$4,Grades!$BQ:$BQ)=1,$C32*Thresholds_Rates!$F$17,"")))))))))</f>
        <v>10657.92</v>
      </c>
      <c r="H32" s="24">
        <f ca="1">IF($B32="","",ROUND(($C32-(Thresholds_Rates!$C$5*12))*Thresholds_Rates!$C$10,0))</f>
        <v>2652</v>
      </c>
      <c r="I32" s="24">
        <f ca="1">IF(B32="","",IF(AND($B$4="Salary Points 2 to 57",B32&gt;Thresholds_Rates!$C$17),"-",IF(SUMIF(Grades!$A:$A,$B$4,Grades!$BR:$BR)=0,"-",IF(AND($B$4="Salary Points 2 to 57",B32&lt;=Thresholds_Rates!$C$17),$C32*Thresholds_Rates!$F$18,IF(AND(OR($B$4="New Consultant Contract"),$B32&lt;&gt;""),$C32*Thresholds_Rates!$F$18,IF(AND(OR($B$4="Clinical Lecturer / Medical Research Fellow",$B$4="Clinical Consultant - Old Contract (GP)"),$B32&lt;&gt;""),$C32*Thresholds_Rates!$F$18,IF(AND(OR($B$4="APM Level 7",$B$4="R&amp;T Level 7"),H32&lt;&gt;""),$C32*Thresholds_Rates!$F$18,IF(SUMIF(Grades!$A:$A,$B$4,Grades!$BQ:$BQ)=1,$C32*Thresholds_Rates!$F$18,""))))))))</f>
        <v>2732.8</v>
      </c>
      <c r="J32" s="4"/>
      <c r="K32" s="24">
        <f t="shared" ca="1" si="0"/>
        <v>34899.040000000001</v>
      </c>
      <c r="L32" s="24">
        <f t="shared" ca="1" si="1"/>
        <v>33887.904000000002</v>
      </c>
      <c r="M32" s="24">
        <f t="shared" ca="1" si="2"/>
        <v>40637.919999999998</v>
      </c>
      <c r="N32" s="24">
        <f t="shared" ca="1" si="3"/>
        <v>32712.799999999999</v>
      </c>
      <c r="O32" s="24">
        <f t="shared" ca="1" si="4"/>
        <v>29980</v>
      </c>
      <c r="Q32" s="27" t="str">
        <f ca="1">IF(B32="","",IF($B$4="R&amp;T Level 5 - Clinical Lecturers (Vet School)",SUMIF(Points_Lookup!$M:$M,$B32,Points_Lookup!$N:$N),IF($B$4="R&amp;T Level 6 - Clinical Associate Professors and Clinical Readers (Vet School)",SUMIF(Points_Lookup!$T:$T,$B32,Points_Lookup!$U:$U),"")))</f>
        <v/>
      </c>
      <c r="R32" s="28" t="str">
        <f ca="1">IF(B32="","",IF($B$4="R&amp;T Level 5 - Clinical Lecturers (Vet School)",$C32-SUMIF(Points_Lookup!$M:$M,$B32,Points_Lookup!$O:$O),IF($B$4="R&amp;T Level 6 - Clinical Associate Professors and Clinical Readers (Vet School)",$C32-SUMIF(Points_Lookup!$T:$T,$B32,Points_Lookup!$V:$V),"")))</f>
        <v/>
      </c>
      <c r="S32" s="27" t="str">
        <f ca="1">IF(B32="","",IF($B$4="R&amp;T Level 5 - Clinical Lecturers (Vet School)",SUMIF(Points_Lookup!$M:$M,$B32,Points_Lookup!$Q:$Q),IF($B$4="R&amp;T Level 6 - Clinical Associate Professors and Clinical Readers (Vet School)",SUMIF(Points_Lookup!$T:$T,$B32,Points_Lookup!$X:$X),"")))</f>
        <v/>
      </c>
      <c r="T32" s="28" t="str">
        <f t="shared" ca="1" si="5"/>
        <v/>
      </c>
      <c r="Y32" s="25">
        <v>24</v>
      </c>
    </row>
    <row r="33" spans="2:25" x14ac:dyDescent="0.25">
      <c r="B33" s="4">
        <f ca="1">IFERROR(INDEX(Points_Lookup!$A:$A,MATCH($Y33,Points_Lookup!$AE:$AE,0)),"")</f>
        <v>26</v>
      </c>
      <c r="C33" s="24">
        <f ca="1">IF(B33="","",IF($B$4="Apprenticeship",SUMIF(Points_Lookup!$AA:$AA,B33,Points_Lookup!$AC:$AC),IF(AND(OR($B$4="New Consultant Contract"),$B33&lt;&gt;""),INDEX(Points_Lookup!$K:$K,MATCH($B33,Points_Lookup!$J:$J,0)),IF(AND(OR($B$4="Clinical Lecturer / Medical Research Fellow",$B$4="Clinical Consultant - Old Contract (GP)"),$B33&lt;&gt;""),INDEX(Points_Lookup!$H:$H,MATCH($B33,Points_Lookup!$G:$G,0)),IF(AND(OR($B$4="APM Level 7",$B$4="R&amp;T Level 7",$B$4="APM Level 8"),B33&lt;&gt;""),INDEX(Points_Lookup!$E:$E,MATCH($Y33,Points_Lookup!$AE:$AE,0)),IF($B$4="R&amp;T Level 5 - Clinical Lecturers (Vet School)",SUMIF(Points_Lookup!$M:$M,$B33,Points_Lookup!$P:$P),IF($B$4="R&amp;T Level 6 - Clinical Associate Professors and Clinical Readers (Vet School)",SUMIF(Points_Lookup!$T:$T,$B33,Points_Lookup!$W:$W),IFERROR(INDEX(Points_Lookup!$B:$B,MATCH($Y33,Points_Lookup!$AE:$AE,0)),""))))))))</f>
        <v>28143</v>
      </c>
      <c r="D33" s="39"/>
      <c r="E33" s="24">
        <f ca="1">IF($B33="","",IF(AND($B$4="Salary Points 2 to 57",B33&lt;Thresholds_Rates!$C$16),"-",IF(SUMIF(Grades!$A:$A,$B$4,Grades!$BO:$BO)=0,"-",IF(AND($B$4="Salary Points 2 to 57",B33&gt;=Thresholds_Rates!$C$16),$C33*Thresholds_Rates!$F$15,IF(AND(OR($B$4="New Consultant Contract"),$B33&lt;&gt;""),$C33*Thresholds_Rates!$F$15,IF(AND(OR($B$4="Clinical Lecturer / Medical Research Fellow",$B$4="Clinical Consultant - Old Contract (GP)"),$B33&lt;&gt;""),$C33*Thresholds_Rates!$F$15,IF(OR($B$4="APM Level 7",$B$4="R&amp;T Level 7"),$C33*Thresholds_Rates!$F$15,IF(SUMIF(Grades!$A:$A,$B$4,Grades!$BO:$BO)=1,$C33*Thresholds_Rates!$F$15,""))))))))</f>
        <v>5065.74</v>
      </c>
      <c r="F33" s="24">
        <f ca="1">IF(B33="","",IF($B$4="Salary Points 2 to 57","-",IF(SUMIF(Grades!$A:$A,$B$4,Grades!$BP:$BP)=0,"-",IF(AND(OR($B$4="New Consultant Contract"),$B33&lt;&gt;""),$C33*Thresholds_Rates!$F$16,IF(AND(OR($B$4="Clinical Lecturer / Medical Research Fellow",$B$4="Clinical Consultant - Old Contract (GP)"),$B33&lt;&gt;""),$C33*Thresholds_Rates!$F$16,IF(AND(OR($B$4="APM Level 7",$B$4="R&amp;T Level 7"),E33&lt;&gt;""),$C33*Thresholds_Rates!$F$16,IF(SUMIF(Grades!$A:$A,$B$4,Grades!$BP:$BP)=1,$C33*Thresholds_Rates!$F$16,"")))))))</f>
        <v>4024.4489999999996</v>
      </c>
      <c r="G33" s="24">
        <f ca="1">IF($B$4="Apprenticeship","-",IF(B33="","",IF(SUMIF(Grades!$A:$A,$B$4,Grades!$BQ:$BQ)=0,"-",IF(AND($B$4="Salary Points 2 to 57",B33&gt;Thresholds_Rates!$C$17),"-",IF(AND($B$4="Salary Points 2 to 57",B33&lt;=Thresholds_Rates!$C$17),$C33*Thresholds_Rates!$F$17,IF(AND(OR($B$4="New Consultant Contract"),$B33&lt;&gt;""),$C33*Thresholds_Rates!$F$17,IF(AND(OR($B$4="Clinical Lecturer / Medical Research Fellow",$B$4="Clinical Consultant - Old Contract (GP)"),$B33&lt;&gt;""),$C33*Thresholds_Rates!$F$17,IF(AND(OR($B$4="APM Level 7",$B$4="R&amp;T Level 7"),F33&lt;&gt;""),$C33*Thresholds_Rates!$F$17,IF(SUMIF(Grades!$A:$A,$B$4,Grades!$BQ:$BQ)=1,$C33*Thresholds_Rates!$F$17,"")))))))))</f>
        <v>10975.77</v>
      </c>
      <c r="H33" s="24">
        <f ca="1">IF($B33="","",ROUND(($C33-(Thresholds_Rates!$C$5*12))*Thresholds_Rates!$C$10,0))</f>
        <v>2764</v>
      </c>
      <c r="I33" s="24">
        <f ca="1">IF(B33="","",IF(AND($B$4="Salary Points 2 to 57",B33&gt;Thresholds_Rates!$C$17),"-",IF(SUMIF(Grades!$A:$A,$B$4,Grades!$BR:$BR)=0,"-",IF(AND($B$4="Salary Points 2 to 57",B33&lt;=Thresholds_Rates!$C$17),$C33*Thresholds_Rates!$F$18,IF(AND(OR($B$4="New Consultant Contract"),$B33&lt;&gt;""),$C33*Thresholds_Rates!$F$18,IF(AND(OR($B$4="Clinical Lecturer / Medical Research Fellow",$B$4="Clinical Consultant - Old Contract (GP)"),$B33&lt;&gt;""),$C33*Thresholds_Rates!$F$18,IF(AND(OR($B$4="APM Level 7",$B$4="R&amp;T Level 7"),H33&lt;&gt;""),$C33*Thresholds_Rates!$F$18,IF(SUMIF(Grades!$A:$A,$B$4,Grades!$BQ:$BQ)=1,$C33*Thresholds_Rates!$F$18,""))))))))</f>
        <v>2814.3</v>
      </c>
      <c r="J33" s="4"/>
      <c r="K33" s="24">
        <f t="shared" ca="1" si="0"/>
        <v>35972.74</v>
      </c>
      <c r="L33" s="24">
        <f t="shared" ca="1" si="1"/>
        <v>34931.449000000001</v>
      </c>
      <c r="M33" s="24">
        <f t="shared" ca="1" si="2"/>
        <v>41882.770000000004</v>
      </c>
      <c r="N33" s="24">
        <f t="shared" ca="1" si="3"/>
        <v>33721.300000000003</v>
      </c>
      <c r="O33" s="24">
        <f t="shared" ca="1" si="4"/>
        <v>30907</v>
      </c>
      <c r="Q33" s="27" t="str">
        <f ca="1">IF(B33="","",IF($B$4="R&amp;T Level 5 - Clinical Lecturers (Vet School)",SUMIF(Points_Lookup!$M:$M,$B33,Points_Lookup!$N:$N),IF($B$4="R&amp;T Level 6 - Clinical Associate Professors and Clinical Readers (Vet School)",SUMIF(Points_Lookup!$T:$T,$B33,Points_Lookup!$U:$U),"")))</f>
        <v/>
      </c>
      <c r="R33" s="28" t="str">
        <f ca="1">IF(B33="","",IF($B$4="R&amp;T Level 5 - Clinical Lecturers (Vet School)",$C33-SUMIF(Points_Lookup!$M:$M,$B33,Points_Lookup!$O:$O),IF($B$4="R&amp;T Level 6 - Clinical Associate Professors and Clinical Readers (Vet School)",$C33-SUMIF(Points_Lookup!$T:$T,$B33,Points_Lookup!$V:$V),"")))</f>
        <v/>
      </c>
      <c r="S33" s="27" t="str">
        <f ca="1">IF(B33="","",IF($B$4="R&amp;T Level 5 - Clinical Lecturers (Vet School)",SUMIF(Points_Lookup!$M:$M,$B33,Points_Lookup!$Q:$Q),IF($B$4="R&amp;T Level 6 - Clinical Associate Professors and Clinical Readers (Vet School)",SUMIF(Points_Lookup!$T:$T,$B33,Points_Lookup!$X:$X),"")))</f>
        <v/>
      </c>
      <c r="T33" s="28" t="str">
        <f t="shared" ca="1" si="5"/>
        <v/>
      </c>
      <c r="Y33" s="25">
        <v>25</v>
      </c>
    </row>
    <row r="34" spans="2:25" x14ac:dyDescent="0.25">
      <c r="B34" s="4">
        <f ca="1">IFERROR(INDEX(Points_Lookup!$A:$A,MATCH($Y34,Points_Lookup!$AE:$AE,0)),"")</f>
        <v>27</v>
      </c>
      <c r="C34" s="24">
        <f ca="1">IF(B34="","",IF($B$4="Apprenticeship",SUMIF(Points_Lookup!$AA:$AA,B34,Points_Lookup!$AC:$AC),IF(AND(OR($B$4="New Consultant Contract"),$B34&lt;&gt;""),INDEX(Points_Lookup!$K:$K,MATCH($B34,Points_Lookup!$J:$J,0)),IF(AND(OR($B$4="Clinical Lecturer / Medical Research Fellow",$B$4="Clinical Consultant - Old Contract (GP)"),$B34&lt;&gt;""),INDEX(Points_Lookup!$H:$H,MATCH($B34,Points_Lookup!$G:$G,0)),IF(AND(OR($B$4="APM Level 7",$B$4="R&amp;T Level 7",$B$4="APM Level 8"),B34&lt;&gt;""),INDEX(Points_Lookup!$E:$E,MATCH($Y34,Points_Lookup!$AE:$AE,0)),IF($B$4="R&amp;T Level 5 - Clinical Lecturers (Vet School)",SUMIF(Points_Lookup!$M:$M,$B34,Points_Lookup!$P:$P),IF($B$4="R&amp;T Level 6 - Clinical Associate Professors and Clinical Readers (Vet School)",SUMIF(Points_Lookup!$T:$T,$B34,Points_Lookup!$W:$W),IFERROR(INDEX(Points_Lookup!$B:$B,MATCH($Y34,Points_Lookup!$AE:$AE,0)),""))))))))</f>
        <v>28982</v>
      </c>
      <c r="D34" s="39"/>
      <c r="E34" s="24">
        <f ca="1">IF($B34="","",IF(AND($B$4="Salary Points 2 to 57",B34&lt;Thresholds_Rates!$C$16),"-",IF(SUMIF(Grades!$A:$A,$B$4,Grades!$BO:$BO)=0,"-",IF(AND($B$4="Salary Points 2 to 57",B34&gt;=Thresholds_Rates!$C$16),$C34*Thresholds_Rates!$F$15,IF(AND(OR($B$4="New Consultant Contract"),$B34&lt;&gt;""),$C34*Thresholds_Rates!$F$15,IF(AND(OR($B$4="Clinical Lecturer / Medical Research Fellow",$B$4="Clinical Consultant - Old Contract (GP)"),$B34&lt;&gt;""),$C34*Thresholds_Rates!$F$15,IF(OR($B$4="APM Level 7",$B$4="R&amp;T Level 7"),$C34*Thresholds_Rates!$F$15,IF(SUMIF(Grades!$A:$A,$B$4,Grades!$BO:$BO)=1,$C34*Thresholds_Rates!$F$15,""))))))))</f>
        <v>5216.76</v>
      </c>
      <c r="F34" s="24">
        <f ca="1">IF(B34="","",IF($B$4="Salary Points 2 to 57","-",IF(SUMIF(Grades!$A:$A,$B$4,Grades!$BP:$BP)=0,"-",IF(AND(OR($B$4="New Consultant Contract"),$B34&lt;&gt;""),$C34*Thresholds_Rates!$F$16,IF(AND(OR($B$4="Clinical Lecturer / Medical Research Fellow",$B$4="Clinical Consultant - Old Contract (GP)"),$B34&lt;&gt;""),$C34*Thresholds_Rates!$F$16,IF(AND(OR($B$4="APM Level 7",$B$4="R&amp;T Level 7"),E34&lt;&gt;""),$C34*Thresholds_Rates!$F$16,IF(SUMIF(Grades!$A:$A,$B$4,Grades!$BP:$BP)=1,$C34*Thresholds_Rates!$F$16,"")))))))</f>
        <v>4144.4259999999995</v>
      </c>
      <c r="G34" s="24">
        <f ca="1">IF($B$4="Apprenticeship","-",IF(B34="","",IF(SUMIF(Grades!$A:$A,$B$4,Grades!$BQ:$BQ)=0,"-",IF(AND($B$4="Salary Points 2 to 57",B34&gt;Thresholds_Rates!$C$17),"-",IF(AND($B$4="Salary Points 2 to 57",B34&lt;=Thresholds_Rates!$C$17),$C34*Thresholds_Rates!$F$17,IF(AND(OR($B$4="New Consultant Contract"),$B34&lt;&gt;""),$C34*Thresholds_Rates!$F$17,IF(AND(OR($B$4="Clinical Lecturer / Medical Research Fellow",$B$4="Clinical Consultant - Old Contract (GP)"),$B34&lt;&gt;""),$C34*Thresholds_Rates!$F$17,IF(AND(OR($B$4="APM Level 7",$B$4="R&amp;T Level 7"),F34&lt;&gt;""),$C34*Thresholds_Rates!$F$17,IF(SUMIF(Grades!$A:$A,$B$4,Grades!$BQ:$BQ)=1,$C34*Thresholds_Rates!$F$17,"")))))))))</f>
        <v>11302.98</v>
      </c>
      <c r="H34" s="24">
        <f ca="1">IF($B34="","",ROUND(($C34-(Thresholds_Rates!$C$5*12))*Thresholds_Rates!$C$10,0))</f>
        <v>2880</v>
      </c>
      <c r="I34" s="24">
        <f ca="1">IF(B34="","",IF(AND($B$4="Salary Points 2 to 57",B34&gt;Thresholds_Rates!$C$17),"-",IF(SUMIF(Grades!$A:$A,$B$4,Grades!$BR:$BR)=0,"-",IF(AND($B$4="Salary Points 2 to 57",B34&lt;=Thresholds_Rates!$C$17),$C34*Thresholds_Rates!$F$18,IF(AND(OR($B$4="New Consultant Contract"),$B34&lt;&gt;""),$C34*Thresholds_Rates!$F$18,IF(AND(OR($B$4="Clinical Lecturer / Medical Research Fellow",$B$4="Clinical Consultant - Old Contract (GP)"),$B34&lt;&gt;""),$C34*Thresholds_Rates!$F$18,IF(AND(OR($B$4="APM Level 7",$B$4="R&amp;T Level 7"),H34&lt;&gt;""),$C34*Thresholds_Rates!$F$18,IF(SUMIF(Grades!$A:$A,$B$4,Grades!$BQ:$BQ)=1,$C34*Thresholds_Rates!$F$18,""))))))))</f>
        <v>2898.2000000000003</v>
      </c>
      <c r="J34" s="4"/>
      <c r="K34" s="24">
        <f t="shared" ca="1" si="0"/>
        <v>37078.76</v>
      </c>
      <c r="L34" s="24">
        <f t="shared" ca="1" si="1"/>
        <v>36006.425999999999</v>
      </c>
      <c r="M34" s="24">
        <f t="shared" ca="1" si="2"/>
        <v>43164.979999999996</v>
      </c>
      <c r="N34" s="24">
        <f t="shared" ca="1" si="3"/>
        <v>34760.199999999997</v>
      </c>
      <c r="O34" s="24">
        <f t="shared" ca="1" si="4"/>
        <v>31862</v>
      </c>
      <c r="Q34" s="27" t="str">
        <f ca="1">IF(B34="","",IF($B$4="R&amp;T Level 5 - Clinical Lecturers (Vet School)",SUMIF(Points_Lookup!$M:$M,$B34,Points_Lookup!$N:$N),IF($B$4="R&amp;T Level 6 - Clinical Associate Professors and Clinical Readers (Vet School)",SUMIF(Points_Lookup!$T:$T,$B34,Points_Lookup!$U:$U),"")))</f>
        <v/>
      </c>
      <c r="R34" s="28" t="str">
        <f ca="1">IF(B34="","",IF($B$4="R&amp;T Level 5 - Clinical Lecturers (Vet School)",$C34-SUMIF(Points_Lookup!$M:$M,$B34,Points_Lookup!$O:$O),IF($B$4="R&amp;T Level 6 - Clinical Associate Professors and Clinical Readers (Vet School)",$C34-SUMIF(Points_Lookup!$T:$T,$B34,Points_Lookup!$V:$V),"")))</f>
        <v/>
      </c>
      <c r="S34" s="27" t="str">
        <f ca="1">IF(B34="","",IF($B$4="R&amp;T Level 5 - Clinical Lecturers (Vet School)",SUMIF(Points_Lookup!$M:$M,$B34,Points_Lookup!$Q:$Q),IF($B$4="R&amp;T Level 6 - Clinical Associate Professors and Clinical Readers (Vet School)",SUMIF(Points_Lookup!$T:$T,$B34,Points_Lookup!$X:$X),"")))</f>
        <v/>
      </c>
      <c r="T34" s="28" t="str">
        <f t="shared" ca="1" si="5"/>
        <v/>
      </c>
      <c r="Y34" s="25">
        <v>26</v>
      </c>
    </row>
    <row r="35" spans="2:25" x14ac:dyDescent="0.25">
      <c r="B35" s="4">
        <f ca="1">IFERROR(INDEX(Points_Lookup!$A:$A,MATCH($Y35,Points_Lookup!$AE:$AE,0)),"")</f>
        <v>28</v>
      </c>
      <c r="C35" s="24">
        <f ca="1">IF(B35="","",IF($B$4="Apprenticeship",SUMIF(Points_Lookup!$AA:$AA,B35,Points_Lookup!$AC:$AC),IF(AND(OR($B$4="New Consultant Contract"),$B35&lt;&gt;""),INDEX(Points_Lookup!$K:$K,MATCH($B35,Points_Lookup!$J:$J,0)),IF(AND(OR($B$4="Clinical Lecturer / Medical Research Fellow",$B$4="Clinical Consultant - Old Contract (GP)"),$B35&lt;&gt;""),INDEX(Points_Lookup!$H:$H,MATCH($B35,Points_Lookup!$G:$G,0)),IF(AND(OR($B$4="APM Level 7",$B$4="R&amp;T Level 7",$B$4="APM Level 8"),B35&lt;&gt;""),INDEX(Points_Lookup!$E:$E,MATCH($Y35,Points_Lookup!$AE:$AE,0)),IF($B$4="R&amp;T Level 5 - Clinical Lecturers (Vet School)",SUMIF(Points_Lookup!$M:$M,$B35,Points_Lookup!$P:$P),IF($B$4="R&amp;T Level 6 - Clinical Associate Professors and Clinical Readers (Vet School)",SUMIF(Points_Lookup!$T:$T,$B35,Points_Lookup!$W:$W),IFERROR(INDEX(Points_Lookup!$B:$B,MATCH($Y35,Points_Lookup!$AE:$AE,0)),""))))))))</f>
        <v>29847</v>
      </c>
      <c r="D35" s="39"/>
      <c r="E35" s="24">
        <f ca="1">IF($B35="","",IF(AND($B$4="Salary Points 2 to 57",B35&lt;Thresholds_Rates!$C$16),"-",IF(SUMIF(Grades!$A:$A,$B$4,Grades!$BO:$BO)=0,"-",IF(AND($B$4="Salary Points 2 to 57",B35&gt;=Thresholds_Rates!$C$16),$C35*Thresholds_Rates!$F$15,IF(AND(OR($B$4="New Consultant Contract"),$B35&lt;&gt;""),$C35*Thresholds_Rates!$F$15,IF(AND(OR($B$4="Clinical Lecturer / Medical Research Fellow",$B$4="Clinical Consultant - Old Contract (GP)"),$B35&lt;&gt;""),$C35*Thresholds_Rates!$F$15,IF(OR($B$4="APM Level 7",$B$4="R&amp;T Level 7"),$C35*Thresholds_Rates!$F$15,IF(SUMIF(Grades!$A:$A,$B$4,Grades!$BO:$BO)=1,$C35*Thresholds_Rates!$F$15,""))))))))</f>
        <v>5372.46</v>
      </c>
      <c r="F35" s="24">
        <f ca="1">IF(B35="","",IF($B$4="Salary Points 2 to 57","-",IF(SUMIF(Grades!$A:$A,$B$4,Grades!$BP:$BP)=0,"-",IF(AND(OR($B$4="New Consultant Contract"),$B35&lt;&gt;""),$C35*Thresholds_Rates!$F$16,IF(AND(OR($B$4="Clinical Lecturer / Medical Research Fellow",$B$4="Clinical Consultant - Old Contract (GP)"),$B35&lt;&gt;""),$C35*Thresholds_Rates!$F$16,IF(AND(OR($B$4="APM Level 7",$B$4="R&amp;T Level 7"),E35&lt;&gt;""),$C35*Thresholds_Rates!$F$16,IF(SUMIF(Grades!$A:$A,$B$4,Grades!$BP:$BP)=1,$C35*Thresholds_Rates!$F$16,"")))))))</f>
        <v>4268.1210000000001</v>
      </c>
      <c r="G35" s="24">
        <f ca="1">IF($B$4="Apprenticeship","-",IF(B35="","",IF(SUMIF(Grades!$A:$A,$B$4,Grades!$BQ:$BQ)=0,"-",IF(AND($B$4="Salary Points 2 to 57",B35&gt;Thresholds_Rates!$C$17),"-",IF(AND($B$4="Salary Points 2 to 57",B35&lt;=Thresholds_Rates!$C$17),$C35*Thresholds_Rates!$F$17,IF(AND(OR($B$4="New Consultant Contract"),$B35&lt;&gt;""),$C35*Thresholds_Rates!$F$17,IF(AND(OR($B$4="Clinical Lecturer / Medical Research Fellow",$B$4="Clinical Consultant - Old Contract (GP)"),$B35&lt;&gt;""),$C35*Thresholds_Rates!$F$17,IF(AND(OR($B$4="APM Level 7",$B$4="R&amp;T Level 7"),F35&lt;&gt;""),$C35*Thresholds_Rates!$F$17,IF(SUMIF(Grades!$A:$A,$B$4,Grades!$BQ:$BQ)=1,$C35*Thresholds_Rates!$F$17,"")))))))))</f>
        <v>11640.33</v>
      </c>
      <c r="H35" s="24">
        <f ca="1">IF($B35="","",ROUND(($C35-(Thresholds_Rates!$C$5*12))*Thresholds_Rates!$C$10,0))</f>
        <v>2999</v>
      </c>
      <c r="I35" s="24">
        <f ca="1">IF(B35="","",IF(AND($B$4="Salary Points 2 to 57",B35&gt;Thresholds_Rates!$C$17),"-",IF(SUMIF(Grades!$A:$A,$B$4,Grades!$BR:$BR)=0,"-",IF(AND($B$4="Salary Points 2 to 57",B35&lt;=Thresholds_Rates!$C$17),$C35*Thresholds_Rates!$F$18,IF(AND(OR($B$4="New Consultant Contract"),$B35&lt;&gt;""),$C35*Thresholds_Rates!$F$18,IF(AND(OR($B$4="Clinical Lecturer / Medical Research Fellow",$B$4="Clinical Consultant - Old Contract (GP)"),$B35&lt;&gt;""),$C35*Thresholds_Rates!$F$18,IF(AND(OR($B$4="APM Level 7",$B$4="R&amp;T Level 7"),H35&lt;&gt;""),$C35*Thresholds_Rates!$F$18,IF(SUMIF(Grades!$A:$A,$B$4,Grades!$BQ:$BQ)=1,$C35*Thresholds_Rates!$F$18,""))))))))</f>
        <v>2984.7000000000003</v>
      </c>
      <c r="J35" s="4"/>
      <c r="K35" s="24">
        <f t="shared" ca="1" si="0"/>
        <v>38218.46</v>
      </c>
      <c r="L35" s="24">
        <f t="shared" ca="1" si="1"/>
        <v>37114.120999999999</v>
      </c>
      <c r="M35" s="24">
        <f t="shared" ca="1" si="2"/>
        <v>44486.33</v>
      </c>
      <c r="N35" s="24">
        <f t="shared" ca="1" si="3"/>
        <v>35830.699999999997</v>
      </c>
      <c r="O35" s="24">
        <f t="shared" ca="1" si="4"/>
        <v>32846</v>
      </c>
      <c r="Q35" s="27" t="str">
        <f ca="1">IF(B35="","",IF($B$4="R&amp;T Level 5 - Clinical Lecturers (Vet School)",SUMIF(Points_Lookup!$M:$M,$B35,Points_Lookup!$N:$N),IF($B$4="R&amp;T Level 6 - Clinical Associate Professors and Clinical Readers (Vet School)",SUMIF(Points_Lookup!$T:$T,$B35,Points_Lookup!$U:$U),"")))</f>
        <v/>
      </c>
      <c r="R35" s="28" t="str">
        <f ca="1">IF(B35="","",IF($B$4="R&amp;T Level 5 - Clinical Lecturers (Vet School)",$C35-SUMIF(Points_Lookup!$M:$M,$B35,Points_Lookup!$O:$O),IF($B$4="R&amp;T Level 6 - Clinical Associate Professors and Clinical Readers (Vet School)",$C35-SUMIF(Points_Lookup!$T:$T,$B35,Points_Lookup!$V:$V),"")))</f>
        <v/>
      </c>
      <c r="S35" s="27" t="str">
        <f ca="1">IF(B35="","",IF($B$4="R&amp;T Level 5 - Clinical Lecturers (Vet School)",SUMIF(Points_Lookup!$M:$M,$B35,Points_Lookup!$Q:$Q),IF($B$4="R&amp;T Level 6 - Clinical Associate Professors and Clinical Readers (Vet School)",SUMIF(Points_Lookup!$T:$T,$B35,Points_Lookup!$X:$X),"")))</f>
        <v/>
      </c>
      <c r="T35" s="28" t="str">
        <f t="shared" ca="1" si="5"/>
        <v/>
      </c>
      <c r="Y35" s="25">
        <v>27</v>
      </c>
    </row>
    <row r="36" spans="2:25" x14ac:dyDescent="0.25">
      <c r="B36" s="4">
        <f ca="1">IFERROR(INDEX(Points_Lookup!$A:$A,MATCH($Y36,Points_Lookup!$AE:$AE,0)),"")</f>
        <v>29</v>
      </c>
      <c r="C36" s="24">
        <f ca="1">IF(B36="","",IF($B$4="Apprenticeship",SUMIF(Points_Lookup!$AA:$AA,B36,Points_Lookup!$AC:$AC),IF(AND(OR($B$4="New Consultant Contract"),$B36&lt;&gt;""),INDEX(Points_Lookup!$K:$K,MATCH($B36,Points_Lookup!$J:$J,0)),IF(AND(OR($B$4="Clinical Lecturer / Medical Research Fellow",$B$4="Clinical Consultant - Old Contract (GP)"),$B36&lt;&gt;""),INDEX(Points_Lookup!$H:$H,MATCH($B36,Points_Lookup!$G:$G,0)),IF(AND(OR($B$4="APM Level 7",$B$4="R&amp;T Level 7",$B$4="APM Level 8"),B36&lt;&gt;""),INDEX(Points_Lookup!$E:$E,MATCH($Y36,Points_Lookup!$AE:$AE,0)),IF($B$4="R&amp;T Level 5 - Clinical Lecturers (Vet School)",SUMIF(Points_Lookup!$M:$M,$B36,Points_Lookup!$P:$P),IF($B$4="R&amp;T Level 6 - Clinical Associate Professors and Clinical Readers (Vet School)",SUMIF(Points_Lookup!$T:$T,$B36,Points_Lookup!$W:$W),IFERROR(INDEX(Points_Lookup!$B:$B,MATCH($Y36,Points_Lookup!$AE:$AE,0)),""))))))))</f>
        <v>30738</v>
      </c>
      <c r="D36" s="39"/>
      <c r="E36" s="24">
        <f ca="1">IF($B36="","",IF(AND($B$4="Salary Points 2 to 57",B36&lt;Thresholds_Rates!$C$16),"-",IF(SUMIF(Grades!$A:$A,$B$4,Grades!$BO:$BO)=0,"-",IF(AND($B$4="Salary Points 2 to 57",B36&gt;=Thresholds_Rates!$C$16),$C36*Thresholds_Rates!$F$15,IF(AND(OR($B$4="New Consultant Contract"),$B36&lt;&gt;""),$C36*Thresholds_Rates!$F$15,IF(AND(OR($B$4="Clinical Lecturer / Medical Research Fellow",$B$4="Clinical Consultant - Old Contract (GP)"),$B36&lt;&gt;""),$C36*Thresholds_Rates!$F$15,IF(OR($B$4="APM Level 7",$B$4="R&amp;T Level 7"),$C36*Thresholds_Rates!$F$15,IF(SUMIF(Grades!$A:$A,$B$4,Grades!$BO:$BO)=1,$C36*Thresholds_Rates!$F$15,""))))))))</f>
        <v>5532.84</v>
      </c>
      <c r="F36" s="24">
        <f ca="1">IF(B36="","",IF($B$4="Salary Points 2 to 57","-",IF(SUMIF(Grades!$A:$A,$B$4,Grades!$BP:$BP)=0,"-",IF(AND(OR($B$4="New Consultant Contract"),$B36&lt;&gt;""),$C36*Thresholds_Rates!$F$16,IF(AND(OR($B$4="Clinical Lecturer / Medical Research Fellow",$B$4="Clinical Consultant - Old Contract (GP)"),$B36&lt;&gt;""),$C36*Thresholds_Rates!$F$16,IF(AND(OR($B$4="APM Level 7",$B$4="R&amp;T Level 7"),E36&lt;&gt;""),$C36*Thresholds_Rates!$F$16,IF(SUMIF(Grades!$A:$A,$B$4,Grades!$BP:$BP)=1,$C36*Thresholds_Rates!$F$16,"")))))))</f>
        <v>4395.5339999999997</v>
      </c>
      <c r="G36" s="24">
        <f ca="1">IF($B$4="Apprenticeship","-",IF(B36="","",IF(SUMIF(Grades!$A:$A,$B$4,Grades!$BQ:$BQ)=0,"-",IF(AND($B$4="Salary Points 2 to 57",B36&gt;Thresholds_Rates!$C$17),"-",IF(AND($B$4="Salary Points 2 to 57",B36&lt;=Thresholds_Rates!$C$17),$C36*Thresholds_Rates!$F$17,IF(AND(OR($B$4="New Consultant Contract"),$B36&lt;&gt;""),$C36*Thresholds_Rates!$F$17,IF(AND(OR($B$4="Clinical Lecturer / Medical Research Fellow",$B$4="Clinical Consultant - Old Contract (GP)"),$B36&lt;&gt;""),$C36*Thresholds_Rates!$F$17,IF(AND(OR($B$4="APM Level 7",$B$4="R&amp;T Level 7"),F36&lt;&gt;""),$C36*Thresholds_Rates!$F$17,IF(SUMIF(Grades!$A:$A,$B$4,Grades!$BQ:$BQ)=1,$C36*Thresholds_Rates!$F$17,"")))))))))</f>
        <v>11987.82</v>
      </c>
      <c r="H36" s="24">
        <f ca="1">IF($B36="","",ROUND(($C36-(Thresholds_Rates!$C$5*12))*Thresholds_Rates!$C$10,0))</f>
        <v>3122</v>
      </c>
      <c r="I36" s="24">
        <f ca="1">IF(B36="","",IF(AND($B$4="Salary Points 2 to 57",B36&gt;Thresholds_Rates!$C$17),"-",IF(SUMIF(Grades!$A:$A,$B$4,Grades!$BR:$BR)=0,"-",IF(AND($B$4="Salary Points 2 to 57",B36&lt;=Thresholds_Rates!$C$17),$C36*Thresholds_Rates!$F$18,IF(AND(OR($B$4="New Consultant Contract"),$B36&lt;&gt;""),$C36*Thresholds_Rates!$F$18,IF(AND(OR($B$4="Clinical Lecturer / Medical Research Fellow",$B$4="Clinical Consultant - Old Contract (GP)"),$B36&lt;&gt;""),$C36*Thresholds_Rates!$F$18,IF(AND(OR($B$4="APM Level 7",$B$4="R&amp;T Level 7"),H36&lt;&gt;""),$C36*Thresholds_Rates!$F$18,IF(SUMIF(Grades!$A:$A,$B$4,Grades!$BQ:$BQ)=1,$C36*Thresholds_Rates!$F$18,""))))))))</f>
        <v>3073.8</v>
      </c>
      <c r="J36" s="4"/>
      <c r="K36" s="24">
        <f t="shared" ca="1" si="0"/>
        <v>39392.839999999997</v>
      </c>
      <c r="L36" s="24">
        <f t="shared" ca="1" si="1"/>
        <v>38255.534</v>
      </c>
      <c r="M36" s="24">
        <f t="shared" ca="1" si="2"/>
        <v>45847.82</v>
      </c>
      <c r="N36" s="24">
        <f t="shared" ca="1" si="3"/>
        <v>36933.800000000003</v>
      </c>
      <c r="O36" s="24">
        <f t="shared" ca="1" si="4"/>
        <v>33860</v>
      </c>
      <c r="Q36" s="27" t="str">
        <f ca="1">IF(B36="","",IF($B$4="R&amp;T Level 5 - Clinical Lecturers (Vet School)",SUMIF(Points_Lookup!$M:$M,$B36,Points_Lookup!$N:$N),IF($B$4="R&amp;T Level 6 - Clinical Associate Professors and Clinical Readers (Vet School)",SUMIF(Points_Lookup!$T:$T,$B36,Points_Lookup!$U:$U),"")))</f>
        <v/>
      </c>
      <c r="R36" s="28" t="str">
        <f ca="1">IF(B36="","",IF($B$4="R&amp;T Level 5 - Clinical Lecturers (Vet School)",$C36-SUMIF(Points_Lookup!$M:$M,$B36,Points_Lookup!$O:$O),IF($B$4="R&amp;T Level 6 - Clinical Associate Professors and Clinical Readers (Vet School)",$C36-SUMIF(Points_Lookup!$T:$T,$B36,Points_Lookup!$V:$V),"")))</f>
        <v/>
      </c>
      <c r="S36" s="27" t="str">
        <f ca="1">IF(B36="","",IF($B$4="R&amp;T Level 5 - Clinical Lecturers (Vet School)",SUMIF(Points_Lookup!$M:$M,$B36,Points_Lookup!$Q:$Q),IF($B$4="R&amp;T Level 6 - Clinical Associate Professors and Clinical Readers (Vet School)",SUMIF(Points_Lookup!$T:$T,$B36,Points_Lookup!$X:$X),"")))</f>
        <v/>
      </c>
      <c r="T36" s="28" t="str">
        <f t="shared" ca="1" si="5"/>
        <v/>
      </c>
      <c r="Y36" s="25">
        <v>28</v>
      </c>
    </row>
    <row r="37" spans="2:25" x14ac:dyDescent="0.25">
      <c r="B37" s="4">
        <f ca="1">IFERROR(INDEX(Points_Lookup!$A:$A,MATCH($Y37,Points_Lookup!$AE:$AE,0)),"")</f>
        <v>30</v>
      </c>
      <c r="C37" s="24">
        <f ca="1">IF(B37="","",IF($B$4="Apprenticeship",SUMIF(Points_Lookup!$AA:$AA,B37,Points_Lookup!$AC:$AC),IF(AND(OR($B$4="New Consultant Contract"),$B37&lt;&gt;""),INDEX(Points_Lookup!$K:$K,MATCH($B37,Points_Lookup!$J:$J,0)),IF(AND(OR($B$4="Clinical Lecturer / Medical Research Fellow",$B$4="Clinical Consultant - Old Contract (GP)"),$B37&lt;&gt;""),INDEX(Points_Lookup!$H:$H,MATCH($B37,Points_Lookup!$G:$G,0)),IF(AND(OR($B$4="APM Level 7",$B$4="R&amp;T Level 7",$B$4="APM Level 8"),B37&lt;&gt;""),INDEX(Points_Lookup!$E:$E,MATCH($Y37,Points_Lookup!$AE:$AE,0)),IF($B$4="R&amp;T Level 5 - Clinical Lecturers (Vet School)",SUMIF(Points_Lookup!$M:$M,$B37,Points_Lookup!$P:$P),IF($B$4="R&amp;T Level 6 - Clinical Associate Professors and Clinical Readers (Vet School)",SUMIF(Points_Lookup!$T:$T,$B37,Points_Lookup!$W:$W),IFERROR(INDEX(Points_Lookup!$B:$B,MATCH($Y37,Points_Lookup!$AE:$AE,0)),""))))))))</f>
        <v>31656</v>
      </c>
      <c r="D37" s="39"/>
      <c r="E37" s="24">
        <f ca="1">IF($B37="","",IF(AND($B$4="Salary Points 2 to 57",B37&lt;Thresholds_Rates!$C$16),"-",IF(SUMIF(Grades!$A:$A,$B$4,Grades!$BO:$BO)=0,"-",IF(AND($B$4="Salary Points 2 to 57",B37&gt;=Thresholds_Rates!$C$16),$C37*Thresholds_Rates!$F$15,IF(AND(OR($B$4="New Consultant Contract"),$B37&lt;&gt;""),$C37*Thresholds_Rates!$F$15,IF(AND(OR($B$4="Clinical Lecturer / Medical Research Fellow",$B$4="Clinical Consultant - Old Contract (GP)"),$B37&lt;&gt;""),$C37*Thresholds_Rates!$F$15,IF(OR($B$4="APM Level 7",$B$4="R&amp;T Level 7"),$C37*Thresholds_Rates!$F$15,IF(SUMIF(Grades!$A:$A,$B$4,Grades!$BO:$BO)=1,$C37*Thresholds_Rates!$F$15,""))))))))</f>
        <v>5698.08</v>
      </c>
      <c r="F37" s="24">
        <f ca="1">IF(B37="","",IF($B$4="Salary Points 2 to 57","-",IF(SUMIF(Grades!$A:$A,$B$4,Grades!$BP:$BP)=0,"-",IF(AND(OR($B$4="New Consultant Contract"),$B37&lt;&gt;""),$C37*Thresholds_Rates!$F$16,IF(AND(OR($B$4="Clinical Lecturer / Medical Research Fellow",$B$4="Clinical Consultant - Old Contract (GP)"),$B37&lt;&gt;""),$C37*Thresholds_Rates!$F$16,IF(AND(OR($B$4="APM Level 7",$B$4="R&amp;T Level 7"),E37&lt;&gt;""),$C37*Thresholds_Rates!$F$16,IF(SUMIF(Grades!$A:$A,$B$4,Grades!$BP:$BP)=1,$C37*Thresholds_Rates!$F$16,"")))))))</f>
        <v>4526.808</v>
      </c>
      <c r="G37" s="24">
        <f ca="1">IF($B$4="Apprenticeship","-",IF(B37="","",IF(SUMIF(Grades!$A:$A,$B$4,Grades!$BQ:$BQ)=0,"-",IF(AND($B$4="Salary Points 2 to 57",B37&gt;Thresholds_Rates!$C$17),"-",IF(AND($B$4="Salary Points 2 to 57",B37&lt;=Thresholds_Rates!$C$17),$C37*Thresholds_Rates!$F$17,IF(AND(OR($B$4="New Consultant Contract"),$B37&lt;&gt;""),$C37*Thresholds_Rates!$F$17,IF(AND(OR($B$4="Clinical Lecturer / Medical Research Fellow",$B$4="Clinical Consultant - Old Contract (GP)"),$B37&lt;&gt;""),$C37*Thresholds_Rates!$F$17,IF(AND(OR($B$4="APM Level 7",$B$4="R&amp;T Level 7"),F37&lt;&gt;""),$C37*Thresholds_Rates!$F$17,IF(SUMIF(Grades!$A:$A,$B$4,Grades!$BQ:$BQ)=1,$C37*Thresholds_Rates!$F$17,"")))))))))</f>
        <v>12345.84</v>
      </c>
      <c r="H37" s="24">
        <f ca="1">IF($B37="","",ROUND(($C37-(Thresholds_Rates!$C$5*12))*Thresholds_Rates!$C$10,0))</f>
        <v>3249</v>
      </c>
      <c r="I37" s="24">
        <f ca="1">IF(B37="","",IF(AND($B$4="Salary Points 2 to 57",B37&gt;Thresholds_Rates!$C$17),"-",IF(SUMIF(Grades!$A:$A,$B$4,Grades!$BR:$BR)=0,"-",IF(AND($B$4="Salary Points 2 to 57",B37&lt;=Thresholds_Rates!$C$17),$C37*Thresholds_Rates!$F$18,IF(AND(OR($B$4="New Consultant Contract"),$B37&lt;&gt;""),$C37*Thresholds_Rates!$F$18,IF(AND(OR($B$4="Clinical Lecturer / Medical Research Fellow",$B$4="Clinical Consultant - Old Contract (GP)"),$B37&lt;&gt;""),$C37*Thresholds_Rates!$F$18,IF(AND(OR($B$4="APM Level 7",$B$4="R&amp;T Level 7"),H37&lt;&gt;""),$C37*Thresholds_Rates!$F$18,IF(SUMIF(Grades!$A:$A,$B$4,Grades!$BQ:$BQ)=1,$C37*Thresholds_Rates!$F$18,""))))))))</f>
        <v>3165.6000000000004</v>
      </c>
      <c r="J37" s="4"/>
      <c r="K37" s="24">
        <f t="shared" ca="1" si="0"/>
        <v>40603.08</v>
      </c>
      <c r="L37" s="24">
        <f t="shared" ca="1" si="1"/>
        <v>39431.807999999997</v>
      </c>
      <c r="M37" s="24">
        <f t="shared" ca="1" si="2"/>
        <v>47250.84</v>
      </c>
      <c r="N37" s="24">
        <f t="shared" ca="1" si="3"/>
        <v>38070.6</v>
      </c>
      <c r="O37" s="24">
        <f t="shared" ca="1" si="4"/>
        <v>34905</v>
      </c>
      <c r="Q37" s="27" t="str">
        <f ca="1">IF(B37="","",IF($B$4="R&amp;T Level 5 - Clinical Lecturers (Vet School)",SUMIF(Points_Lookup!$M:$M,$B37,Points_Lookup!$N:$N),IF($B$4="R&amp;T Level 6 - Clinical Associate Professors and Clinical Readers (Vet School)",SUMIF(Points_Lookup!$T:$T,$B37,Points_Lookup!$U:$U),"")))</f>
        <v/>
      </c>
      <c r="R37" s="28" t="str">
        <f ca="1">IF(B37="","",IF($B$4="R&amp;T Level 5 - Clinical Lecturers (Vet School)",$C37-SUMIF(Points_Lookup!$M:$M,$B37,Points_Lookup!$O:$O),IF($B$4="R&amp;T Level 6 - Clinical Associate Professors and Clinical Readers (Vet School)",$C37-SUMIF(Points_Lookup!$T:$T,$B37,Points_Lookup!$V:$V),"")))</f>
        <v/>
      </c>
      <c r="S37" s="27" t="str">
        <f ca="1">IF(B37="","",IF($B$4="R&amp;T Level 5 - Clinical Lecturers (Vet School)",SUMIF(Points_Lookup!$M:$M,$B37,Points_Lookup!$Q:$Q),IF($B$4="R&amp;T Level 6 - Clinical Associate Professors and Clinical Readers (Vet School)",SUMIF(Points_Lookup!$T:$T,$B37,Points_Lookup!$X:$X),"")))</f>
        <v/>
      </c>
      <c r="T37" s="28" t="str">
        <f t="shared" ca="1" si="5"/>
        <v/>
      </c>
      <c r="Y37" s="25">
        <v>29</v>
      </c>
    </row>
    <row r="38" spans="2:25" x14ac:dyDescent="0.25">
      <c r="B38" s="4" t="str">
        <f ca="1">IFERROR(INDEX(Points_Lookup!$A:$A,MATCH($Y38,Points_Lookup!$AE:$AE,0)),"")</f>
        <v/>
      </c>
      <c r="C38" s="24" t="str">
        <f ca="1">IF(B38="","",IF($B$4="Apprenticeship",SUMIF(Points_Lookup!$AA:$AA,B38,Points_Lookup!$AC:$AC),IF(AND(OR($B$4="New Consultant Contract"),$B38&lt;&gt;""),INDEX(Points_Lookup!$K:$K,MATCH($B38,Points_Lookup!$J:$J,0)),IF(AND(OR($B$4="Clinical Lecturer / Medical Research Fellow",$B$4="Clinical Consultant - Old Contract (GP)"),$B38&lt;&gt;""),INDEX(Points_Lookup!$H:$H,MATCH($B38,Points_Lookup!$G:$G,0)),IF(AND(OR($B$4="APM Level 7",$B$4="R&amp;T Level 7",$B$4="APM Level 8"),B38&lt;&gt;""),INDEX(Points_Lookup!$E:$E,MATCH($Y38,Points_Lookup!$AE:$AE,0)),IF($B$4="R&amp;T Level 5 - Clinical Lecturers (Vet School)",SUMIF(Points_Lookup!$M:$M,$B38,Points_Lookup!$P:$P),IF($B$4="R&amp;T Level 6 - Clinical Associate Professors and Clinical Readers (Vet School)",SUMIF(Points_Lookup!$T:$T,$B38,Points_Lookup!$W:$W),IFERROR(INDEX(Points_Lookup!$B:$B,MATCH($Y38,Points_Lookup!$AE:$AE,0)),""))))))))</f>
        <v/>
      </c>
      <c r="D38" s="39"/>
      <c r="E38" s="24" t="str">
        <f ca="1">IF($B38="","",IF(AND($B$4="Salary Points 2 to 57",B38&lt;Thresholds_Rates!$C$16),"-",IF(SUMIF(Grades!$A:$A,$B$4,Grades!$BO:$BO)=0,"-",IF(AND($B$4="Salary Points 2 to 57",B38&gt;=Thresholds_Rates!$C$16),$C38*Thresholds_Rates!$F$15,IF(AND(OR($B$4="New Consultant Contract"),$B38&lt;&gt;""),$C38*Thresholds_Rates!$F$15,IF(AND(OR($B$4="Clinical Lecturer / Medical Research Fellow",$B$4="Clinical Consultant - Old Contract (GP)"),$B38&lt;&gt;""),$C38*Thresholds_Rates!$F$15,IF(OR($B$4="APM Level 7",$B$4="R&amp;T Level 7"),$C38*Thresholds_Rates!$F$15,IF(SUMIF(Grades!$A:$A,$B$4,Grades!$BO:$BO)=1,$C38*Thresholds_Rates!$F$15,""))))))))</f>
        <v/>
      </c>
      <c r="F38" s="24" t="str">
        <f ca="1">IF(B38="","",IF($B$4="Salary Points 2 to 57","-",IF(SUMIF(Grades!$A:$A,$B$4,Grades!$BP:$BP)=0,"-",IF(AND(OR($B$4="New Consultant Contract"),$B38&lt;&gt;""),$C38*Thresholds_Rates!$F$16,IF(AND(OR($B$4="Clinical Lecturer / Medical Research Fellow",$B$4="Clinical Consultant - Old Contract (GP)"),$B38&lt;&gt;""),$C38*Thresholds_Rates!$F$16,IF(AND(OR($B$4="APM Level 7",$B$4="R&amp;T Level 7"),E38&lt;&gt;""),$C38*Thresholds_Rates!$F$16,IF(SUMIF(Grades!$A:$A,$B$4,Grades!$BP:$BP)=1,$C38*Thresholds_Rates!$F$16,"")))))))</f>
        <v/>
      </c>
      <c r="G38" s="24" t="str">
        <f ca="1">IF($B$4="Apprenticeship","-",IF(B38="","",IF(SUMIF(Grades!$A:$A,$B$4,Grades!$BQ:$BQ)=0,"-",IF(AND($B$4="Salary Points 2 to 57",B38&gt;Thresholds_Rates!$C$17),"-",IF(AND($B$4="Salary Points 2 to 57",B38&lt;=Thresholds_Rates!$C$17),$C38*Thresholds_Rates!$F$17,IF(AND(OR($B$4="New Consultant Contract"),$B38&lt;&gt;""),$C38*Thresholds_Rates!$F$17,IF(AND(OR($B$4="Clinical Lecturer / Medical Research Fellow",$B$4="Clinical Consultant - Old Contract (GP)"),$B38&lt;&gt;""),$C38*Thresholds_Rates!$F$17,IF(AND(OR($B$4="APM Level 7",$B$4="R&amp;T Level 7"),F38&lt;&gt;""),$C38*Thresholds_Rates!$F$17,IF(SUMIF(Grades!$A:$A,$B$4,Grades!$BQ:$BQ)=1,$C38*Thresholds_Rates!$F$17,"")))))))))</f>
        <v/>
      </c>
      <c r="H38" s="24" t="str">
        <f ca="1">IF($B38="","",ROUND(($C38-(Thresholds_Rates!$C$5*12))*Thresholds_Rates!$C$10,0))</f>
        <v/>
      </c>
      <c r="I38" s="24" t="str">
        <f ca="1">IF(B38="","",IF(AND($B$4="Salary Points 2 to 57",B38&gt;Thresholds_Rates!$C$17),"-",IF(SUMIF(Grades!$A:$A,$B$4,Grades!$BR:$BR)=0,"-",IF(AND($B$4="Salary Points 2 to 57",B38&lt;=Thresholds_Rates!$C$17),$C38*Thresholds_Rates!$F$18,IF(AND(OR($B$4="New Consultant Contract"),$B38&lt;&gt;""),$C38*Thresholds_Rates!$F$18,IF(AND(OR($B$4="Clinical Lecturer / Medical Research Fellow",$B$4="Clinical Consultant - Old Contract (GP)"),$B38&lt;&gt;""),$C38*Thresholds_Rates!$F$18,IF(AND(OR($B$4="APM Level 7",$B$4="R&amp;T Level 7"),H38&lt;&gt;""),$C38*Thresholds_Rates!$F$18,IF(SUMIF(Grades!$A:$A,$B$4,Grades!$BQ:$BQ)=1,$C38*Thresholds_Rates!$F$18,""))))))))</f>
        <v/>
      </c>
      <c r="J38" s="4"/>
      <c r="K38" s="24" t="str">
        <f t="shared" ca="1" si="0"/>
        <v/>
      </c>
      <c r="L38" s="24" t="str">
        <f t="shared" ca="1" si="1"/>
        <v/>
      </c>
      <c r="M38" s="24" t="str">
        <f t="shared" ca="1" si="2"/>
        <v/>
      </c>
      <c r="N38" s="24" t="str">
        <f t="shared" ca="1" si="3"/>
        <v/>
      </c>
      <c r="O38" s="24" t="str">
        <f t="shared" ca="1" si="4"/>
        <v/>
      </c>
      <c r="Q38" s="27" t="str">
        <f ca="1">IF(B38="","",IF($B$4="R&amp;T Level 5 - Clinical Lecturers (Vet School)",SUMIF(Points_Lookup!$M:$M,$B38,Points_Lookup!$N:$N),IF($B$4="R&amp;T Level 6 - Clinical Associate Professors and Clinical Readers (Vet School)",SUMIF(Points_Lookup!$T:$T,$B38,Points_Lookup!$U:$U),"")))</f>
        <v/>
      </c>
      <c r="R38" s="28" t="str">
        <f ca="1">IF(B38="","",IF($B$4="R&amp;T Level 5 - Clinical Lecturers (Vet School)",$C38-SUMIF(Points_Lookup!$M:$M,$B38,Points_Lookup!$O:$O),IF($B$4="R&amp;T Level 6 - Clinical Associate Professors and Clinical Readers (Vet School)",$C38-SUMIF(Points_Lookup!$T:$T,$B38,Points_Lookup!$V:$V),"")))</f>
        <v/>
      </c>
      <c r="S38" s="27" t="str">
        <f ca="1">IF(B38="","",IF($B$4="R&amp;T Level 5 - Clinical Lecturers (Vet School)",SUMIF(Points_Lookup!$M:$M,$B38,Points_Lookup!$Q:$Q),IF($B$4="R&amp;T Level 6 - Clinical Associate Professors and Clinical Readers (Vet School)",SUMIF(Points_Lookup!$T:$T,$B38,Points_Lookup!$X:$X),"")))</f>
        <v/>
      </c>
      <c r="T38" s="28" t="str">
        <f t="shared" ca="1" si="5"/>
        <v/>
      </c>
      <c r="Y38" s="25">
        <v>30</v>
      </c>
    </row>
    <row r="39" spans="2:25" x14ac:dyDescent="0.25">
      <c r="B39" s="4" t="str">
        <f ca="1">IFERROR(INDEX(Points_Lookup!$A:$A,MATCH($Y39,Points_Lookup!$AE:$AE,0)),"")</f>
        <v/>
      </c>
      <c r="C39" s="24" t="str">
        <f ca="1">IF(B39="","",IF($B$4="Apprenticeship",SUMIF(Points_Lookup!$AA:$AA,B39,Points_Lookup!$AC:$AC),IF(AND(OR($B$4="New Consultant Contract"),$B39&lt;&gt;""),INDEX(Points_Lookup!$K:$K,MATCH($B39,Points_Lookup!$J:$J,0)),IF(AND(OR($B$4="Clinical Lecturer / Medical Research Fellow",$B$4="Clinical Consultant - Old Contract (GP)"),$B39&lt;&gt;""),INDEX(Points_Lookup!$H:$H,MATCH($B39,Points_Lookup!$G:$G,0)),IF(AND(OR($B$4="APM Level 7",$B$4="R&amp;T Level 7",$B$4="APM Level 8"),B39&lt;&gt;""),INDEX(Points_Lookup!$E:$E,MATCH($Y39,Points_Lookup!$AE:$AE,0)),IF($B$4="R&amp;T Level 5 - Clinical Lecturers (Vet School)",SUMIF(Points_Lookup!$M:$M,$B39,Points_Lookup!$P:$P),IF($B$4="R&amp;T Level 6 - Clinical Associate Professors and Clinical Readers (Vet School)",SUMIF(Points_Lookup!$T:$T,$B39,Points_Lookup!$W:$W),IFERROR(INDEX(Points_Lookup!$B:$B,MATCH($Y39,Points_Lookup!$AE:$AE,0)),""))))))))</f>
        <v/>
      </c>
      <c r="D39" s="39"/>
      <c r="E39" s="24" t="str">
        <f ca="1">IF($B39="","",IF(AND($B$4="Salary Points 2 to 57",B39&lt;Thresholds_Rates!$C$16),"-",IF(SUMIF(Grades!$A:$A,$B$4,Grades!$BO:$BO)=0,"-",IF(AND($B$4="Salary Points 2 to 57",B39&gt;=Thresholds_Rates!$C$16),$C39*Thresholds_Rates!$F$15,IF(AND(OR($B$4="New Consultant Contract"),$B39&lt;&gt;""),$C39*Thresholds_Rates!$F$15,IF(AND(OR($B$4="Clinical Lecturer / Medical Research Fellow",$B$4="Clinical Consultant - Old Contract (GP)"),$B39&lt;&gt;""),$C39*Thresholds_Rates!$F$15,IF(OR($B$4="APM Level 7",$B$4="R&amp;T Level 7"),$C39*Thresholds_Rates!$F$15,IF(SUMIF(Grades!$A:$A,$B$4,Grades!$BO:$BO)=1,$C39*Thresholds_Rates!$F$15,""))))))))</f>
        <v/>
      </c>
      <c r="F39" s="24" t="str">
        <f ca="1">IF(B39="","",IF($B$4="Salary Points 2 to 57","-",IF(SUMIF(Grades!$A:$A,$B$4,Grades!$BP:$BP)=0,"-",IF(AND(OR($B$4="New Consultant Contract"),$B39&lt;&gt;""),$C39*Thresholds_Rates!$F$16,IF(AND(OR($B$4="Clinical Lecturer / Medical Research Fellow",$B$4="Clinical Consultant - Old Contract (GP)"),$B39&lt;&gt;""),$C39*Thresholds_Rates!$F$16,IF(AND(OR($B$4="APM Level 7",$B$4="R&amp;T Level 7"),E39&lt;&gt;""),$C39*Thresholds_Rates!$F$16,IF(SUMIF(Grades!$A:$A,$B$4,Grades!$BP:$BP)=1,$C39*Thresholds_Rates!$F$16,"")))))))</f>
        <v/>
      </c>
      <c r="G39" s="24" t="str">
        <f ca="1">IF($B$4="Apprenticeship","-",IF(B39="","",IF(SUMIF(Grades!$A:$A,$B$4,Grades!$BQ:$BQ)=0,"-",IF(AND($B$4="Salary Points 2 to 57",B39&gt;Thresholds_Rates!$C$17),"-",IF(AND($B$4="Salary Points 2 to 57",B39&lt;=Thresholds_Rates!$C$17),$C39*Thresholds_Rates!$F$17,IF(AND(OR($B$4="New Consultant Contract"),$B39&lt;&gt;""),$C39*Thresholds_Rates!$F$17,IF(AND(OR($B$4="Clinical Lecturer / Medical Research Fellow",$B$4="Clinical Consultant - Old Contract (GP)"),$B39&lt;&gt;""),$C39*Thresholds_Rates!$F$17,IF(AND(OR($B$4="APM Level 7",$B$4="R&amp;T Level 7"),F39&lt;&gt;""),$C39*Thresholds_Rates!$F$17,IF(SUMIF(Grades!$A:$A,$B$4,Grades!$BQ:$BQ)=1,$C39*Thresholds_Rates!$F$17,"")))))))))</f>
        <v/>
      </c>
      <c r="H39" s="24" t="str">
        <f ca="1">IF($B39="","",ROUND(($C39-(Thresholds_Rates!$C$5*12))*Thresholds_Rates!$C$10,0))</f>
        <v/>
      </c>
      <c r="I39" s="24" t="str">
        <f ca="1">IF(B39="","",IF(AND($B$4="Salary Points 2 to 57",B39&gt;Thresholds_Rates!$C$17),"-",IF(SUMIF(Grades!$A:$A,$B$4,Grades!$BR:$BR)=0,"-",IF(AND($B$4="Salary Points 2 to 57",B39&lt;=Thresholds_Rates!$C$17),$C39*Thresholds_Rates!$F$18,IF(AND(OR($B$4="New Consultant Contract"),$B39&lt;&gt;""),$C39*Thresholds_Rates!$F$18,IF(AND(OR($B$4="Clinical Lecturer / Medical Research Fellow",$B$4="Clinical Consultant - Old Contract (GP)"),$B39&lt;&gt;""),$C39*Thresholds_Rates!$F$18,IF(AND(OR($B$4="APM Level 7",$B$4="R&amp;T Level 7"),H39&lt;&gt;""),$C39*Thresholds_Rates!$F$18,IF(SUMIF(Grades!$A:$A,$B$4,Grades!$BQ:$BQ)=1,$C39*Thresholds_Rates!$F$18,""))))))))</f>
        <v/>
      </c>
      <c r="J39" s="4"/>
      <c r="K39" s="24" t="str">
        <f t="shared" ca="1" si="0"/>
        <v/>
      </c>
      <c r="L39" s="24" t="str">
        <f t="shared" ca="1" si="1"/>
        <v/>
      </c>
      <c r="M39" s="24" t="str">
        <f t="shared" ca="1" si="2"/>
        <v/>
      </c>
      <c r="N39" s="24" t="str">
        <f t="shared" ca="1" si="3"/>
        <v/>
      </c>
      <c r="O39" s="24" t="str">
        <f t="shared" ca="1" si="4"/>
        <v/>
      </c>
      <c r="Q39" s="27" t="str">
        <f ca="1">IF(B39="","",IF($B$4="R&amp;T Level 5 - Clinical Lecturers (Vet School)",SUMIF(Points_Lookup!$M:$M,$B39,Points_Lookup!$N:$N),IF($B$4="R&amp;T Level 6 - Clinical Associate Professors and Clinical Readers (Vet School)",SUMIF(Points_Lookup!$T:$T,$B39,Points_Lookup!$U:$U),"")))</f>
        <v/>
      </c>
      <c r="R39" s="28" t="str">
        <f ca="1">IF(B39="","",IF($B$4="R&amp;T Level 5 - Clinical Lecturers (Vet School)",$C39-SUMIF(Points_Lookup!$M:$M,$B39,Points_Lookup!$O:$O),IF($B$4="R&amp;T Level 6 - Clinical Associate Professors and Clinical Readers (Vet School)",$C39-SUMIF(Points_Lookup!$T:$T,$B39,Points_Lookup!$V:$V),"")))</f>
        <v/>
      </c>
      <c r="S39" s="27" t="str">
        <f ca="1">IF(B39="","",IF($B$4="R&amp;T Level 5 - Clinical Lecturers (Vet School)",SUMIF(Points_Lookup!$M:$M,$B39,Points_Lookup!$Q:$Q),IF($B$4="R&amp;T Level 6 - Clinical Associate Professors and Clinical Readers (Vet School)",SUMIF(Points_Lookup!$T:$T,$B39,Points_Lookup!$X:$X),"")))</f>
        <v/>
      </c>
      <c r="T39" s="28" t="str">
        <f t="shared" ca="1" si="5"/>
        <v/>
      </c>
      <c r="Y39" s="25">
        <v>31</v>
      </c>
    </row>
    <row r="40" spans="2:25" x14ac:dyDescent="0.25">
      <c r="B40" s="4" t="str">
        <f ca="1">IFERROR(INDEX(Points_Lookup!$A:$A,MATCH($Y40,Points_Lookup!$AE:$AE,0)),"")</f>
        <v/>
      </c>
      <c r="C40" s="24" t="str">
        <f ca="1">IF(B40="","",IF($B$4="Apprenticeship",SUMIF(Points_Lookup!$AA:$AA,B40,Points_Lookup!$AC:$AC),IF(AND(OR($B$4="New Consultant Contract"),$B40&lt;&gt;""),INDEX(Points_Lookup!$K:$K,MATCH($B40,Points_Lookup!$J:$J,0)),IF(AND(OR($B$4="Clinical Lecturer / Medical Research Fellow",$B$4="Clinical Consultant - Old Contract (GP)"),$B40&lt;&gt;""),INDEX(Points_Lookup!$H:$H,MATCH($B40,Points_Lookup!$G:$G,0)),IF(AND(OR($B$4="APM Level 7",$B$4="R&amp;T Level 7",$B$4="APM Level 8"),B40&lt;&gt;""),INDEX(Points_Lookup!$E:$E,MATCH($Y40,Points_Lookup!$AE:$AE,0)),IF($B$4="R&amp;T Level 5 - Clinical Lecturers (Vet School)",SUMIF(Points_Lookup!$M:$M,$B40,Points_Lookup!$P:$P),IF($B$4="R&amp;T Level 6 - Clinical Associate Professors and Clinical Readers (Vet School)",SUMIF(Points_Lookup!$T:$T,$B40,Points_Lookup!$W:$W),IFERROR(INDEX(Points_Lookup!$B:$B,MATCH($Y40,Points_Lookup!$AE:$AE,0)),""))))))))</f>
        <v/>
      </c>
      <c r="D40" s="39"/>
      <c r="E40" s="24" t="str">
        <f ca="1">IF($B40="","",IF(AND($B$4="Salary Points 2 to 57",B40&lt;Thresholds_Rates!$C$16),"-",IF(SUMIF(Grades!$A:$A,$B$4,Grades!$BO:$BO)=0,"-",IF(AND($B$4="Salary Points 2 to 57",B40&gt;=Thresholds_Rates!$C$16),$C40*Thresholds_Rates!$F$15,IF(AND(OR($B$4="New Consultant Contract"),$B40&lt;&gt;""),$C40*Thresholds_Rates!$F$15,IF(AND(OR($B$4="Clinical Lecturer / Medical Research Fellow",$B$4="Clinical Consultant - Old Contract (GP)"),$B40&lt;&gt;""),$C40*Thresholds_Rates!$F$15,IF(OR($B$4="APM Level 7",$B$4="R&amp;T Level 7"),$C40*Thresholds_Rates!$F$15,IF(SUMIF(Grades!$A:$A,$B$4,Grades!$BO:$BO)=1,$C40*Thresholds_Rates!$F$15,""))))))))</f>
        <v/>
      </c>
      <c r="F40" s="24" t="str">
        <f ca="1">IF(B40="","",IF($B$4="Salary Points 2 to 57","-",IF(SUMIF(Grades!$A:$A,$B$4,Grades!$BP:$BP)=0,"-",IF(AND(OR($B$4="New Consultant Contract"),$B40&lt;&gt;""),$C40*Thresholds_Rates!$F$16,IF(AND(OR($B$4="Clinical Lecturer / Medical Research Fellow",$B$4="Clinical Consultant - Old Contract (GP)"),$B40&lt;&gt;""),$C40*Thresholds_Rates!$F$16,IF(AND(OR($B$4="APM Level 7",$B$4="R&amp;T Level 7"),E40&lt;&gt;""),$C40*Thresholds_Rates!$F$16,IF(SUMIF(Grades!$A:$A,$B$4,Grades!$BP:$BP)=1,$C40*Thresholds_Rates!$F$16,"")))))))</f>
        <v/>
      </c>
      <c r="G40" s="24" t="str">
        <f ca="1">IF($B$4="Apprenticeship","-",IF(B40="","",IF(SUMIF(Grades!$A:$A,$B$4,Grades!$BQ:$BQ)=0,"-",IF(AND($B$4="Salary Points 2 to 57",B40&gt;Thresholds_Rates!$C$17),"-",IF(AND($B$4="Salary Points 2 to 57",B40&lt;=Thresholds_Rates!$C$17),$C40*Thresholds_Rates!$F$17,IF(AND(OR($B$4="New Consultant Contract"),$B40&lt;&gt;""),$C40*Thresholds_Rates!$F$17,IF(AND(OR($B$4="Clinical Lecturer / Medical Research Fellow",$B$4="Clinical Consultant - Old Contract (GP)"),$B40&lt;&gt;""),$C40*Thresholds_Rates!$F$17,IF(AND(OR($B$4="APM Level 7",$B$4="R&amp;T Level 7"),F40&lt;&gt;""),$C40*Thresholds_Rates!$F$17,IF(SUMIF(Grades!$A:$A,$B$4,Grades!$BQ:$BQ)=1,$C40*Thresholds_Rates!$F$17,"")))))))))</f>
        <v/>
      </c>
      <c r="H40" s="24" t="str">
        <f ca="1">IF($B40="","",ROUND(($C40-(Thresholds_Rates!$C$5*12))*Thresholds_Rates!$C$10,0))</f>
        <v/>
      </c>
      <c r="I40" s="24" t="str">
        <f ca="1">IF(B40="","",IF(AND($B$4="Salary Points 2 to 57",B40&gt;Thresholds_Rates!$C$17),"-",IF(SUMIF(Grades!$A:$A,$B$4,Grades!$BR:$BR)=0,"-",IF(AND($B$4="Salary Points 2 to 57",B40&lt;=Thresholds_Rates!$C$17),$C40*Thresholds_Rates!$F$18,IF(AND(OR($B$4="New Consultant Contract"),$B40&lt;&gt;""),$C40*Thresholds_Rates!$F$18,IF(AND(OR($B$4="Clinical Lecturer / Medical Research Fellow",$B$4="Clinical Consultant - Old Contract (GP)"),$B40&lt;&gt;""),$C40*Thresholds_Rates!$F$18,IF(AND(OR($B$4="APM Level 7",$B$4="R&amp;T Level 7"),H40&lt;&gt;""),$C40*Thresholds_Rates!$F$18,IF(SUMIF(Grades!$A:$A,$B$4,Grades!$BQ:$BQ)=1,$C40*Thresholds_Rates!$F$18,""))))))))</f>
        <v/>
      </c>
      <c r="J40" s="4"/>
      <c r="K40" s="24" t="str">
        <f t="shared" ca="1" si="0"/>
        <v/>
      </c>
      <c r="L40" s="24" t="str">
        <f t="shared" ca="1" si="1"/>
        <v/>
      </c>
      <c r="M40" s="24" t="str">
        <f t="shared" ca="1" si="2"/>
        <v/>
      </c>
      <c r="N40" s="24" t="str">
        <f t="shared" ca="1" si="3"/>
        <v/>
      </c>
      <c r="O40" s="24" t="str">
        <f t="shared" ca="1" si="4"/>
        <v/>
      </c>
      <c r="Q40" s="27" t="str">
        <f ca="1">IF(B40="","",IF($B$4="R&amp;T Level 5 - Clinical Lecturers (Vet School)",SUMIF(Points_Lookup!$M:$M,$B40,Points_Lookup!$N:$N),IF($B$4="R&amp;T Level 6 - Clinical Associate Professors and Clinical Readers (Vet School)",SUMIF(Points_Lookup!$T:$T,$B40,Points_Lookup!$U:$U),"")))</f>
        <v/>
      </c>
      <c r="R40" s="28" t="str">
        <f ca="1">IF(B40="","",IF($B$4="R&amp;T Level 5 - Clinical Lecturers (Vet School)",$C40-SUMIF(Points_Lookup!$M:$M,$B40,Points_Lookup!$O:$O),IF($B$4="R&amp;T Level 6 - Clinical Associate Professors and Clinical Readers (Vet School)",$C40-SUMIF(Points_Lookup!$T:$T,$B40,Points_Lookup!$V:$V),"")))</f>
        <v/>
      </c>
      <c r="S40" s="27" t="str">
        <f ca="1">IF(B40="","",IF($B$4="R&amp;T Level 5 - Clinical Lecturers (Vet School)",SUMIF(Points_Lookup!$M:$M,$B40,Points_Lookup!$Q:$Q),IF($B$4="R&amp;T Level 6 - Clinical Associate Professors and Clinical Readers (Vet School)",SUMIF(Points_Lookup!$T:$T,$B40,Points_Lookup!$X:$X),"")))</f>
        <v/>
      </c>
      <c r="T40" s="28" t="str">
        <f t="shared" ca="1" si="5"/>
        <v/>
      </c>
      <c r="Y40" s="25">
        <v>32</v>
      </c>
    </row>
    <row r="41" spans="2:25" x14ac:dyDescent="0.25">
      <c r="B41" s="4" t="str">
        <f ca="1">IFERROR(INDEX(Points_Lookup!$A:$A,MATCH($Y41,Points_Lookup!$AE:$AE,0)),"")</f>
        <v/>
      </c>
      <c r="C41" s="24" t="str">
        <f ca="1">IF(B41="","",IF($B$4="Apprenticeship",SUMIF(Points_Lookup!$AA:$AA,B41,Points_Lookup!$AC:$AC),IF(AND(OR($B$4="New Consultant Contract"),$B41&lt;&gt;""),INDEX(Points_Lookup!$K:$K,MATCH($B41,Points_Lookup!$J:$J,0)),IF(AND(OR($B$4="Clinical Lecturer / Medical Research Fellow",$B$4="Clinical Consultant - Old Contract (GP)"),$B41&lt;&gt;""),INDEX(Points_Lookup!$H:$H,MATCH($B41,Points_Lookup!$G:$G,0)),IF(AND(OR($B$4="APM Level 7",$B$4="R&amp;T Level 7",$B$4="APM Level 8"),B41&lt;&gt;""),INDEX(Points_Lookup!$E:$E,MATCH($Y41,Points_Lookup!$AE:$AE,0)),IF($B$4="R&amp;T Level 5 - Clinical Lecturers (Vet School)",SUMIF(Points_Lookup!$M:$M,$B41,Points_Lookup!$P:$P),IF($B$4="R&amp;T Level 6 - Clinical Associate Professors and Clinical Readers (Vet School)",SUMIF(Points_Lookup!$T:$T,$B41,Points_Lookup!$W:$W),IFERROR(INDEX(Points_Lookup!$B:$B,MATCH($Y41,Points_Lookup!$AE:$AE,0)),""))))))))</f>
        <v/>
      </c>
      <c r="D41" s="39"/>
      <c r="E41" s="24" t="str">
        <f ca="1">IF($B41="","",IF(AND($B$4="Salary Points 2 to 57",B41&lt;Thresholds_Rates!$C$16),"-",IF(SUMIF(Grades!$A:$A,$B$4,Grades!$BO:$BO)=0,"-",IF(AND($B$4="Salary Points 2 to 57",B41&gt;=Thresholds_Rates!$C$16),$C41*Thresholds_Rates!$F$15,IF(AND(OR($B$4="New Consultant Contract"),$B41&lt;&gt;""),$C41*Thresholds_Rates!$F$15,IF(AND(OR($B$4="Clinical Lecturer / Medical Research Fellow",$B$4="Clinical Consultant - Old Contract (GP)"),$B41&lt;&gt;""),$C41*Thresholds_Rates!$F$15,IF(OR($B$4="APM Level 7",$B$4="R&amp;T Level 7"),$C41*Thresholds_Rates!$F$15,IF(SUMIF(Grades!$A:$A,$B$4,Grades!$BO:$BO)=1,$C41*Thresholds_Rates!$F$15,""))))))))</f>
        <v/>
      </c>
      <c r="F41" s="24" t="str">
        <f ca="1">IF(B41="","",IF($B$4="Salary Points 2 to 57","-",IF(SUMIF(Grades!$A:$A,$B$4,Grades!$BP:$BP)=0,"-",IF(AND(OR($B$4="New Consultant Contract"),$B41&lt;&gt;""),$C41*Thresholds_Rates!$F$16,IF(AND(OR($B$4="Clinical Lecturer / Medical Research Fellow",$B$4="Clinical Consultant - Old Contract (GP)"),$B41&lt;&gt;""),$C41*Thresholds_Rates!$F$16,IF(AND(OR($B$4="APM Level 7",$B$4="R&amp;T Level 7"),E41&lt;&gt;""),$C41*Thresholds_Rates!$F$16,IF(SUMIF(Grades!$A:$A,$B$4,Grades!$BP:$BP)=1,$C41*Thresholds_Rates!$F$16,"")))))))</f>
        <v/>
      </c>
      <c r="G41" s="24" t="str">
        <f ca="1">IF($B$4="Apprenticeship","-",IF(B41="","",IF(SUMIF(Grades!$A:$A,$B$4,Grades!$BQ:$BQ)=0,"-",IF(AND($B$4="Salary Points 2 to 57",B41&gt;Thresholds_Rates!$C$17),"-",IF(AND($B$4="Salary Points 2 to 57",B41&lt;=Thresholds_Rates!$C$17),$C41*Thresholds_Rates!$F$17,IF(AND(OR($B$4="New Consultant Contract"),$B41&lt;&gt;""),$C41*Thresholds_Rates!$F$17,IF(AND(OR($B$4="Clinical Lecturer / Medical Research Fellow",$B$4="Clinical Consultant - Old Contract (GP)"),$B41&lt;&gt;""),$C41*Thresholds_Rates!$F$17,IF(AND(OR($B$4="APM Level 7",$B$4="R&amp;T Level 7"),F41&lt;&gt;""),$C41*Thresholds_Rates!$F$17,IF(SUMIF(Grades!$A:$A,$B$4,Grades!$BQ:$BQ)=1,$C41*Thresholds_Rates!$F$17,"")))))))))</f>
        <v/>
      </c>
      <c r="H41" s="24" t="str">
        <f ca="1">IF($B41="","",ROUND(($C41-(Thresholds_Rates!$C$5*12))*Thresholds_Rates!$C$10,0))</f>
        <v/>
      </c>
      <c r="I41" s="24" t="str">
        <f ca="1">IF(B41="","",IF(AND($B$4="Salary Points 2 to 57",B41&gt;Thresholds_Rates!$C$17),"-",IF(SUMIF(Grades!$A:$A,$B$4,Grades!$BR:$BR)=0,"-",IF(AND($B$4="Salary Points 2 to 57",B41&lt;=Thresholds_Rates!$C$17),$C41*Thresholds_Rates!$F$18,IF(AND(OR($B$4="New Consultant Contract"),$B41&lt;&gt;""),$C41*Thresholds_Rates!$F$18,IF(AND(OR($B$4="Clinical Lecturer / Medical Research Fellow",$B$4="Clinical Consultant - Old Contract (GP)"),$B41&lt;&gt;""),$C41*Thresholds_Rates!$F$18,IF(AND(OR($B$4="APM Level 7",$B$4="R&amp;T Level 7"),H41&lt;&gt;""),$C41*Thresholds_Rates!$F$18,IF(SUMIF(Grades!$A:$A,$B$4,Grades!$BQ:$BQ)=1,$C41*Thresholds_Rates!$F$18,""))))))))</f>
        <v/>
      </c>
      <c r="J41" s="4"/>
      <c r="K41" s="24" t="str">
        <f t="shared" ca="1" si="0"/>
        <v/>
      </c>
      <c r="L41" s="24" t="str">
        <f t="shared" ca="1" si="1"/>
        <v/>
      </c>
      <c r="M41" s="24" t="str">
        <f t="shared" ca="1" si="2"/>
        <v/>
      </c>
      <c r="N41" s="24" t="str">
        <f t="shared" ca="1" si="3"/>
        <v/>
      </c>
      <c r="O41" s="24" t="str">
        <f t="shared" ca="1" si="4"/>
        <v/>
      </c>
      <c r="Q41" s="27" t="str">
        <f ca="1">IF(B41="","",IF($B$4="R&amp;T Level 5 - Clinical Lecturers (Vet School)",SUMIF(Points_Lookup!$M:$M,$B41,Points_Lookup!$N:$N),IF($B$4="R&amp;T Level 6 - Clinical Associate Professors and Clinical Readers (Vet School)",SUMIF(Points_Lookup!$T:$T,$B41,Points_Lookup!$U:$U),"")))</f>
        <v/>
      </c>
      <c r="R41" s="28" t="str">
        <f ca="1">IF(B41="","",IF($B$4="R&amp;T Level 5 - Clinical Lecturers (Vet School)",$C41-SUMIF(Points_Lookup!$M:$M,$B41,Points_Lookup!$O:$O),IF($B$4="R&amp;T Level 6 - Clinical Associate Professors and Clinical Readers (Vet School)",$C41-SUMIF(Points_Lookup!$T:$T,$B41,Points_Lookup!$V:$V),"")))</f>
        <v/>
      </c>
      <c r="S41" s="27" t="str">
        <f ca="1">IF(B41="","",IF($B$4="R&amp;T Level 5 - Clinical Lecturers (Vet School)",SUMIF(Points_Lookup!$M:$M,$B41,Points_Lookup!$Q:$Q),IF($B$4="R&amp;T Level 6 - Clinical Associate Professors and Clinical Readers (Vet School)",SUMIF(Points_Lookup!$T:$T,$B41,Points_Lookup!$X:$X),"")))</f>
        <v/>
      </c>
      <c r="T41" s="28" t="str">
        <f t="shared" ref="T41:T72" ca="1" si="6">IF(B41="","",IF($B$4="R&amp;T Level 5 - Clinical Lecturers (Vet School)",ROUND(C41*S41,0),IF($B$4="R&amp;T Level 6 - Clinical Associate Professors and Clinical Readers (Vet School)",ROUND(C41*S41,0),"")))</f>
        <v/>
      </c>
      <c r="Y41" s="25">
        <v>33</v>
      </c>
    </row>
    <row r="42" spans="2:25" x14ac:dyDescent="0.25">
      <c r="B42" s="4" t="str">
        <f ca="1">IFERROR(INDEX(Points_Lookup!$A:$A,MATCH($Y42,Points_Lookup!$AE:$AE,0)),"")</f>
        <v/>
      </c>
      <c r="C42" s="24" t="str">
        <f ca="1">IF(B42="","",IF($B$4="Apprenticeship",SUMIF(Points_Lookup!$AA:$AA,B42,Points_Lookup!$AC:$AC),IF(AND(OR($B$4="New Consultant Contract"),$B42&lt;&gt;""),INDEX(Points_Lookup!$K:$K,MATCH($B42,Points_Lookup!$J:$J,0)),IF(AND(OR($B$4="Clinical Lecturer / Medical Research Fellow",$B$4="Clinical Consultant - Old Contract (GP)"),$B42&lt;&gt;""),INDEX(Points_Lookup!$H:$H,MATCH($B42,Points_Lookup!$G:$G,0)),IF(AND(OR($B$4="APM Level 7",$B$4="R&amp;T Level 7",$B$4="APM Level 8"),B42&lt;&gt;""),INDEX(Points_Lookup!$E:$E,MATCH($Y42,Points_Lookup!$AE:$AE,0)),IF($B$4="R&amp;T Level 5 - Clinical Lecturers (Vet School)",SUMIF(Points_Lookup!$M:$M,$B42,Points_Lookup!$P:$P),IF($B$4="R&amp;T Level 6 - Clinical Associate Professors and Clinical Readers (Vet School)",SUMIF(Points_Lookup!$T:$T,$B42,Points_Lookup!$W:$W),IFERROR(INDEX(Points_Lookup!$B:$B,MATCH($Y42,Points_Lookup!$AE:$AE,0)),""))))))))</f>
        <v/>
      </c>
      <c r="D42" s="39"/>
      <c r="E42" s="24" t="str">
        <f ca="1">IF($B42="","",IF(AND($B$4="Salary Points 2 to 57",B42&lt;Thresholds_Rates!$C$16),"-",IF(SUMIF(Grades!$A:$A,$B$4,Grades!$BO:$BO)=0,"-",IF(AND($B$4="Salary Points 2 to 57",B42&gt;=Thresholds_Rates!$C$16),$C42*Thresholds_Rates!$F$15,IF(AND(OR($B$4="New Consultant Contract"),$B42&lt;&gt;""),$C42*Thresholds_Rates!$F$15,IF(AND(OR($B$4="Clinical Lecturer / Medical Research Fellow",$B$4="Clinical Consultant - Old Contract (GP)"),$B42&lt;&gt;""),$C42*Thresholds_Rates!$F$15,IF(OR($B$4="APM Level 7",$B$4="R&amp;T Level 7"),$C42*Thresholds_Rates!$F$15,IF(SUMIF(Grades!$A:$A,$B$4,Grades!$BO:$BO)=1,$C42*Thresholds_Rates!$F$15,""))))))))</f>
        <v/>
      </c>
      <c r="F42" s="24" t="str">
        <f ca="1">IF(B42="","",IF($B$4="Salary Points 2 to 57","-",IF(SUMIF(Grades!$A:$A,$B$4,Grades!$BP:$BP)=0,"-",IF(AND(OR($B$4="New Consultant Contract"),$B42&lt;&gt;""),$C42*Thresholds_Rates!$F$16,IF(AND(OR($B$4="Clinical Lecturer / Medical Research Fellow",$B$4="Clinical Consultant - Old Contract (GP)"),$B42&lt;&gt;""),$C42*Thresholds_Rates!$F$16,IF(AND(OR($B$4="APM Level 7",$B$4="R&amp;T Level 7"),E42&lt;&gt;""),$C42*Thresholds_Rates!$F$16,IF(SUMIF(Grades!$A:$A,$B$4,Grades!$BP:$BP)=1,$C42*Thresholds_Rates!$F$16,"")))))))</f>
        <v/>
      </c>
      <c r="G42" s="24" t="str">
        <f ca="1">IF($B$4="Apprenticeship","-",IF(B42="","",IF(SUMIF(Grades!$A:$A,$B$4,Grades!$BQ:$BQ)=0,"-",IF(AND($B$4="Salary Points 2 to 57",B42&gt;Thresholds_Rates!$C$17),"-",IF(AND($B$4="Salary Points 2 to 57",B42&lt;=Thresholds_Rates!$C$17),$C42*Thresholds_Rates!$F$17,IF(AND(OR($B$4="New Consultant Contract"),$B42&lt;&gt;""),$C42*Thresholds_Rates!$F$17,IF(AND(OR($B$4="Clinical Lecturer / Medical Research Fellow",$B$4="Clinical Consultant - Old Contract (GP)"),$B42&lt;&gt;""),$C42*Thresholds_Rates!$F$17,IF(AND(OR($B$4="APM Level 7",$B$4="R&amp;T Level 7"),F42&lt;&gt;""),$C42*Thresholds_Rates!$F$17,IF(SUMIF(Grades!$A:$A,$B$4,Grades!$BQ:$BQ)=1,$C42*Thresholds_Rates!$F$17,"")))))))))</f>
        <v/>
      </c>
      <c r="H42" s="24" t="str">
        <f ca="1">IF($B42="","",ROUND(($C42-(Thresholds_Rates!$C$5*12))*Thresholds_Rates!$C$10,0))</f>
        <v/>
      </c>
      <c r="I42" s="24" t="str">
        <f ca="1">IF(B42="","",IF(AND($B$4="Salary Points 2 to 57",B42&gt;Thresholds_Rates!$C$17),"-",IF(SUMIF(Grades!$A:$A,$B$4,Grades!$BR:$BR)=0,"-",IF(AND($B$4="Salary Points 2 to 57",B42&lt;=Thresholds_Rates!$C$17),$C42*Thresholds_Rates!$F$18,IF(AND(OR($B$4="New Consultant Contract"),$B42&lt;&gt;""),$C42*Thresholds_Rates!$F$18,IF(AND(OR($B$4="Clinical Lecturer / Medical Research Fellow",$B$4="Clinical Consultant - Old Contract (GP)"),$B42&lt;&gt;""),$C42*Thresholds_Rates!$F$18,IF(AND(OR($B$4="APM Level 7",$B$4="R&amp;T Level 7"),H42&lt;&gt;""),$C42*Thresholds_Rates!$F$18,IF(SUMIF(Grades!$A:$A,$B$4,Grades!$BQ:$BQ)=1,$C42*Thresholds_Rates!$F$18,""))))))))</f>
        <v/>
      </c>
      <c r="J42" s="4"/>
      <c r="K42" s="24" t="str">
        <f t="shared" ca="1" si="0"/>
        <v/>
      </c>
      <c r="L42" s="24" t="str">
        <f t="shared" ca="1" si="1"/>
        <v/>
      </c>
      <c r="M42" s="24" t="str">
        <f t="shared" ca="1" si="2"/>
        <v/>
      </c>
      <c r="N42" s="24" t="str">
        <f t="shared" ca="1" si="3"/>
        <v/>
      </c>
      <c r="O42" s="24" t="str">
        <f t="shared" ca="1" si="4"/>
        <v/>
      </c>
      <c r="Q42" s="27" t="str">
        <f ca="1">IF(B42="","",IF($B$4="R&amp;T Level 5 - Clinical Lecturers (Vet School)",SUMIF(Points_Lookup!$M:$M,$B42,Points_Lookup!$N:$N),IF($B$4="R&amp;T Level 6 - Clinical Associate Professors and Clinical Readers (Vet School)",SUMIF(Points_Lookup!$T:$T,$B42,Points_Lookup!$U:$U),"")))</f>
        <v/>
      </c>
      <c r="R42" s="28" t="str">
        <f ca="1">IF(B42="","",IF($B$4="R&amp;T Level 5 - Clinical Lecturers (Vet School)",$C42-SUMIF(Points_Lookup!$M:$M,$B42,Points_Lookup!$O:$O),IF($B$4="R&amp;T Level 6 - Clinical Associate Professors and Clinical Readers (Vet School)",$C42-SUMIF(Points_Lookup!$T:$T,$B42,Points_Lookup!$V:$V),"")))</f>
        <v/>
      </c>
      <c r="S42" s="27" t="str">
        <f ca="1">IF(B42="","",IF($B$4="R&amp;T Level 5 - Clinical Lecturers (Vet School)",SUMIF(Points_Lookup!$M:$M,$B42,Points_Lookup!$Q:$Q),IF($B$4="R&amp;T Level 6 - Clinical Associate Professors and Clinical Readers (Vet School)",SUMIF(Points_Lookup!$T:$T,$B42,Points_Lookup!$X:$X),"")))</f>
        <v/>
      </c>
      <c r="T42" s="28" t="str">
        <f t="shared" ca="1" si="6"/>
        <v/>
      </c>
      <c r="Y42" s="25">
        <v>34</v>
      </c>
    </row>
    <row r="43" spans="2:25" x14ac:dyDescent="0.25">
      <c r="B43" s="4" t="str">
        <f ca="1">IFERROR(INDEX(Points_Lookup!$A:$A,MATCH($Y43,Points_Lookup!$AE:$AE,0)),"")</f>
        <v/>
      </c>
      <c r="C43" s="24" t="str">
        <f ca="1">IF(B43="","",IF($B$4="Apprenticeship",SUMIF(Points_Lookup!$AA:$AA,B43,Points_Lookup!$AC:$AC),IF(AND(OR($B$4="New Consultant Contract"),$B43&lt;&gt;""),INDEX(Points_Lookup!$K:$K,MATCH($B43,Points_Lookup!$J:$J,0)),IF(AND(OR($B$4="Clinical Lecturer / Medical Research Fellow",$B$4="Clinical Consultant - Old Contract (GP)"),$B43&lt;&gt;""),INDEX(Points_Lookup!$H:$H,MATCH($B43,Points_Lookup!$G:$G,0)),IF(AND(OR($B$4="APM Level 7",$B$4="R&amp;T Level 7",$B$4="APM Level 8"),B43&lt;&gt;""),INDEX(Points_Lookup!$E:$E,MATCH($Y43,Points_Lookup!$AE:$AE,0)),IF($B$4="R&amp;T Level 5 - Clinical Lecturers (Vet School)",SUMIF(Points_Lookup!$M:$M,$B43,Points_Lookup!$P:$P),IF($B$4="R&amp;T Level 6 - Clinical Associate Professors and Clinical Readers (Vet School)",SUMIF(Points_Lookup!$T:$T,$B43,Points_Lookup!$W:$W),IFERROR(INDEX(Points_Lookup!$B:$B,MATCH($Y43,Points_Lookup!$AE:$AE,0)),""))))))))</f>
        <v/>
      </c>
      <c r="D43" s="39"/>
      <c r="E43" s="24" t="str">
        <f ca="1">IF($B43="","",IF(AND($B$4="Salary Points 2 to 57",B43&lt;Thresholds_Rates!$C$16),"-",IF(SUMIF(Grades!$A:$A,$B$4,Grades!$BO:$BO)=0,"-",IF(AND($B$4="Salary Points 2 to 57",B43&gt;=Thresholds_Rates!$C$16),$C43*Thresholds_Rates!$F$15,IF(AND(OR($B$4="New Consultant Contract"),$B43&lt;&gt;""),$C43*Thresholds_Rates!$F$15,IF(AND(OR($B$4="Clinical Lecturer / Medical Research Fellow",$B$4="Clinical Consultant - Old Contract (GP)"),$B43&lt;&gt;""),$C43*Thresholds_Rates!$F$15,IF(OR($B$4="APM Level 7",$B$4="R&amp;T Level 7"),$C43*Thresholds_Rates!$F$15,IF(SUMIF(Grades!$A:$A,$B$4,Grades!$BO:$BO)=1,$C43*Thresholds_Rates!$F$15,""))))))))</f>
        <v/>
      </c>
      <c r="F43" s="24" t="str">
        <f ca="1">IF(B43="","",IF($B$4="Salary Points 2 to 57","-",IF(SUMIF(Grades!$A:$A,$B$4,Grades!$BP:$BP)=0,"-",IF(AND(OR($B$4="New Consultant Contract"),$B43&lt;&gt;""),$C43*Thresholds_Rates!$F$16,IF(AND(OR($B$4="Clinical Lecturer / Medical Research Fellow",$B$4="Clinical Consultant - Old Contract (GP)"),$B43&lt;&gt;""),$C43*Thresholds_Rates!$F$16,IF(AND(OR($B$4="APM Level 7",$B$4="R&amp;T Level 7"),E43&lt;&gt;""),$C43*Thresholds_Rates!$F$16,IF(SUMIF(Grades!$A:$A,$B$4,Grades!$BP:$BP)=1,$C43*Thresholds_Rates!$F$16,"")))))))</f>
        <v/>
      </c>
      <c r="G43" s="24" t="str">
        <f ca="1">IF($B$4="Apprenticeship","-",IF(B43="","",IF(SUMIF(Grades!$A:$A,$B$4,Grades!$BQ:$BQ)=0,"-",IF(AND($B$4="Salary Points 2 to 57",B43&gt;Thresholds_Rates!$C$17),"-",IF(AND($B$4="Salary Points 2 to 57",B43&lt;=Thresholds_Rates!$C$17),$C43*Thresholds_Rates!$F$17,IF(AND(OR($B$4="New Consultant Contract"),$B43&lt;&gt;""),$C43*Thresholds_Rates!$F$17,IF(AND(OR($B$4="Clinical Lecturer / Medical Research Fellow",$B$4="Clinical Consultant - Old Contract (GP)"),$B43&lt;&gt;""),$C43*Thresholds_Rates!$F$17,IF(AND(OR($B$4="APM Level 7",$B$4="R&amp;T Level 7"),F43&lt;&gt;""),$C43*Thresholds_Rates!$F$17,IF(SUMIF(Grades!$A:$A,$B$4,Grades!$BQ:$BQ)=1,$C43*Thresholds_Rates!$F$17,"")))))))))</f>
        <v/>
      </c>
      <c r="H43" s="24" t="str">
        <f ca="1">IF($B43="","",ROUND(($C43-(Thresholds_Rates!$C$5*12))*Thresholds_Rates!$C$10,0))</f>
        <v/>
      </c>
      <c r="I43" s="24" t="str">
        <f ca="1">IF(B43="","",IF(AND($B$4="Salary Points 2 to 57",B43&gt;Thresholds_Rates!$C$17),"-",IF(SUMIF(Grades!$A:$A,$B$4,Grades!$BR:$BR)=0,"-",IF(AND($B$4="Salary Points 2 to 57",B43&lt;=Thresholds_Rates!$C$17),$C43*Thresholds_Rates!$F$18,IF(AND(OR($B$4="New Consultant Contract"),$B43&lt;&gt;""),$C43*Thresholds_Rates!$F$18,IF(AND(OR($B$4="Clinical Lecturer / Medical Research Fellow",$B$4="Clinical Consultant - Old Contract (GP)"),$B43&lt;&gt;""),$C43*Thresholds_Rates!$F$18,IF(AND(OR($B$4="APM Level 7",$B$4="R&amp;T Level 7"),H43&lt;&gt;""),$C43*Thresholds_Rates!$F$18,IF(SUMIF(Grades!$A:$A,$B$4,Grades!$BQ:$BQ)=1,$C43*Thresholds_Rates!$F$18,""))))))))</f>
        <v/>
      </c>
      <c r="J43" s="4"/>
      <c r="K43" s="24" t="str">
        <f t="shared" ca="1" si="0"/>
        <v/>
      </c>
      <c r="L43" s="24" t="str">
        <f t="shared" ca="1" si="1"/>
        <v/>
      </c>
      <c r="M43" s="24" t="str">
        <f t="shared" ca="1" si="2"/>
        <v/>
      </c>
      <c r="N43" s="24" t="str">
        <f t="shared" ca="1" si="3"/>
        <v/>
      </c>
      <c r="O43" s="24" t="str">
        <f t="shared" ca="1" si="4"/>
        <v/>
      </c>
      <c r="Q43" s="27" t="str">
        <f ca="1">IF(B43="","",IF($B$4="R&amp;T Level 5 - Clinical Lecturers (Vet School)",SUMIF(Points_Lookup!$M:$M,$B43,Points_Lookup!$N:$N),IF($B$4="R&amp;T Level 6 - Clinical Associate Professors and Clinical Readers (Vet School)",SUMIF(Points_Lookup!$T:$T,$B43,Points_Lookup!$U:$U),"")))</f>
        <v/>
      </c>
      <c r="R43" s="28" t="str">
        <f ca="1">IF(B43="","",IF($B$4="R&amp;T Level 5 - Clinical Lecturers (Vet School)",$C43-SUMIF(Points_Lookup!$M:$M,$B43,Points_Lookup!$O:$O),IF($B$4="R&amp;T Level 6 - Clinical Associate Professors and Clinical Readers (Vet School)",$C43-SUMIF(Points_Lookup!$T:$T,$B43,Points_Lookup!$V:$V),"")))</f>
        <v/>
      </c>
      <c r="S43" s="27" t="str">
        <f ca="1">IF(B43="","",IF($B$4="R&amp;T Level 5 - Clinical Lecturers (Vet School)",SUMIF(Points_Lookup!$M:$M,$B43,Points_Lookup!$Q:$Q),IF($B$4="R&amp;T Level 6 - Clinical Associate Professors and Clinical Readers (Vet School)",SUMIF(Points_Lookup!$T:$T,$B43,Points_Lookup!$X:$X),"")))</f>
        <v/>
      </c>
      <c r="T43" s="28" t="str">
        <f t="shared" ca="1" si="6"/>
        <v/>
      </c>
      <c r="Y43" s="25">
        <v>35</v>
      </c>
    </row>
    <row r="44" spans="2:25" x14ac:dyDescent="0.25">
      <c r="B44" s="4" t="str">
        <f ca="1">IFERROR(INDEX(Points_Lookup!$A:$A,MATCH($Y44,Points_Lookup!$AE:$AE,0)),"")</f>
        <v/>
      </c>
      <c r="C44" s="24" t="str">
        <f ca="1">IF(B44="","",IF($B$4="Apprenticeship",SUMIF(Points_Lookup!$AA:$AA,B44,Points_Lookup!$AC:$AC),IF(AND(OR($B$4="New Consultant Contract"),$B44&lt;&gt;""),INDEX(Points_Lookup!$K:$K,MATCH($B44,Points_Lookup!$J:$J,0)),IF(AND(OR($B$4="Clinical Lecturer / Medical Research Fellow",$B$4="Clinical Consultant - Old Contract (GP)"),$B44&lt;&gt;""),INDEX(Points_Lookup!$H:$H,MATCH($B44,Points_Lookup!$G:$G,0)),IF(AND(OR($B$4="APM Level 7",$B$4="R&amp;T Level 7",$B$4="APM Level 8"),B44&lt;&gt;""),INDEX(Points_Lookup!$E:$E,MATCH($Y44,Points_Lookup!$AE:$AE,0)),IF($B$4="R&amp;T Level 5 - Clinical Lecturers (Vet School)",SUMIF(Points_Lookup!$M:$M,$B44,Points_Lookup!$P:$P),IF($B$4="R&amp;T Level 6 - Clinical Associate Professors and Clinical Readers (Vet School)",SUMIF(Points_Lookup!$T:$T,$B44,Points_Lookup!$W:$W),IFERROR(INDEX(Points_Lookup!$B:$B,MATCH($Y44,Points_Lookup!$AE:$AE,0)),""))))))))</f>
        <v/>
      </c>
      <c r="D44" s="39"/>
      <c r="E44" s="24" t="str">
        <f ca="1">IF($B44="","",IF(AND($B$4="Salary Points 2 to 57",B44&lt;Thresholds_Rates!$C$16),"-",IF(SUMIF(Grades!$A:$A,$B$4,Grades!$BO:$BO)=0,"-",IF(AND($B$4="Salary Points 2 to 57",B44&gt;=Thresholds_Rates!$C$16),$C44*Thresholds_Rates!$F$15,IF(AND(OR($B$4="New Consultant Contract"),$B44&lt;&gt;""),$C44*Thresholds_Rates!$F$15,IF(AND(OR($B$4="Clinical Lecturer / Medical Research Fellow",$B$4="Clinical Consultant - Old Contract (GP)"),$B44&lt;&gt;""),$C44*Thresholds_Rates!$F$15,IF(OR($B$4="APM Level 7",$B$4="R&amp;T Level 7"),$C44*Thresholds_Rates!$F$15,IF(SUMIF(Grades!$A:$A,$B$4,Grades!$BO:$BO)=1,$C44*Thresholds_Rates!$F$15,""))))))))</f>
        <v/>
      </c>
      <c r="F44" s="24" t="str">
        <f ca="1">IF(B44="","",IF($B$4="Salary Points 2 to 57","-",IF(SUMIF(Grades!$A:$A,$B$4,Grades!$BP:$BP)=0,"-",IF(AND(OR($B$4="New Consultant Contract"),$B44&lt;&gt;""),$C44*Thresholds_Rates!$F$16,IF(AND(OR($B$4="Clinical Lecturer / Medical Research Fellow",$B$4="Clinical Consultant - Old Contract (GP)"),$B44&lt;&gt;""),$C44*Thresholds_Rates!$F$16,IF(AND(OR($B$4="APM Level 7",$B$4="R&amp;T Level 7"),E44&lt;&gt;""),$C44*Thresholds_Rates!$F$16,IF(SUMIF(Grades!$A:$A,$B$4,Grades!$BP:$BP)=1,$C44*Thresholds_Rates!$F$16,"")))))))</f>
        <v/>
      </c>
      <c r="G44" s="24" t="str">
        <f ca="1">IF($B$4="Apprenticeship","-",IF(B44="","",IF(SUMIF(Grades!$A:$A,$B$4,Grades!$BQ:$BQ)=0,"-",IF(AND($B$4="Salary Points 2 to 57",B44&gt;Thresholds_Rates!$C$17),"-",IF(AND($B$4="Salary Points 2 to 57",B44&lt;=Thresholds_Rates!$C$17),$C44*Thresholds_Rates!$F$17,IF(AND(OR($B$4="New Consultant Contract"),$B44&lt;&gt;""),$C44*Thresholds_Rates!$F$17,IF(AND(OR($B$4="Clinical Lecturer / Medical Research Fellow",$B$4="Clinical Consultant - Old Contract (GP)"),$B44&lt;&gt;""),$C44*Thresholds_Rates!$F$17,IF(AND(OR($B$4="APM Level 7",$B$4="R&amp;T Level 7"),F44&lt;&gt;""),$C44*Thresholds_Rates!$F$17,IF(SUMIF(Grades!$A:$A,$B$4,Grades!$BQ:$BQ)=1,$C44*Thresholds_Rates!$F$17,"")))))))))</f>
        <v/>
      </c>
      <c r="H44" s="24" t="str">
        <f ca="1">IF($B44="","",ROUND(($C44-(Thresholds_Rates!$C$5*12))*Thresholds_Rates!$C$10,0))</f>
        <v/>
      </c>
      <c r="I44" s="24" t="str">
        <f ca="1">IF(B44="","",IF(AND($B$4="Salary Points 2 to 57",B44&gt;Thresholds_Rates!$C$17),"-",IF(SUMIF(Grades!$A:$A,$B$4,Grades!$BR:$BR)=0,"-",IF(AND($B$4="Salary Points 2 to 57",B44&lt;=Thresholds_Rates!$C$17),$C44*Thresholds_Rates!$F$18,IF(AND(OR($B$4="New Consultant Contract"),$B44&lt;&gt;""),$C44*Thresholds_Rates!$F$18,IF(AND(OR($B$4="Clinical Lecturer / Medical Research Fellow",$B$4="Clinical Consultant - Old Contract (GP)"),$B44&lt;&gt;""),$C44*Thresholds_Rates!$F$18,IF(AND(OR($B$4="APM Level 7",$B$4="R&amp;T Level 7"),H44&lt;&gt;""),$C44*Thresholds_Rates!$F$18,IF(SUMIF(Grades!$A:$A,$B$4,Grades!$BQ:$BQ)=1,$C44*Thresholds_Rates!$F$18,""))))))))</f>
        <v/>
      </c>
      <c r="J44" s="4"/>
      <c r="K44" s="24" t="str">
        <f t="shared" ca="1" si="0"/>
        <v/>
      </c>
      <c r="L44" s="24" t="str">
        <f t="shared" ca="1" si="1"/>
        <v/>
      </c>
      <c r="M44" s="24" t="str">
        <f t="shared" ca="1" si="2"/>
        <v/>
      </c>
      <c r="N44" s="24" t="str">
        <f t="shared" ca="1" si="3"/>
        <v/>
      </c>
      <c r="O44" s="24" t="str">
        <f t="shared" ca="1" si="4"/>
        <v/>
      </c>
      <c r="Q44" s="27" t="str">
        <f ca="1">IF(B44="","",IF($B$4="R&amp;T Level 5 - Clinical Lecturers (Vet School)",SUMIF(Points_Lookup!$M:$M,$B44,Points_Lookup!$N:$N),IF($B$4="R&amp;T Level 6 - Clinical Associate Professors and Clinical Readers (Vet School)",SUMIF(Points_Lookup!$T:$T,$B44,Points_Lookup!$U:$U),"")))</f>
        <v/>
      </c>
      <c r="R44" s="28" t="str">
        <f ca="1">IF(B44="","",IF($B$4="R&amp;T Level 5 - Clinical Lecturers (Vet School)",$C44-SUMIF(Points_Lookup!$M:$M,$B44,Points_Lookup!$O:$O),IF($B$4="R&amp;T Level 6 - Clinical Associate Professors and Clinical Readers (Vet School)",$C44-SUMIF(Points_Lookup!$T:$T,$B44,Points_Lookup!$V:$V),"")))</f>
        <v/>
      </c>
      <c r="S44" s="27" t="str">
        <f ca="1">IF(B44="","",IF($B$4="R&amp;T Level 5 - Clinical Lecturers (Vet School)",SUMIF(Points_Lookup!$M:$M,$B44,Points_Lookup!$Q:$Q),IF($B$4="R&amp;T Level 6 - Clinical Associate Professors and Clinical Readers (Vet School)",SUMIF(Points_Lookup!$T:$T,$B44,Points_Lookup!$X:$X),"")))</f>
        <v/>
      </c>
      <c r="T44" s="28" t="str">
        <f t="shared" ca="1" si="6"/>
        <v/>
      </c>
      <c r="Y44" s="25">
        <v>36</v>
      </c>
    </row>
    <row r="45" spans="2:25" x14ac:dyDescent="0.25">
      <c r="B45" s="4" t="str">
        <f ca="1">IFERROR(INDEX(Points_Lookup!$A:$A,MATCH($Y45,Points_Lookup!$AE:$AE,0)),"")</f>
        <v/>
      </c>
      <c r="C45" s="24" t="str">
        <f ca="1">IF(B45="","",IF($B$4="Apprenticeship",SUMIF(Points_Lookup!$AA:$AA,B45,Points_Lookup!$AC:$AC),IF(AND(OR($B$4="New Consultant Contract"),$B45&lt;&gt;""),INDEX(Points_Lookup!$K:$K,MATCH($B45,Points_Lookup!$J:$J,0)),IF(AND(OR($B$4="Clinical Lecturer / Medical Research Fellow",$B$4="Clinical Consultant - Old Contract (GP)"),$B45&lt;&gt;""),INDEX(Points_Lookup!$H:$H,MATCH($B45,Points_Lookup!$G:$G,0)),IF(AND(OR($B$4="APM Level 7",$B$4="R&amp;T Level 7",$B$4="APM Level 8"),B45&lt;&gt;""),INDEX(Points_Lookup!$E:$E,MATCH($Y45,Points_Lookup!$AE:$AE,0)),IF($B$4="R&amp;T Level 5 - Clinical Lecturers (Vet School)",SUMIF(Points_Lookup!$M:$M,$B45,Points_Lookup!$P:$P),IF($B$4="R&amp;T Level 6 - Clinical Associate Professors and Clinical Readers (Vet School)",SUMIF(Points_Lookup!$T:$T,$B45,Points_Lookup!$W:$W),IFERROR(INDEX(Points_Lookup!$B:$B,MATCH($Y45,Points_Lookup!$AE:$AE,0)),""))))))))</f>
        <v/>
      </c>
      <c r="D45" s="39"/>
      <c r="E45" s="24" t="str">
        <f ca="1">IF($B45="","",IF(AND($B$4="Salary Points 2 to 57",B45&lt;Thresholds_Rates!$C$16),"-",IF(SUMIF(Grades!$A:$A,$B$4,Grades!$BO:$BO)=0,"-",IF(AND($B$4="Salary Points 2 to 57",B45&gt;=Thresholds_Rates!$C$16),$C45*Thresholds_Rates!$F$15,IF(AND(OR($B$4="New Consultant Contract"),$B45&lt;&gt;""),$C45*Thresholds_Rates!$F$15,IF(AND(OR($B$4="Clinical Lecturer / Medical Research Fellow",$B$4="Clinical Consultant - Old Contract (GP)"),$B45&lt;&gt;""),$C45*Thresholds_Rates!$F$15,IF(OR($B$4="APM Level 7",$B$4="R&amp;T Level 7"),$C45*Thresholds_Rates!$F$15,IF(SUMIF(Grades!$A:$A,$B$4,Grades!$BO:$BO)=1,$C45*Thresholds_Rates!$F$15,""))))))))</f>
        <v/>
      </c>
      <c r="F45" s="24" t="str">
        <f ca="1">IF(B45="","",IF($B$4="Salary Points 2 to 57","-",IF(SUMIF(Grades!$A:$A,$B$4,Grades!$BP:$BP)=0,"-",IF(AND(OR($B$4="New Consultant Contract"),$B45&lt;&gt;""),$C45*Thresholds_Rates!$F$16,IF(AND(OR($B$4="Clinical Lecturer / Medical Research Fellow",$B$4="Clinical Consultant - Old Contract (GP)"),$B45&lt;&gt;""),$C45*Thresholds_Rates!$F$16,IF(AND(OR($B$4="APM Level 7",$B$4="R&amp;T Level 7"),E45&lt;&gt;""),$C45*Thresholds_Rates!$F$16,IF(SUMIF(Grades!$A:$A,$B$4,Grades!$BP:$BP)=1,$C45*Thresholds_Rates!$F$16,"")))))))</f>
        <v/>
      </c>
      <c r="G45" s="24" t="str">
        <f ca="1">IF($B$4="Apprenticeship","-",IF(B45="","",IF(SUMIF(Grades!$A:$A,$B$4,Grades!$BQ:$BQ)=0,"-",IF(AND($B$4="Salary Points 2 to 57",B45&gt;Thresholds_Rates!$C$17),"-",IF(AND($B$4="Salary Points 2 to 57",B45&lt;=Thresholds_Rates!$C$17),$C45*Thresholds_Rates!$F$17,IF(AND(OR($B$4="New Consultant Contract"),$B45&lt;&gt;""),$C45*Thresholds_Rates!$F$17,IF(AND(OR($B$4="Clinical Lecturer / Medical Research Fellow",$B$4="Clinical Consultant - Old Contract (GP)"),$B45&lt;&gt;""),$C45*Thresholds_Rates!$F$17,IF(AND(OR($B$4="APM Level 7",$B$4="R&amp;T Level 7"),F45&lt;&gt;""),$C45*Thresholds_Rates!$F$17,IF(SUMIF(Grades!$A:$A,$B$4,Grades!$BQ:$BQ)=1,$C45*Thresholds_Rates!$F$17,"")))))))))</f>
        <v/>
      </c>
      <c r="H45" s="24" t="str">
        <f ca="1">IF($B45="","",ROUND(($C45-(Thresholds_Rates!$C$5*12))*Thresholds_Rates!$C$10,0))</f>
        <v/>
      </c>
      <c r="I45" s="24" t="str">
        <f ca="1">IF(B45="","",IF(AND($B$4="Salary Points 2 to 57",B45&gt;Thresholds_Rates!$C$17),"-",IF(SUMIF(Grades!$A:$A,$B$4,Grades!$BR:$BR)=0,"-",IF(AND($B$4="Salary Points 2 to 57",B45&lt;=Thresholds_Rates!$C$17),$C45*Thresholds_Rates!$F$18,IF(AND(OR($B$4="New Consultant Contract"),$B45&lt;&gt;""),$C45*Thresholds_Rates!$F$18,IF(AND(OR($B$4="Clinical Lecturer / Medical Research Fellow",$B$4="Clinical Consultant - Old Contract (GP)"),$B45&lt;&gt;""),$C45*Thresholds_Rates!$F$18,IF(AND(OR($B$4="APM Level 7",$B$4="R&amp;T Level 7"),H45&lt;&gt;""),$C45*Thresholds_Rates!$F$18,IF(SUMIF(Grades!$A:$A,$B$4,Grades!$BQ:$BQ)=1,$C45*Thresholds_Rates!$F$18,""))))))))</f>
        <v/>
      </c>
      <c r="J45" s="4"/>
      <c r="K45" s="24" t="str">
        <f t="shared" ca="1" si="0"/>
        <v/>
      </c>
      <c r="L45" s="24" t="str">
        <f t="shared" ca="1" si="1"/>
        <v/>
      </c>
      <c r="M45" s="24" t="str">
        <f t="shared" ca="1" si="2"/>
        <v/>
      </c>
      <c r="N45" s="24" t="str">
        <f t="shared" ca="1" si="3"/>
        <v/>
      </c>
      <c r="O45" s="24" t="str">
        <f t="shared" ca="1" si="4"/>
        <v/>
      </c>
      <c r="Q45" s="27" t="str">
        <f ca="1">IF(B45="","",IF($B$4="R&amp;T Level 5 - Clinical Lecturers (Vet School)",SUMIF(Points_Lookup!$M:$M,$B45,Points_Lookup!$N:$N),IF($B$4="R&amp;T Level 6 - Clinical Associate Professors and Clinical Readers (Vet School)",SUMIF(Points_Lookup!$T:$T,$B45,Points_Lookup!$U:$U),"")))</f>
        <v/>
      </c>
      <c r="R45" s="28" t="str">
        <f ca="1">IF(B45="","",IF($B$4="R&amp;T Level 5 - Clinical Lecturers (Vet School)",$C45-SUMIF(Points_Lookup!$M:$M,$B45,Points_Lookup!$O:$O),IF($B$4="R&amp;T Level 6 - Clinical Associate Professors and Clinical Readers (Vet School)",$C45-SUMIF(Points_Lookup!$T:$T,$B45,Points_Lookup!$V:$V),"")))</f>
        <v/>
      </c>
      <c r="S45" s="27" t="str">
        <f ca="1">IF(B45="","",IF($B$4="R&amp;T Level 5 - Clinical Lecturers (Vet School)",SUMIF(Points_Lookup!$M:$M,$B45,Points_Lookup!$Q:$Q),IF($B$4="R&amp;T Level 6 - Clinical Associate Professors and Clinical Readers (Vet School)",SUMIF(Points_Lookup!$T:$T,$B45,Points_Lookup!$X:$X),"")))</f>
        <v/>
      </c>
      <c r="T45" s="28" t="str">
        <f t="shared" ca="1" si="6"/>
        <v/>
      </c>
      <c r="Y45" s="25">
        <v>37</v>
      </c>
    </row>
    <row r="46" spans="2:25" x14ac:dyDescent="0.25">
      <c r="B46" s="4" t="str">
        <f ca="1">IFERROR(INDEX(Points_Lookup!$A:$A,MATCH($Y46,Points_Lookup!$AE:$AE,0)),"")</f>
        <v/>
      </c>
      <c r="C46" s="24" t="str">
        <f ca="1">IF(B46="","",IF($B$4="Apprenticeship",SUMIF(Points_Lookup!$AA:$AA,B46,Points_Lookup!$AC:$AC),IF(AND(OR($B$4="New Consultant Contract"),$B46&lt;&gt;""),INDEX(Points_Lookup!$K:$K,MATCH($B46,Points_Lookup!$J:$J,0)),IF(AND(OR($B$4="Clinical Lecturer / Medical Research Fellow",$B$4="Clinical Consultant - Old Contract (GP)"),$B46&lt;&gt;""),INDEX(Points_Lookup!$H:$H,MATCH($B46,Points_Lookup!$G:$G,0)),IF(AND(OR($B$4="APM Level 7",$B$4="R&amp;T Level 7",$B$4="APM Level 8"),B46&lt;&gt;""),INDEX(Points_Lookup!$E:$E,MATCH($Y46,Points_Lookup!$AE:$AE,0)),IF($B$4="R&amp;T Level 5 - Clinical Lecturers (Vet School)",SUMIF(Points_Lookup!$M:$M,$B46,Points_Lookup!$P:$P),IF($B$4="R&amp;T Level 6 - Clinical Associate Professors and Clinical Readers (Vet School)",SUMIF(Points_Lookup!$T:$T,$B46,Points_Lookup!$W:$W),IFERROR(INDEX(Points_Lookup!$B:$B,MATCH($Y46,Points_Lookup!$AE:$AE,0)),""))))))))</f>
        <v/>
      </c>
      <c r="D46" s="39"/>
      <c r="E46" s="24" t="str">
        <f ca="1">IF($B46="","",IF(AND($B$4="Salary Points 2 to 57",B46&lt;Thresholds_Rates!$C$16),"-",IF(SUMIF(Grades!$A:$A,$B$4,Grades!$BO:$BO)=0,"-",IF(AND($B$4="Salary Points 2 to 57",B46&gt;=Thresholds_Rates!$C$16),$C46*Thresholds_Rates!$F$15,IF(AND(OR($B$4="New Consultant Contract"),$B46&lt;&gt;""),$C46*Thresholds_Rates!$F$15,IF(AND(OR($B$4="Clinical Lecturer / Medical Research Fellow",$B$4="Clinical Consultant - Old Contract (GP)"),$B46&lt;&gt;""),$C46*Thresholds_Rates!$F$15,IF(OR($B$4="APM Level 7",$B$4="R&amp;T Level 7"),$C46*Thresholds_Rates!$F$15,IF(SUMIF(Grades!$A:$A,$B$4,Grades!$BO:$BO)=1,$C46*Thresholds_Rates!$F$15,""))))))))</f>
        <v/>
      </c>
      <c r="F46" s="24" t="str">
        <f ca="1">IF(B46="","",IF($B$4="Salary Points 2 to 57","-",IF(SUMIF(Grades!$A:$A,$B$4,Grades!$BP:$BP)=0,"-",IF(AND(OR($B$4="New Consultant Contract"),$B46&lt;&gt;""),$C46*Thresholds_Rates!$F$16,IF(AND(OR($B$4="Clinical Lecturer / Medical Research Fellow",$B$4="Clinical Consultant - Old Contract (GP)"),$B46&lt;&gt;""),$C46*Thresholds_Rates!$F$16,IF(AND(OR($B$4="APM Level 7",$B$4="R&amp;T Level 7"),E46&lt;&gt;""),$C46*Thresholds_Rates!$F$16,IF(SUMIF(Grades!$A:$A,$B$4,Grades!$BP:$BP)=1,$C46*Thresholds_Rates!$F$16,"")))))))</f>
        <v/>
      </c>
      <c r="G46" s="24" t="str">
        <f ca="1">IF($B$4="Apprenticeship","-",IF(B46="","",IF(SUMIF(Grades!$A:$A,$B$4,Grades!$BQ:$BQ)=0,"-",IF(AND($B$4="Salary Points 2 to 57",B46&gt;Thresholds_Rates!$C$17),"-",IF(AND($B$4="Salary Points 2 to 57",B46&lt;=Thresholds_Rates!$C$17),$C46*Thresholds_Rates!$F$17,IF(AND(OR($B$4="New Consultant Contract"),$B46&lt;&gt;""),$C46*Thresholds_Rates!$F$17,IF(AND(OR($B$4="Clinical Lecturer / Medical Research Fellow",$B$4="Clinical Consultant - Old Contract (GP)"),$B46&lt;&gt;""),$C46*Thresholds_Rates!$F$17,IF(AND(OR($B$4="APM Level 7",$B$4="R&amp;T Level 7"),F46&lt;&gt;""),$C46*Thresholds_Rates!$F$17,IF(SUMIF(Grades!$A:$A,$B$4,Grades!$BQ:$BQ)=1,$C46*Thresholds_Rates!$F$17,"")))))))))</f>
        <v/>
      </c>
      <c r="H46" s="24" t="str">
        <f ca="1">IF($B46="","",ROUND(($C46-(Thresholds_Rates!$C$5*12))*Thresholds_Rates!$C$10,0))</f>
        <v/>
      </c>
      <c r="I46" s="24" t="str">
        <f ca="1">IF(B46="","",IF(AND($B$4="Salary Points 2 to 57",B46&gt;Thresholds_Rates!$C$17),"-",IF(SUMIF(Grades!$A:$A,$B$4,Grades!$BR:$BR)=0,"-",IF(AND($B$4="Salary Points 2 to 57",B46&lt;=Thresholds_Rates!$C$17),$C46*Thresholds_Rates!$F$18,IF(AND(OR($B$4="New Consultant Contract"),$B46&lt;&gt;""),$C46*Thresholds_Rates!$F$18,IF(AND(OR($B$4="Clinical Lecturer / Medical Research Fellow",$B$4="Clinical Consultant - Old Contract (GP)"),$B46&lt;&gt;""),$C46*Thresholds_Rates!$F$18,IF(AND(OR($B$4="APM Level 7",$B$4="R&amp;T Level 7"),H46&lt;&gt;""),$C46*Thresholds_Rates!$F$18,IF(SUMIF(Grades!$A:$A,$B$4,Grades!$BQ:$BQ)=1,$C46*Thresholds_Rates!$F$18,""))))))))</f>
        <v/>
      </c>
      <c r="J46" s="4"/>
      <c r="K46" s="24" t="str">
        <f t="shared" ca="1" si="0"/>
        <v/>
      </c>
      <c r="L46" s="24" t="str">
        <f t="shared" ca="1" si="1"/>
        <v/>
      </c>
      <c r="M46" s="24" t="str">
        <f t="shared" ca="1" si="2"/>
        <v/>
      </c>
      <c r="N46" s="24" t="str">
        <f t="shared" ca="1" si="3"/>
        <v/>
      </c>
      <c r="O46" s="24" t="str">
        <f t="shared" ca="1" si="4"/>
        <v/>
      </c>
      <c r="Q46" s="27" t="str">
        <f ca="1">IF(B46="","",IF($B$4="R&amp;T Level 5 - Clinical Lecturers (Vet School)",SUMIF(Points_Lookup!$M:$M,$B46,Points_Lookup!$N:$N),IF($B$4="R&amp;T Level 6 - Clinical Associate Professors and Clinical Readers (Vet School)",SUMIF(Points_Lookup!$T:$T,$B46,Points_Lookup!$U:$U),"")))</f>
        <v/>
      </c>
      <c r="R46" s="28" t="str">
        <f ca="1">IF(B46="","",IF($B$4="R&amp;T Level 5 - Clinical Lecturers (Vet School)",$C46-SUMIF(Points_Lookup!$M:$M,$B46,Points_Lookup!$O:$O),IF($B$4="R&amp;T Level 6 - Clinical Associate Professors and Clinical Readers (Vet School)",$C46-SUMIF(Points_Lookup!$T:$T,$B46,Points_Lookup!$V:$V),"")))</f>
        <v/>
      </c>
      <c r="S46" s="27" t="str">
        <f ca="1">IF(B46="","",IF($B$4="R&amp;T Level 5 - Clinical Lecturers (Vet School)",SUMIF(Points_Lookup!$M:$M,$B46,Points_Lookup!$Q:$Q),IF($B$4="R&amp;T Level 6 - Clinical Associate Professors and Clinical Readers (Vet School)",SUMIF(Points_Lookup!$T:$T,$B46,Points_Lookup!$X:$X),"")))</f>
        <v/>
      </c>
      <c r="T46" s="28" t="str">
        <f t="shared" ca="1" si="6"/>
        <v/>
      </c>
      <c r="Y46" s="25">
        <v>38</v>
      </c>
    </row>
    <row r="47" spans="2:25" x14ac:dyDescent="0.25">
      <c r="B47" s="4" t="str">
        <f ca="1">IFERROR(INDEX(Points_Lookup!$A:$A,MATCH($Y47,Points_Lookup!$AE:$AE,0)),"")</f>
        <v/>
      </c>
      <c r="C47" s="24" t="str">
        <f ca="1">IF(B47="","",IF($B$4="Apprenticeship",SUMIF(Points_Lookup!$AA:$AA,B47,Points_Lookup!$AC:$AC),IF(AND(OR($B$4="New Consultant Contract"),$B47&lt;&gt;""),INDEX(Points_Lookup!$K:$K,MATCH($B47,Points_Lookup!$J:$J,0)),IF(AND(OR($B$4="Clinical Lecturer / Medical Research Fellow",$B$4="Clinical Consultant - Old Contract (GP)"),$B47&lt;&gt;""),INDEX(Points_Lookup!$H:$H,MATCH($B47,Points_Lookup!$G:$G,0)),IF(AND(OR($B$4="APM Level 7",$B$4="R&amp;T Level 7",$B$4="APM Level 8"),B47&lt;&gt;""),INDEX(Points_Lookup!$E:$E,MATCH($Y47,Points_Lookup!$AE:$AE,0)),IF($B$4="R&amp;T Level 5 - Clinical Lecturers (Vet School)",SUMIF(Points_Lookup!$M:$M,$B47,Points_Lookup!$P:$P),IF($B$4="R&amp;T Level 6 - Clinical Associate Professors and Clinical Readers (Vet School)",SUMIF(Points_Lookup!$T:$T,$B47,Points_Lookup!$W:$W),IFERROR(INDEX(Points_Lookup!$B:$B,MATCH($Y47,Points_Lookup!$AE:$AE,0)),""))))))))</f>
        <v/>
      </c>
      <c r="D47" s="39"/>
      <c r="E47" s="24" t="str">
        <f ca="1">IF($B47="","",IF(AND($B$4="Salary Points 2 to 57",B47&lt;Thresholds_Rates!$C$16),"-",IF(SUMIF(Grades!$A:$A,$B$4,Grades!$BO:$BO)=0,"-",IF(AND($B$4="Salary Points 2 to 57",B47&gt;=Thresholds_Rates!$C$16),$C47*Thresholds_Rates!$F$15,IF(AND(OR($B$4="New Consultant Contract"),$B47&lt;&gt;""),$C47*Thresholds_Rates!$F$15,IF(AND(OR($B$4="Clinical Lecturer / Medical Research Fellow",$B$4="Clinical Consultant - Old Contract (GP)"),$B47&lt;&gt;""),$C47*Thresholds_Rates!$F$15,IF(OR($B$4="APM Level 7",$B$4="R&amp;T Level 7"),$C47*Thresholds_Rates!$F$15,IF(SUMIF(Grades!$A:$A,$B$4,Grades!$BO:$BO)=1,$C47*Thresholds_Rates!$F$15,""))))))))</f>
        <v/>
      </c>
      <c r="F47" s="24" t="str">
        <f ca="1">IF(B47="","",IF($B$4="Salary Points 2 to 57","-",IF(SUMIF(Grades!$A:$A,$B$4,Grades!$BP:$BP)=0,"-",IF(AND(OR($B$4="New Consultant Contract"),$B47&lt;&gt;""),$C47*Thresholds_Rates!$F$16,IF(AND(OR($B$4="Clinical Lecturer / Medical Research Fellow",$B$4="Clinical Consultant - Old Contract (GP)"),$B47&lt;&gt;""),$C47*Thresholds_Rates!$F$16,IF(AND(OR($B$4="APM Level 7",$B$4="R&amp;T Level 7"),E47&lt;&gt;""),$C47*Thresholds_Rates!$F$16,IF(SUMIF(Grades!$A:$A,$B$4,Grades!$BP:$BP)=1,$C47*Thresholds_Rates!$F$16,"")))))))</f>
        <v/>
      </c>
      <c r="G47" s="24" t="str">
        <f ca="1">IF($B$4="Apprenticeship","-",IF(B47="","",IF(SUMIF(Grades!$A:$A,$B$4,Grades!$BQ:$BQ)=0,"-",IF(AND($B$4="Salary Points 2 to 57",B47&gt;Thresholds_Rates!$C$17),"-",IF(AND($B$4="Salary Points 2 to 57",B47&lt;=Thresholds_Rates!$C$17),$C47*Thresholds_Rates!$F$17,IF(AND(OR($B$4="New Consultant Contract"),$B47&lt;&gt;""),$C47*Thresholds_Rates!$F$17,IF(AND(OR($B$4="Clinical Lecturer / Medical Research Fellow",$B$4="Clinical Consultant - Old Contract (GP)"),$B47&lt;&gt;""),$C47*Thresholds_Rates!$F$17,IF(AND(OR($B$4="APM Level 7",$B$4="R&amp;T Level 7"),F47&lt;&gt;""),$C47*Thresholds_Rates!$F$17,IF(SUMIF(Grades!$A:$A,$B$4,Grades!$BQ:$BQ)=1,$C47*Thresholds_Rates!$F$17,"")))))))))</f>
        <v/>
      </c>
      <c r="H47" s="24" t="str">
        <f ca="1">IF($B47="","",ROUND(($C47-(Thresholds_Rates!$C$5*12))*Thresholds_Rates!$C$10,0))</f>
        <v/>
      </c>
      <c r="I47" s="24" t="str">
        <f ca="1">IF(B47="","",IF(AND($B$4="Salary Points 2 to 57",B47&gt;Thresholds_Rates!$C$17),"-",IF(SUMIF(Grades!$A:$A,$B$4,Grades!$BR:$BR)=0,"-",IF(AND($B$4="Salary Points 2 to 57",B47&lt;=Thresholds_Rates!$C$17),$C47*Thresholds_Rates!$F$18,IF(AND(OR($B$4="New Consultant Contract"),$B47&lt;&gt;""),$C47*Thresholds_Rates!$F$18,IF(AND(OR($B$4="Clinical Lecturer / Medical Research Fellow",$B$4="Clinical Consultant - Old Contract (GP)"),$B47&lt;&gt;""),$C47*Thresholds_Rates!$F$18,IF(AND(OR($B$4="APM Level 7",$B$4="R&amp;T Level 7"),H47&lt;&gt;""),$C47*Thresholds_Rates!$F$18,IF(SUMIF(Grades!$A:$A,$B$4,Grades!$BQ:$BQ)=1,$C47*Thresholds_Rates!$F$18,""))))))))</f>
        <v/>
      </c>
      <c r="J47" s="4"/>
      <c r="K47" s="24" t="str">
        <f t="shared" ca="1" si="0"/>
        <v/>
      </c>
      <c r="L47" s="24" t="str">
        <f t="shared" ca="1" si="1"/>
        <v/>
      </c>
      <c r="M47" s="24" t="str">
        <f t="shared" ca="1" si="2"/>
        <v/>
      </c>
      <c r="N47" s="24" t="str">
        <f t="shared" ca="1" si="3"/>
        <v/>
      </c>
      <c r="O47" s="24" t="str">
        <f t="shared" ca="1" si="4"/>
        <v/>
      </c>
      <c r="Q47" s="27" t="str">
        <f ca="1">IF(B47="","",IF($B$4="R&amp;T Level 5 - Clinical Lecturers (Vet School)",SUMIF(Points_Lookup!$M:$M,$B47,Points_Lookup!$N:$N),IF($B$4="R&amp;T Level 6 - Clinical Associate Professors and Clinical Readers (Vet School)",SUMIF(Points_Lookup!$T:$T,$B47,Points_Lookup!$U:$U),"")))</f>
        <v/>
      </c>
      <c r="R47" s="28" t="str">
        <f ca="1">IF(B47="","",IF($B$4="R&amp;T Level 5 - Clinical Lecturers (Vet School)",$C47-SUMIF(Points_Lookup!$M:$M,$B47,Points_Lookup!$O:$O),IF($B$4="R&amp;T Level 6 - Clinical Associate Professors and Clinical Readers (Vet School)",$C47-SUMIF(Points_Lookup!$T:$T,$B47,Points_Lookup!$V:$V),"")))</f>
        <v/>
      </c>
      <c r="S47" s="27" t="str">
        <f ca="1">IF(B47="","",IF($B$4="R&amp;T Level 5 - Clinical Lecturers (Vet School)",SUMIF(Points_Lookup!$M:$M,$B47,Points_Lookup!$Q:$Q),IF($B$4="R&amp;T Level 6 - Clinical Associate Professors and Clinical Readers (Vet School)",SUMIF(Points_Lookup!$T:$T,$B47,Points_Lookup!$X:$X),"")))</f>
        <v/>
      </c>
      <c r="T47" s="28" t="str">
        <f t="shared" ca="1" si="6"/>
        <v/>
      </c>
      <c r="Y47" s="25">
        <v>39</v>
      </c>
    </row>
    <row r="48" spans="2:25" x14ac:dyDescent="0.25">
      <c r="B48" s="4" t="str">
        <f ca="1">IFERROR(INDEX(Points_Lookup!$A:$A,MATCH($Y48,Points_Lookup!$AE:$AE,0)),"")</f>
        <v/>
      </c>
      <c r="C48" s="24" t="str">
        <f ca="1">IF(B48="","",IF($B$4="Apprenticeship",SUMIF(Points_Lookup!$AA:$AA,B48,Points_Lookup!$AC:$AC),IF(AND(OR($B$4="New Consultant Contract"),$B48&lt;&gt;""),INDEX(Points_Lookup!$K:$K,MATCH($B48,Points_Lookup!$J:$J,0)),IF(AND(OR($B$4="Clinical Lecturer / Medical Research Fellow",$B$4="Clinical Consultant - Old Contract (GP)"),$B48&lt;&gt;""),INDEX(Points_Lookup!$H:$H,MATCH($B48,Points_Lookup!$G:$G,0)),IF(AND(OR($B$4="APM Level 7",$B$4="R&amp;T Level 7",$B$4="APM Level 8"),B48&lt;&gt;""),INDEX(Points_Lookup!$E:$E,MATCH($Y48,Points_Lookup!$AE:$AE,0)),IF($B$4="R&amp;T Level 5 - Clinical Lecturers (Vet School)",SUMIF(Points_Lookup!$M:$M,$B48,Points_Lookup!$P:$P),IF($B$4="R&amp;T Level 6 - Clinical Associate Professors and Clinical Readers (Vet School)",SUMIF(Points_Lookup!$T:$T,$B48,Points_Lookup!$W:$W),IFERROR(INDEX(Points_Lookup!$B:$B,MATCH($Y48,Points_Lookup!$AE:$AE,0)),""))))))))</f>
        <v/>
      </c>
      <c r="D48" s="39"/>
      <c r="E48" s="24" t="str">
        <f ca="1">IF($B48="","",IF(AND($B$4="Salary Points 2 to 57",B48&lt;Thresholds_Rates!$C$16),"-",IF(SUMIF(Grades!$A:$A,$B$4,Grades!$BO:$BO)=0,"-",IF(AND($B$4="Salary Points 2 to 57",B48&gt;=Thresholds_Rates!$C$16),$C48*Thresholds_Rates!$F$15,IF(AND(OR($B$4="New Consultant Contract"),$B48&lt;&gt;""),$C48*Thresholds_Rates!$F$15,IF(AND(OR($B$4="Clinical Lecturer / Medical Research Fellow",$B$4="Clinical Consultant - Old Contract (GP)"),$B48&lt;&gt;""),$C48*Thresholds_Rates!$F$15,IF(OR($B$4="APM Level 7",$B$4="R&amp;T Level 7"),$C48*Thresholds_Rates!$F$15,IF(SUMIF(Grades!$A:$A,$B$4,Grades!$BO:$BO)=1,$C48*Thresholds_Rates!$F$15,""))))))))</f>
        <v/>
      </c>
      <c r="F48" s="24" t="str">
        <f ca="1">IF(B48="","",IF($B$4="Salary Points 2 to 57","-",IF(SUMIF(Grades!$A:$A,$B$4,Grades!$BP:$BP)=0,"-",IF(AND(OR($B$4="New Consultant Contract"),$B48&lt;&gt;""),$C48*Thresholds_Rates!$F$16,IF(AND(OR($B$4="Clinical Lecturer / Medical Research Fellow",$B$4="Clinical Consultant - Old Contract (GP)"),$B48&lt;&gt;""),$C48*Thresholds_Rates!$F$16,IF(AND(OR($B$4="APM Level 7",$B$4="R&amp;T Level 7"),E48&lt;&gt;""),$C48*Thresholds_Rates!$F$16,IF(SUMIF(Grades!$A:$A,$B$4,Grades!$BP:$BP)=1,$C48*Thresholds_Rates!$F$16,"")))))))</f>
        <v/>
      </c>
      <c r="G48" s="24" t="str">
        <f ca="1">IF($B$4="Apprenticeship","-",IF(B48="","",IF(SUMIF(Grades!$A:$A,$B$4,Grades!$BQ:$BQ)=0,"-",IF(AND($B$4="Salary Points 2 to 57",B48&gt;Thresholds_Rates!$C$17),"-",IF(AND($B$4="Salary Points 2 to 57",B48&lt;=Thresholds_Rates!$C$17),$C48*Thresholds_Rates!$F$17,IF(AND(OR($B$4="New Consultant Contract"),$B48&lt;&gt;""),$C48*Thresholds_Rates!$F$17,IF(AND(OR($B$4="Clinical Lecturer / Medical Research Fellow",$B$4="Clinical Consultant - Old Contract (GP)"),$B48&lt;&gt;""),$C48*Thresholds_Rates!$F$17,IF(AND(OR($B$4="APM Level 7",$B$4="R&amp;T Level 7"),F48&lt;&gt;""),$C48*Thresholds_Rates!$F$17,IF(SUMIF(Grades!$A:$A,$B$4,Grades!$BQ:$BQ)=1,$C48*Thresholds_Rates!$F$17,"")))))))))</f>
        <v/>
      </c>
      <c r="H48" s="24" t="str">
        <f ca="1">IF($B48="","",ROUND(($C48-(Thresholds_Rates!$C$5*12))*Thresholds_Rates!$C$10,0))</f>
        <v/>
      </c>
      <c r="I48" s="24" t="str">
        <f ca="1">IF(B48="","",IF(AND($B$4="Salary Points 2 to 57",B48&gt;Thresholds_Rates!$C$17),"-",IF(SUMIF(Grades!$A:$A,$B$4,Grades!$BR:$BR)=0,"-",IF(AND($B$4="Salary Points 2 to 57",B48&lt;=Thresholds_Rates!$C$17),$C48*Thresholds_Rates!$F$18,IF(AND(OR($B$4="New Consultant Contract"),$B48&lt;&gt;""),$C48*Thresholds_Rates!$F$18,IF(AND(OR($B$4="Clinical Lecturer / Medical Research Fellow",$B$4="Clinical Consultant - Old Contract (GP)"),$B48&lt;&gt;""),$C48*Thresholds_Rates!$F$18,IF(AND(OR($B$4="APM Level 7",$B$4="R&amp;T Level 7"),H48&lt;&gt;""),$C48*Thresholds_Rates!$F$18,IF(SUMIF(Grades!$A:$A,$B$4,Grades!$BQ:$BQ)=1,$C48*Thresholds_Rates!$F$18,""))))))))</f>
        <v/>
      </c>
      <c r="J48" s="4"/>
      <c r="K48" s="24" t="str">
        <f t="shared" ca="1" si="0"/>
        <v/>
      </c>
      <c r="L48" s="24" t="str">
        <f t="shared" ca="1" si="1"/>
        <v/>
      </c>
      <c r="M48" s="24" t="str">
        <f t="shared" ca="1" si="2"/>
        <v/>
      </c>
      <c r="N48" s="24" t="str">
        <f t="shared" ca="1" si="3"/>
        <v/>
      </c>
      <c r="O48" s="24" t="str">
        <f t="shared" ca="1" si="4"/>
        <v/>
      </c>
      <c r="Q48" s="27" t="str">
        <f ca="1">IF(B48="","",IF($B$4="R&amp;T Level 5 - Clinical Lecturers (Vet School)",SUMIF(Points_Lookup!$M:$M,$B48,Points_Lookup!$N:$N),IF($B$4="R&amp;T Level 6 - Clinical Associate Professors and Clinical Readers (Vet School)",SUMIF(Points_Lookup!$T:$T,$B48,Points_Lookup!$U:$U),"")))</f>
        <v/>
      </c>
      <c r="R48" s="28" t="str">
        <f ca="1">IF(B48="","",IF($B$4="R&amp;T Level 5 - Clinical Lecturers (Vet School)",$C48-SUMIF(Points_Lookup!$M:$M,$B48,Points_Lookup!$O:$O),IF($B$4="R&amp;T Level 6 - Clinical Associate Professors and Clinical Readers (Vet School)",$C48-SUMIF(Points_Lookup!$T:$T,$B48,Points_Lookup!$V:$V),"")))</f>
        <v/>
      </c>
      <c r="S48" s="27" t="str">
        <f ca="1">IF(B48="","",IF($B$4="R&amp;T Level 5 - Clinical Lecturers (Vet School)",SUMIF(Points_Lookup!$M:$M,$B48,Points_Lookup!$Q:$Q),IF($B$4="R&amp;T Level 6 - Clinical Associate Professors and Clinical Readers (Vet School)",SUMIF(Points_Lookup!$T:$T,$B48,Points_Lookup!$X:$X),"")))</f>
        <v/>
      </c>
      <c r="T48" s="28" t="str">
        <f t="shared" ca="1" si="6"/>
        <v/>
      </c>
      <c r="Y48" s="25">
        <v>40</v>
      </c>
    </row>
    <row r="49" spans="2:25" x14ac:dyDescent="0.25">
      <c r="B49" s="4" t="str">
        <f ca="1">IFERROR(INDEX(Points_Lookup!$A:$A,MATCH($Y49,Points_Lookup!$AE:$AE,0)),"")</f>
        <v/>
      </c>
      <c r="C49" s="24" t="str">
        <f ca="1">IF(B49="","",IF($B$4="Apprenticeship",SUMIF(Points_Lookup!$AA:$AA,B49,Points_Lookup!$AC:$AC),IF(AND(OR($B$4="New Consultant Contract"),$B49&lt;&gt;""),INDEX(Points_Lookup!$K:$K,MATCH($B49,Points_Lookup!$J:$J,0)),IF(AND(OR($B$4="Clinical Lecturer / Medical Research Fellow",$B$4="Clinical Consultant - Old Contract (GP)"),$B49&lt;&gt;""),INDEX(Points_Lookup!$H:$H,MATCH($B49,Points_Lookup!$G:$G,0)),IF(AND(OR($B$4="APM Level 7",$B$4="R&amp;T Level 7",$B$4="APM Level 8"),B49&lt;&gt;""),INDEX(Points_Lookup!$E:$E,MATCH($Y49,Points_Lookup!$AE:$AE,0)),IF($B$4="R&amp;T Level 5 - Clinical Lecturers (Vet School)",SUMIF(Points_Lookup!$M:$M,$B49,Points_Lookup!$P:$P),IF($B$4="R&amp;T Level 6 - Clinical Associate Professors and Clinical Readers (Vet School)",SUMIF(Points_Lookup!$T:$T,$B49,Points_Lookup!$W:$W),IFERROR(INDEX(Points_Lookup!$B:$B,MATCH($Y49,Points_Lookup!$AE:$AE,0)),""))))))))</f>
        <v/>
      </c>
      <c r="D49" s="39"/>
      <c r="E49" s="24" t="str">
        <f ca="1">IF($B49="","",IF(AND($B$4="Salary Points 2 to 57",B49&lt;Thresholds_Rates!$C$16),"-",IF(SUMIF(Grades!$A:$A,$B$4,Grades!$BO:$BO)=0,"-",IF(AND($B$4="Salary Points 2 to 57",B49&gt;=Thresholds_Rates!$C$16),$C49*Thresholds_Rates!$F$15,IF(AND(OR($B$4="New Consultant Contract"),$B49&lt;&gt;""),$C49*Thresholds_Rates!$F$15,IF(AND(OR($B$4="Clinical Lecturer / Medical Research Fellow",$B$4="Clinical Consultant - Old Contract (GP)"),$B49&lt;&gt;""),$C49*Thresholds_Rates!$F$15,IF(OR($B$4="APM Level 7",$B$4="R&amp;T Level 7"),$C49*Thresholds_Rates!$F$15,IF(SUMIF(Grades!$A:$A,$B$4,Grades!$BO:$BO)=1,$C49*Thresholds_Rates!$F$15,""))))))))</f>
        <v/>
      </c>
      <c r="F49" s="24" t="str">
        <f ca="1">IF(B49="","",IF($B$4="Salary Points 2 to 57","-",IF(SUMIF(Grades!$A:$A,$B$4,Grades!$BP:$BP)=0,"-",IF(AND(OR($B$4="New Consultant Contract"),$B49&lt;&gt;""),$C49*Thresholds_Rates!$F$16,IF(AND(OR($B$4="Clinical Lecturer / Medical Research Fellow",$B$4="Clinical Consultant - Old Contract (GP)"),$B49&lt;&gt;""),$C49*Thresholds_Rates!$F$16,IF(AND(OR($B$4="APM Level 7",$B$4="R&amp;T Level 7"),E49&lt;&gt;""),$C49*Thresholds_Rates!$F$16,IF(SUMIF(Grades!$A:$A,$B$4,Grades!$BP:$BP)=1,$C49*Thresholds_Rates!$F$16,"")))))))</f>
        <v/>
      </c>
      <c r="G49" s="24" t="str">
        <f ca="1">IF($B$4="Apprenticeship","-",IF(B49="","",IF(SUMIF(Grades!$A:$A,$B$4,Grades!$BQ:$BQ)=0,"-",IF(AND($B$4="Salary Points 2 to 57",B49&gt;Thresholds_Rates!$C$17),"-",IF(AND($B$4="Salary Points 2 to 57",B49&lt;=Thresholds_Rates!$C$17),$C49*Thresholds_Rates!$F$17,IF(AND(OR($B$4="New Consultant Contract"),$B49&lt;&gt;""),$C49*Thresholds_Rates!$F$17,IF(AND(OR($B$4="Clinical Lecturer / Medical Research Fellow",$B$4="Clinical Consultant - Old Contract (GP)"),$B49&lt;&gt;""),$C49*Thresholds_Rates!$F$17,IF(AND(OR($B$4="APM Level 7",$B$4="R&amp;T Level 7"),F49&lt;&gt;""),$C49*Thresholds_Rates!$F$17,IF(SUMIF(Grades!$A:$A,$B$4,Grades!$BQ:$BQ)=1,$C49*Thresholds_Rates!$F$17,"")))))))))</f>
        <v/>
      </c>
      <c r="H49" s="24" t="str">
        <f ca="1">IF($B49="","",ROUND(($C49-(Thresholds_Rates!$C$5*12))*Thresholds_Rates!$C$10,0))</f>
        <v/>
      </c>
      <c r="I49" s="24" t="str">
        <f ca="1">IF(B49="","",IF(AND($B$4="Salary Points 2 to 57",B49&gt;Thresholds_Rates!$C$17),"-",IF(SUMIF(Grades!$A:$A,$B$4,Grades!$BR:$BR)=0,"-",IF(AND($B$4="Salary Points 2 to 57",B49&lt;=Thresholds_Rates!$C$17),$C49*Thresholds_Rates!$F$18,IF(AND(OR($B$4="New Consultant Contract"),$B49&lt;&gt;""),$C49*Thresholds_Rates!$F$18,IF(AND(OR($B$4="Clinical Lecturer / Medical Research Fellow",$B$4="Clinical Consultant - Old Contract (GP)"),$B49&lt;&gt;""),$C49*Thresholds_Rates!$F$18,IF(AND(OR($B$4="APM Level 7",$B$4="R&amp;T Level 7"),H49&lt;&gt;""),$C49*Thresholds_Rates!$F$18,IF(SUMIF(Grades!$A:$A,$B$4,Grades!$BQ:$BQ)=1,$C49*Thresholds_Rates!$F$18,""))))))))</f>
        <v/>
      </c>
      <c r="J49" s="4"/>
      <c r="K49" s="24" t="str">
        <f t="shared" ca="1" si="0"/>
        <v/>
      </c>
      <c r="L49" s="24" t="str">
        <f t="shared" ca="1" si="1"/>
        <v/>
      </c>
      <c r="M49" s="24" t="str">
        <f t="shared" ca="1" si="2"/>
        <v/>
      </c>
      <c r="N49" s="24" t="str">
        <f t="shared" ca="1" si="3"/>
        <v/>
      </c>
      <c r="O49" s="24" t="str">
        <f t="shared" ca="1" si="4"/>
        <v/>
      </c>
      <c r="Q49" s="27" t="str">
        <f ca="1">IF(B49="","",IF($B$4="R&amp;T Level 5 - Clinical Lecturers (Vet School)",SUMIF(Points_Lookup!$M:$M,$B49,Points_Lookup!$N:$N),IF($B$4="R&amp;T Level 6 - Clinical Associate Professors and Clinical Readers (Vet School)",SUMIF(Points_Lookup!$T:$T,$B49,Points_Lookup!$U:$U),"")))</f>
        <v/>
      </c>
      <c r="R49" s="28" t="str">
        <f ca="1">IF(B49="","",IF($B$4="R&amp;T Level 5 - Clinical Lecturers (Vet School)",$C49-SUMIF(Points_Lookup!$M:$M,$B49,Points_Lookup!$O:$O),IF($B$4="R&amp;T Level 6 - Clinical Associate Professors and Clinical Readers (Vet School)",$C49-SUMIF(Points_Lookup!$T:$T,$B49,Points_Lookup!$V:$V),"")))</f>
        <v/>
      </c>
      <c r="S49" s="27" t="str">
        <f ca="1">IF(B49="","",IF($B$4="R&amp;T Level 5 - Clinical Lecturers (Vet School)",SUMIF(Points_Lookup!$M:$M,$B49,Points_Lookup!$Q:$Q),IF($B$4="R&amp;T Level 6 - Clinical Associate Professors and Clinical Readers (Vet School)",SUMIF(Points_Lookup!$T:$T,$B49,Points_Lookup!$X:$X),"")))</f>
        <v/>
      </c>
      <c r="T49" s="28" t="str">
        <f t="shared" ca="1" si="6"/>
        <v/>
      </c>
      <c r="Y49" s="25">
        <v>41</v>
      </c>
    </row>
    <row r="50" spans="2:25" x14ac:dyDescent="0.25">
      <c r="B50" s="4" t="str">
        <f ca="1">IFERROR(INDEX(Points_Lookup!$A:$A,MATCH($Y50,Points_Lookup!$AE:$AE,0)),"")</f>
        <v/>
      </c>
      <c r="C50" s="24" t="str">
        <f ca="1">IF(B50="","",IF($B$4="Apprenticeship",SUMIF(Points_Lookup!$AA:$AA,B50,Points_Lookup!$AC:$AC),IF(AND(OR($B$4="New Consultant Contract"),$B50&lt;&gt;""),INDEX(Points_Lookup!$K:$K,MATCH($B50,Points_Lookup!$J:$J,0)),IF(AND(OR($B$4="Clinical Lecturer / Medical Research Fellow",$B$4="Clinical Consultant - Old Contract (GP)"),$B50&lt;&gt;""),INDEX(Points_Lookup!$H:$H,MATCH($B50,Points_Lookup!$G:$G,0)),IF(AND(OR($B$4="APM Level 7",$B$4="R&amp;T Level 7",$B$4="APM Level 8"),B50&lt;&gt;""),INDEX(Points_Lookup!$E:$E,MATCH($Y50,Points_Lookup!$AE:$AE,0)),IF($B$4="R&amp;T Level 5 - Clinical Lecturers (Vet School)",SUMIF(Points_Lookup!$M:$M,$B50,Points_Lookup!$P:$P),IF($B$4="R&amp;T Level 6 - Clinical Associate Professors and Clinical Readers (Vet School)",SUMIF(Points_Lookup!$T:$T,$B50,Points_Lookup!$W:$W),IFERROR(INDEX(Points_Lookup!$B:$B,MATCH($Y50,Points_Lookup!$AE:$AE,0)),""))))))))</f>
        <v/>
      </c>
      <c r="D50" s="39"/>
      <c r="E50" s="24" t="str">
        <f ca="1">IF($B50="","",IF(AND($B$4="Salary Points 2 to 57",B50&lt;Thresholds_Rates!$C$16),"-",IF(SUMIF(Grades!$A:$A,$B$4,Grades!$BO:$BO)=0,"-",IF(AND($B$4="Salary Points 2 to 57",B50&gt;=Thresholds_Rates!$C$16),$C50*Thresholds_Rates!$F$15,IF(AND(OR($B$4="New Consultant Contract"),$B50&lt;&gt;""),$C50*Thresholds_Rates!$F$15,IF(AND(OR($B$4="Clinical Lecturer / Medical Research Fellow",$B$4="Clinical Consultant - Old Contract (GP)"),$B50&lt;&gt;""),$C50*Thresholds_Rates!$F$15,IF(OR($B$4="APM Level 7",$B$4="R&amp;T Level 7"),$C50*Thresholds_Rates!$F$15,IF(SUMIF(Grades!$A:$A,$B$4,Grades!$BO:$BO)=1,$C50*Thresholds_Rates!$F$15,""))))))))</f>
        <v/>
      </c>
      <c r="F50" s="24" t="str">
        <f ca="1">IF(B50="","",IF($B$4="Salary Points 2 to 57","-",IF(SUMIF(Grades!$A:$A,$B$4,Grades!$BP:$BP)=0,"-",IF(AND(OR($B$4="New Consultant Contract"),$B50&lt;&gt;""),$C50*Thresholds_Rates!$F$16,IF(AND(OR($B$4="Clinical Lecturer / Medical Research Fellow",$B$4="Clinical Consultant - Old Contract (GP)"),$B50&lt;&gt;""),$C50*Thresholds_Rates!$F$16,IF(AND(OR($B$4="APM Level 7",$B$4="R&amp;T Level 7"),E50&lt;&gt;""),$C50*Thresholds_Rates!$F$16,IF(SUMIF(Grades!$A:$A,$B$4,Grades!$BP:$BP)=1,$C50*Thresholds_Rates!$F$16,"")))))))</f>
        <v/>
      </c>
      <c r="G50" s="24" t="str">
        <f ca="1">IF($B$4="Apprenticeship","-",IF(B50="","",IF(SUMIF(Grades!$A:$A,$B$4,Grades!$BQ:$BQ)=0,"-",IF(AND($B$4="Salary Points 2 to 57",B50&gt;Thresholds_Rates!$C$17),"-",IF(AND($B$4="Salary Points 2 to 57",B50&lt;=Thresholds_Rates!$C$17),$C50*Thresholds_Rates!$F$17,IF(AND(OR($B$4="New Consultant Contract"),$B50&lt;&gt;""),$C50*Thresholds_Rates!$F$17,IF(AND(OR($B$4="Clinical Lecturer / Medical Research Fellow",$B$4="Clinical Consultant - Old Contract (GP)"),$B50&lt;&gt;""),$C50*Thresholds_Rates!$F$17,IF(AND(OR($B$4="APM Level 7",$B$4="R&amp;T Level 7"),F50&lt;&gt;""),$C50*Thresholds_Rates!$F$17,IF(SUMIF(Grades!$A:$A,$B$4,Grades!$BQ:$BQ)=1,$C50*Thresholds_Rates!$F$17,"")))))))))</f>
        <v/>
      </c>
      <c r="H50" s="24" t="str">
        <f ca="1">IF($B50="","",ROUND(($C50-(Thresholds_Rates!$C$5*12))*Thresholds_Rates!$C$10,0))</f>
        <v/>
      </c>
      <c r="I50" s="24" t="str">
        <f ca="1">IF(B50="","",IF(AND($B$4="Salary Points 2 to 57",B50&gt;Thresholds_Rates!$C$17),"-",IF(SUMIF(Grades!$A:$A,$B$4,Grades!$BR:$BR)=0,"-",IF(AND($B$4="Salary Points 2 to 57",B50&lt;=Thresholds_Rates!$C$17),$C50*Thresholds_Rates!$F$18,IF(AND(OR($B$4="New Consultant Contract"),$B50&lt;&gt;""),$C50*Thresholds_Rates!$F$18,IF(AND(OR($B$4="Clinical Lecturer / Medical Research Fellow",$B$4="Clinical Consultant - Old Contract (GP)"),$B50&lt;&gt;""),$C50*Thresholds_Rates!$F$18,IF(AND(OR($B$4="APM Level 7",$B$4="R&amp;T Level 7"),H50&lt;&gt;""),$C50*Thresholds_Rates!$F$18,IF(SUMIF(Grades!$A:$A,$B$4,Grades!$BQ:$BQ)=1,$C50*Thresholds_Rates!$F$18,""))))))))</f>
        <v/>
      </c>
      <c r="J50" s="4"/>
      <c r="K50" s="24" t="str">
        <f t="shared" ca="1" si="0"/>
        <v/>
      </c>
      <c r="L50" s="24" t="str">
        <f t="shared" ca="1" si="1"/>
        <v/>
      </c>
      <c r="M50" s="24" t="str">
        <f t="shared" ca="1" si="2"/>
        <v/>
      </c>
      <c r="N50" s="24" t="str">
        <f t="shared" ca="1" si="3"/>
        <v/>
      </c>
      <c r="O50" s="24" t="str">
        <f t="shared" ca="1" si="4"/>
        <v/>
      </c>
      <c r="Q50" s="27" t="str">
        <f ca="1">IF(B50="","",IF($B$4="R&amp;T Level 5 - Clinical Lecturers (Vet School)",SUMIF(Points_Lookup!$M:$M,$B50,Points_Lookup!$N:$N),IF($B$4="R&amp;T Level 6 - Clinical Associate Professors and Clinical Readers (Vet School)",SUMIF(Points_Lookup!$T:$T,$B50,Points_Lookup!$U:$U),"")))</f>
        <v/>
      </c>
      <c r="R50" s="28" t="str">
        <f ca="1">IF(B50="","",IF($B$4="R&amp;T Level 5 - Clinical Lecturers (Vet School)",$C50-SUMIF(Points_Lookup!$M:$M,$B50,Points_Lookup!$O:$O),IF($B$4="R&amp;T Level 6 - Clinical Associate Professors and Clinical Readers (Vet School)",$C50-SUMIF(Points_Lookup!$T:$T,$B50,Points_Lookup!$V:$V),"")))</f>
        <v/>
      </c>
      <c r="S50" s="27" t="str">
        <f ca="1">IF(B50="","",IF($B$4="R&amp;T Level 5 - Clinical Lecturers (Vet School)",SUMIF(Points_Lookup!$M:$M,$B50,Points_Lookup!$Q:$Q),IF($B$4="R&amp;T Level 6 - Clinical Associate Professors and Clinical Readers (Vet School)",SUMIF(Points_Lookup!$T:$T,$B50,Points_Lookup!$X:$X),"")))</f>
        <v/>
      </c>
      <c r="T50" s="28" t="str">
        <f t="shared" ca="1" si="6"/>
        <v/>
      </c>
      <c r="Y50" s="25">
        <v>42</v>
      </c>
    </row>
    <row r="51" spans="2:25" x14ac:dyDescent="0.25">
      <c r="B51" s="4" t="str">
        <f ca="1">IFERROR(INDEX(Points_Lookup!$A:$A,MATCH($Y51,Points_Lookup!$AE:$AE,0)),"")</f>
        <v/>
      </c>
      <c r="C51" s="24" t="str">
        <f ca="1">IF(B51="","",IF($B$4="Apprenticeship",SUMIF(Points_Lookup!$AA:$AA,B51,Points_Lookup!$AC:$AC),IF(AND(OR($B$4="New Consultant Contract"),$B51&lt;&gt;""),INDEX(Points_Lookup!$K:$K,MATCH($B51,Points_Lookup!$J:$J,0)),IF(AND(OR($B$4="Clinical Lecturer / Medical Research Fellow",$B$4="Clinical Consultant - Old Contract (GP)"),$B51&lt;&gt;""),INDEX(Points_Lookup!$H:$H,MATCH($B51,Points_Lookup!$G:$G,0)),IF(AND(OR($B$4="APM Level 7",$B$4="R&amp;T Level 7",$B$4="APM Level 8"),B51&lt;&gt;""),INDEX(Points_Lookup!$E:$E,MATCH($Y51,Points_Lookup!$AE:$AE,0)),IF($B$4="R&amp;T Level 5 - Clinical Lecturers (Vet School)",SUMIF(Points_Lookup!$M:$M,$B51,Points_Lookup!$P:$P),IF($B$4="R&amp;T Level 6 - Clinical Associate Professors and Clinical Readers (Vet School)",SUMIF(Points_Lookup!$T:$T,$B51,Points_Lookup!$W:$W),IFERROR(INDEX(Points_Lookup!$B:$B,MATCH($Y51,Points_Lookup!$AE:$AE,0)),""))))))))</f>
        <v/>
      </c>
      <c r="D51" s="39"/>
      <c r="E51" s="24" t="str">
        <f ca="1">IF($B51="","",IF(AND($B$4="Salary Points 2 to 57",B51&lt;Thresholds_Rates!$C$16),"-",IF(SUMIF(Grades!$A:$A,$B$4,Grades!$BO:$BO)=0,"-",IF(AND($B$4="Salary Points 2 to 57",B51&gt;=Thresholds_Rates!$C$16),$C51*Thresholds_Rates!$F$15,IF(AND(OR($B$4="New Consultant Contract"),$B51&lt;&gt;""),$C51*Thresholds_Rates!$F$15,IF(AND(OR($B$4="Clinical Lecturer / Medical Research Fellow",$B$4="Clinical Consultant - Old Contract (GP)"),$B51&lt;&gt;""),$C51*Thresholds_Rates!$F$15,IF(OR($B$4="APM Level 7",$B$4="R&amp;T Level 7"),$C51*Thresholds_Rates!$F$15,IF(SUMIF(Grades!$A:$A,$B$4,Grades!$BO:$BO)=1,$C51*Thresholds_Rates!$F$15,""))))))))</f>
        <v/>
      </c>
      <c r="F51" s="24" t="str">
        <f ca="1">IF(B51="","",IF($B$4="Salary Points 2 to 57","-",IF(SUMIF(Grades!$A:$A,$B$4,Grades!$BP:$BP)=0,"-",IF(AND(OR($B$4="New Consultant Contract"),$B51&lt;&gt;""),$C51*Thresholds_Rates!$F$16,IF(AND(OR($B$4="Clinical Lecturer / Medical Research Fellow",$B$4="Clinical Consultant - Old Contract (GP)"),$B51&lt;&gt;""),$C51*Thresholds_Rates!$F$16,IF(AND(OR($B$4="APM Level 7",$B$4="R&amp;T Level 7"),E51&lt;&gt;""),$C51*Thresholds_Rates!$F$16,IF(SUMIF(Grades!$A:$A,$B$4,Grades!$BP:$BP)=1,$C51*Thresholds_Rates!$F$16,"")))))))</f>
        <v/>
      </c>
      <c r="G51" s="24" t="str">
        <f ca="1">IF($B$4="Apprenticeship","-",IF(B51="","",IF(SUMIF(Grades!$A:$A,$B$4,Grades!$BQ:$BQ)=0,"-",IF(AND($B$4="Salary Points 2 to 57",B51&gt;Thresholds_Rates!$C$17),"-",IF(AND($B$4="Salary Points 2 to 57",B51&lt;=Thresholds_Rates!$C$17),$C51*Thresholds_Rates!$F$17,IF(AND(OR($B$4="New Consultant Contract"),$B51&lt;&gt;""),$C51*Thresholds_Rates!$F$17,IF(AND(OR($B$4="Clinical Lecturer / Medical Research Fellow",$B$4="Clinical Consultant - Old Contract (GP)"),$B51&lt;&gt;""),$C51*Thresholds_Rates!$F$17,IF(AND(OR($B$4="APM Level 7",$B$4="R&amp;T Level 7"),F51&lt;&gt;""),$C51*Thresholds_Rates!$F$17,IF(SUMIF(Grades!$A:$A,$B$4,Grades!$BQ:$BQ)=1,$C51*Thresholds_Rates!$F$17,"")))))))))</f>
        <v/>
      </c>
      <c r="H51" s="24" t="str">
        <f ca="1">IF($B51="","",ROUND(($C51-(Thresholds_Rates!$C$5*12))*Thresholds_Rates!$C$10,0))</f>
        <v/>
      </c>
      <c r="I51" s="24" t="str">
        <f ca="1">IF(B51="","",IF(AND($B$4="Salary Points 2 to 57",B51&gt;Thresholds_Rates!$C$17),"-",IF(SUMIF(Grades!$A:$A,$B$4,Grades!$BR:$BR)=0,"-",IF(AND($B$4="Salary Points 2 to 57",B51&lt;=Thresholds_Rates!$C$17),$C51*Thresholds_Rates!$F$18,IF(AND(OR($B$4="New Consultant Contract"),$B51&lt;&gt;""),$C51*Thresholds_Rates!$F$18,IF(AND(OR($B$4="Clinical Lecturer / Medical Research Fellow",$B$4="Clinical Consultant - Old Contract (GP)"),$B51&lt;&gt;""),$C51*Thresholds_Rates!$F$18,IF(AND(OR($B$4="APM Level 7",$B$4="R&amp;T Level 7"),H51&lt;&gt;""),$C51*Thresholds_Rates!$F$18,IF(SUMIF(Grades!$A:$A,$B$4,Grades!$BQ:$BQ)=1,$C51*Thresholds_Rates!$F$18,""))))))))</f>
        <v/>
      </c>
      <c r="J51" s="4"/>
      <c r="K51" s="24" t="str">
        <f t="shared" ca="1" si="0"/>
        <v/>
      </c>
      <c r="L51" s="24" t="str">
        <f t="shared" ca="1" si="1"/>
        <v/>
      </c>
      <c r="M51" s="24" t="str">
        <f t="shared" ca="1" si="2"/>
        <v/>
      </c>
      <c r="N51" s="24" t="str">
        <f t="shared" ca="1" si="3"/>
        <v/>
      </c>
      <c r="O51" s="24" t="str">
        <f t="shared" ca="1" si="4"/>
        <v/>
      </c>
      <c r="Q51" s="27" t="str">
        <f ca="1">IF(B51="","",IF($B$4="R&amp;T Level 5 - Clinical Lecturers (Vet School)",SUMIF(Points_Lookup!$M:$M,$B51,Points_Lookup!$N:$N),IF($B$4="R&amp;T Level 6 - Clinical Associate Professors and Clinical Readers (Vet School)",SUMIF(Points_Lookup!$T:$T,$B51,Points_Lookup!$U:$U),"")))</f>
        <v/>
      </c>
      <c r="R51" s="28" t="str">
        <f ca="1">IF(B51="","",IF($B$4="R&amp;T Level 5 - Clinical Lecturers (Vet School)",$C51-SUMIF(Points_Lookup!$M:$M,$B51,Points_Lookup!$O:$O),IF($B$4="R&amp;T Level 6 - Clinical Associate Professors and Clinical Readers (Vet School)",$C51-SUMIF(Points_Lookup!$T:$T,$B51,Points_Lookup!$V:$V),"")))</f>
        <v/>
      </c>
      <c r="S51" s="27" t="str">
        <f ca="1">IF(B51="","",IF($B$4="R&amp;T Level 5 - Clinical Lecturers (Vet School)",SUMIF(Points_Lookup!$M:$M,$B51,Points_Lookup!$Q:$Q),IF($B$4="R&amp;T Level 6 - Clinical Associate Professors and Clinical Readers (Vet School)",SUMIF(Points_Lookup!$T:$T,$B51,Points_Lookup!$X:$X),"")))</f>
        <v/>
      </c>
      <c r="T51" s="28" t="str">
        <f t="shared" ca="1" si="6"/>
        <v/>
      </c>
      <c r="Y51" s="25">
        <v>43</v>
      </c>
    </row>
    <row r="52" spans="2:25" x14ac:dyDescent="0.25">
      <c r="B52" s="4" t="str">
        <f ca="1">IFERROR(INDEX(Points_Lookup!$A:$A,MATCH($Y52,Points_Lookup!$AE:$AE,0)),"")</f>
        <v/>
      </c>
      <c r="C52" s="24" t="str">
        <f ca="1">IF(B52="","",IF($B$4="Apprenticeship",SUMIF(Points_Lookup!$AA:$AA,B52,Points_Lookup!$AC:$AC),IF(AND(OR($B$4="New Consultant Contract"),$B52&lt;&gt;""),INDEX(Points_Lookup!$K:$K,MATCH($B52,Points_Lookup!$J:$J,0)),IF(AND(OR($B$4="Clinical Lecturer / Medical Research Fellow",$B$4="Clinical Consultant - Old Contract (GP)"),$B52&lt;&gt;""),INDEX(Points_Lookup!$H:$H,MATCH($B52,Points_Lookup!$G:$G,0)),IF(AND(OR($B$4="APM Level 7",$B$4="R&amp;T Level 7",$B$4="APM Level 8"),B52&lt;&gt;""),INDEX(Points_Lookup!$E:$E,MATCH($Y52,Points_Lookup!$AE:$AE,0)),IF($B$4="R&amp;T Level 5 - Clinical Lecturers (Vet School)",SUMIF(Points_Lookup!$M:$M,$B52,Points_Lookup!$P:$P),IF($B$4="R&amp;T Level 6 - Clinical Associate Professors and Clinical Readers (Vet School)",SUMIF(Points_Lookup!$T:$T,$B52,Points_Lookup!$W:$W),IFERROR(INDEX(Points_Lookup!$B:$B,MATCH($Y52,Points_Lookup!$AE:$AE,0)),""))))))))</f>
        <v/>
      </c>
      <c r="D52" s="39"/>
      <c r="E52" s="24" t="str">
        <f ca="1">IF($B52="","",IF(AND($B$4="Salary Points 2 to 57",B52&lt;Thresholds_Rates!$C$16),"-",IF(SUMIF(Grades!$A:$A,$B$4,Grades!$BO:$BO)=0,"-",IF(AND($B$4="Salary Points 2 to 57",B52&gt;=Thresholds_Rates!$C$16),$C52*Thresholds_Rates!$F$15,IF(AND(OR($B$4="New Consultant Contract"),$B52&lt;&gt;""),$C52*Thresholds_Rates!$F$15,IF(AND(OR($B$4="Clinical Lecturer / Medical Research Fellow",$B$4="Clinical Consultant - Old Contract (GP)"),$B52&lt;&gt;""),$C52*Thresholds_Rates!$F$15,IF(OR($B$4="APM Level 7",$B$4="R&amp;T Level 7"),$C52*Thresholds_Rates!$F$15,IF(SUMIF(Grades!$A:$A,$B$4,Grades!$BO:$BO)=1,$C52*Thresholds_Rates!$F$15,""))))))))</f>
        <v/>
      </c>
      <c r="F52" s="24" t="str">
        <f ca="1">IF(B52="","",IF($B$4="Salary Points 2 to 57","-",IF(SUMIF(Grades!$A:$A,$B$4,Grades!$BP:$BP)=0,"-",IF(AND(OR($B$4="New Consultant Contract"),$B52&lt;&gt;""),$C52*Thresholds_Rates!$F$16,IF(AND(OR($B$4="Clinical Lecturer / Medical Research Fellow",$B$4="Clinical Consultant - Old Contract (GP)"),$B52&lt;&gt;""),$C52*Thresholds_Rates!$F$16,IF(AND(OR($B$4="APM Level 7",$B$4="R&amp;T Level 7"),E52&lt;&gt;""),$C52*Thresholds_Rates!$F$16,IF(SUMIF(Grades!$A:$A,$B$4,Grades!$BP:$BP)=1,$C52*Thresholds_Rates!$F$16,"")))))))</f>
        <v/>
      </c>
      <c r="G52" s="24" t="str">
        <f ca="1">IF($B$4="Apprenticeship","-",IF(B52="","",IF(SUMIF(Grades!$A:$A,$B$4,Grades!$BQ:$BQ)=0,"-",IF(AND($B$4="Salary Points 2 to 57",B52&gt;Thresholds_Rates!$C$17),"-",IF(AND($B$4="Salary Points 2 to 57",B52&lt;=Thresholds_Rates!$C$17),$C52*Thresholds_Rates!$F$17,IF(AND(OR($B$4="New Consultant Contract"),$B52&lt;&gt;""),$C52*Thresholds_Rates!$F$17,IF(AND(OR($B$4="Clinical Lecturer / Medical Research Fellow",$B$4="Clinical Consultant - Old Contract (GP)"),$B52&lt;&gt;""),$C52*Thresholds_Rates!$F$17,IF(AND(OR($B$4="APM Level 7",$B$4="R&amp;T Level 7"),F52&lt;&gt;""),$C52*Thresholds_Rates!$F$17,IF(SUMIF(Grades!$A:$A,$B$4,Grades!$BQ:$BQ)=1,$C52*Thresholds_Rates!$F$17,"")))))))))</f>
        <v/>
      </c>
      <c r="H52" s="24" t="str">
        <f ca="1">IF($B52="","",ROUND(($C52-(Thresholds_Rates!$C$5*12))*Thresholds_Rates!$C$10,0))</f>
        <v/>
      </c>
      <c r="I52" s="24" t="str">
        <f ca="1">IF(B52="","",IF(AND($B$4="Salary Points 2 to 57",B52&gt;Thresholds_Rates!$C$17),"-",IF(SUMIF(Grades!$A:$A,$B$4,Grades!$BR:$BR)=0,"-",IF(AND($B$4="Salary Points 2 to 57",B52&lt;=Thresholds_Rates!$C$17),$C52*Thresholds_Rates!$F$18,IF(AND(OR($B$4="New Consultant Contract"),$B52&lt;&gt;""),$C52*Thresholds_Rates!$F$18,IF(AND(OR($B$4="Clinical Lecturer / Medical Research Fellow",$B$4="Clinical Consultant - Old Contract (GP)"),$B52&lt;&gt;""),$C52*Thresholds_Rates!$F$18,IF(AND(OR($B$4="APM Level 7",$B$4="R&amp;T Level 7"),H52&lt;&gt;""),$C52*Thresholds_Rates!$F$18,IF(SUMIF(Grades!$A:$A,$B$4,Grades!$BQ:$BQ)=1,$C52*Thresholds_Rates!$F$18,""))))))))</f>
        <v/>
      </c>
      <c r="J52" s="4"/>
      <c r="K52" s="24" t="str">
        <f t="shared" ca="1" si="0"/>
        <v/>
      </c>
      <c r="L52" s="24" t="str">
        <f t="shared" ca="1" si="1"/>
        <v/>
      </c>
      <c r="M52" s="24" t="str">
        <f t="shared" ca="1" si="2"/>
        <v/>
      </c>
      <c r="N52" s="24" t="str">
        <f t="shared" ca="1" si="3"/>
        <v/>
      </c>
      <c r="O52" s="24" t="str">
        <f t="shared" ca="1" si="4"/>
        <v/>
      </c>
      <c r="Q52" s="27" t="str">
        <f ca="1">IF(B52="","",IF($B$4="R&amp;T Level 5 - Clinical Lecturers (Vet School)",SUMIF(Points_Lookup!$M:$M,$B52,Points_Lookup!$N:$N),IF($B$4="R&amp;T Level 6 - Clinical Associate Professors and Clinical Readers (Vet School)",SUMIF(Points_Lookup!$T:$T,$B52,Points_Lookup!$U:$U),"")))</f>
        <v/>
      </c>
      <c r="R52" s="28" t="str">
        <f ca="1">IF(B52="","",IF($B$4="R&amp;T Level 5 - Clinical Lecturers (Vet School)",$C52-SUMIF(Points_Lookup!$M:$M,$B52,Points_Lookup!$O:$O),IF($B$4="R&amp;T Level 6 - Clinical Associate Professors and Clinical Readers (Vet School)",$C52-SUMIF(Points_Lookup!$T:$T,$B52,Points_Lookup!$V:$V),"")))</f>
        <v/>
      </c>
      <c r="S52" s="27" t="str">
        <f ca="1">IF(B52="","",IF($B$4="R&amp;T Level 5 - Clinical Lecturers (Vet School)",SUMIF(Points_Lookup!$M:$M,$B52,Points_Lookup!$Q:$Q),IF($B$4="R&amp;T Level 6 - Clinical Associate Professors and Clinical Readers (Vet School)",SUMIF(Points_Lookup!$T:$T,$B52,Points_Lookup!$X:$X),"")))</f>
        <v/>
      </c>
      <c r="T52" s="28" t="str">
        <f t="shared" ca="1" si="6"/>
        <v/>
      </c>
      <c r="Y52" s="25">
        <v>44</v>
      </c>
    </row>
    <row r="53" spans="2:25" x14ac:dyDescent="0.25">
      <c r="B53" s="4" t="str">
        <f ca="1">IFERROR(INDEX(Points_Lookup!$A:$A,MATCH($Y53,Points_Lookup!$AE:$AE,0)),"")</f>
        <v/>
      </c>
      <c r="C53" s="24" t="str">
        <f ca="1">IF(B53="","",IF($B$4="Apprenticeship",SUMIF(Points_Lookup!$AA:$AA,B53,Points_Lookup!$AC:$AC),IF(AND(OR($B$4="New Consultant Contract"),$B53&lt;&gt;""),INDEX(Points_Lookup!$K:$K,MATCH($B53,Points_Lookup!$J:$J,0)),IF(AND(OR($B$4="Clinical Lecturer / Medical Research Fellow",$B$4="Clinical Consultant - Old Contract (GP)"),$B53&lt;&gt;""),INDEX(Points_Lookup!$H:$H,MATCH($B53,Points_Lookup!$G:$G,0)),IF(AND(OR($B$4="APM Level 7",$B$4="R&amp;T Level 7",$B$4="APM Level 8"),B53&lt;&gt;""),INDEX(Points_Lookup!$E:$E,MATCH($Y53,Points_Lookup!$AE:$AE,0)),IF($B$4="R&amp;T Level 5 - Clinical Lecturers (Vet School)",SUMIF(Points_Lookup!$M:$M,$B53,Points_Lookup!$P:$P),IF($B$4="R&amp;T Level 6 - Clinical Associate Professors and Clinical Readers (Vet School)",SUMIF(Points_Lookup!$T:$T,$B53,Points_Lookup!$W:$W),IFERROR(INDEX(Points_Lookup!$B:$B,MATCH($Y53,Points_Lookup!$AE:$AE,0)),""))))))))</f>
        <v/>
      </c>
      <c r="D53" s="39"/>
      <c r="E53" s="24" t="str">
        <f ca="1">IF($B53="","",IF(AND($B$4="Salary Points 2 to 57",B53&lt;Thresholds_Rates!$C$16),"-",IF(SUMIF(Grades!$A:$A,$B$4,Grades!$BO:$BO)=0,"-",IF(AND($B$4="Salary Points 2 to 57",B53&gt;=Thresholds_Rates!$C$16),$C53*Thresholds_Rates!$F$15,IF(AND(OR($B$4="New Consultant Contract"),$B53&lt;&gt;""),$C53*Thresholds_Rates!$F$15,IF(AND(OR($B$4="Clinical Lecturer / Medical Research Fellow",$B$4="Clinical Consultant - Old Contract (GP)"),$B53&lt;&gt;""),$C53*Thresholds_Rates!$F$15,IF(OR($B$4="APM Level 7",$B$4="R&amp;T Level 7"),$C53*Thresholds_Rates!$F$15,IF(SUMIF(Grades!$A:$A,$B$4,Grades!$BO:$BO)=1,$C53*Thresholds_Rates!$F$15,""))))))))</f>
        <v/>
      </c>
      <c r="F53" s="24" t="str">
        <f ca="1">IF(B53="","",IF($B$4="Salary Points 2 to 57","-",IF(SUMIF(Grades!$A:$A,$B$4,Grades!$BP:$BP)=0,"-",IF(AND(OR($B$4="New Consultant Contract"),$B53&lt;&gt;""),$C53*Thresholds_Rates!$F$16,IF(AND(OR($B$4="Clinical Lecturer / Medical Research Fellow",$B$4="Clinical Consultant - Old Contract (GP)"),$B53&lt;&gt;""),$C53*Thresholds_Rates!$F$16,IF(AND(OR($B$4="APM Level 7",$B$4="R&amp;T Level 7"),E53&lt;&gt;""),$C53*Thresholds_Rates!$F$16,IF(SUMIF(Grades!$A:$A,$B$4,Grades!$BP:$BP)=1,$C53*Thresholds_Rates!$F$16,"")))))))</f>
        <v/>
      </c>
      <c r="G53" s="24" t="str">
        <f ca="1">IF($B$4="Apprenticeship","-",IF(B53="","",IF(SUMIF(Grades!$A:$A,$B$4,Grades!$BQ:$BQ)=0,"-",IF(AND($B$4="Salary Points 2 to 57",B53&gt;Thresholds_Rates!$C$17),"-",IF(AND($B$4="Salary Points 2 to 57",B53&lt;=Thresholds_Rates!$C$17),$C53*Thresholds_Rates!$F$17,IF(AND(OR($B$4="New Consultant Contract"),$B53&lt;&gt;""),$C53*Thresholds_Rates!$F$17,IF(AND(OR($B$4="Clinical Lecturer / Medical Research Fellow",$B$4="Clinical Consultant - Old Contract (GP)"),$B53&lt;&gt;""),$C53*Thresholds_Rates!$F$17,IF(AND(OR($B$4="APM Level 7",$B$4="R&amp;T Level 7"),F53&lt;&gt;""),$C53*Thresholds_Rates!$F$17,IF(SUMIF(Grades!$A:$A,$B$4,Grades!$BQ:$BQ)=1,$C53*Thresholds_Rates!$F$17,"")))))))))</f>
        <v/>
      </c>
      <c r="H53" s="24" t="str">
        <f ca="1">IF($B53="","",ROUND(($C53-(Thresholds_Rates!$C$5*12))*Thresholds_Rates!$C$10,0))</f>
        <v/>
      </c>
      <c r="I53" s="24" t="str">
        <f ca="1">IF(B53="","",IF(AND($B$4="Salary Points 2 to 57",B53&gt;Thresholds_Rates!$C$17),"-",IF(SUMIF(Grades!$A:$A,$B$4,Grades!$BR:$BR)=0,"-",IF(AND($B$4="Salary Points 2 to 57",B53&lt;=Thresholds_Rates!$C$17),$C53*Thresholds_Rates!$F$18,IF(AND(OR($B$4="New Consultant Contract"),$B53&lt;&gt;""),$C53*Thresholds_Rates!$F$18,IF(AND(OR($B$4="Clinical Lecturer / Medical Research Fellow",$B$4="Clinical Consultant - Old Contract (GP)"),$B53&lt;&gt;""),$C53*Thresholds_Rates!$F$18,IF(AND(OR($B$4="APM Level 7",$B$4="R&amp;T Level 7"),H53&lt;&gt;""),$C53*Thresholds_Rates!$F$18,IF(SUMIF(Grades!$A:$A,$B$4,Grades!$BQ:$BQ)=1,$C53*Thresholds_Rates!$F$18,""))))))))</f>
        <v/>
      </c>
      <c r="J53" s="4"/>
      <c r="K53" s="24" t="str">
        <f t="shared" ca="1" si="0"/>
        <v/>
      </c>
      <c r="L53" s="24" t="str">
        <f t="shared" ca="1" si="1"/>
        <v/>
      </c>
      <c r="M53" s="24" t="str">
        <f t="shared" ca="1" si="2"/>
        <v/>
      </c>
      <c r="N53" s="24" t="str">
        <f t="shared" ca="1" si="3"/>
        <v/>
      </c>
      <c r="O53" s="24" t="str">
        <f t="shared" ca="1" si="4"/>
        <v/>
      </c>
      <c r="Q53" s="27" t="str">
        <f ca="1">IF(B53="","",IF($B$4="R&amp;T Level 5 - Clinical Lecturers (Vet School)",SUMIF(Points_Lookup!$M:$M,$B53,Points_Lookup!$N:$N),IF($B$4="R&amp;T Level 6 - Clinical Associate Professors and Clinical Readers (Vet School)",SUMIF(Points_Lookup!$T:$T,$B53,Points_Lookup!$U:$U),"")))</f>
        <v/>
      </c>
      <c r="R53" s="28" t="str">
        <f ca="1">IF(B53="","",IF($B$4="R&amp;T Level 5 - Clinical Lecturers (Vet School)",$C53-SUMIF(Points_Lookup!$M:$M,$B53,Points_Lookup!$O:$O),IF($B$4="R&amp;T Level 6 - Clinical Associate Professors and Clinical Readers (Vet School)",$C53-SUMIF(Points_Lookup!$T:$T,$B53,Points_Lookup!$V:$V),"")))</f>
        <v/>
      </c>
      <c r="S53" s="27" t="str">
        <f ca="1">IF(B53="","",IF($B$4="R&amp;T Level 5 - Clinical Lecturers (Vet School)",SUMIF(Points_Lookup!$M:$M,$B53,Points_Lookup!$Q:$Q),IF($B$4="R&amp;T Level 6 - Clinical Associate Professors and Clinical Readers (Vet School)",SUMIF(Points_Lookup!$T:$T,$B53,Points_Lookup!$X:$X),"")))</f>
        <v/>
      </c>
      <c r="T53" s="28" t="str">
        <f t="shared" ca="1" si="6"/>
        <v/>
      </c>
      <c r="Y53" s="25">
        <v>45</v>
      </c>
    </row>
    <row r="54" spans="2:25" x14ac:dyDescent="0.25">
      <c r="B54" s="4" t="str">
        <f ca="1">IFERROR(INDEX(Points_Lookup!$A:$A,MATCH($Y54,Points_Lookup!$AE:$AE,0)),"")</f>
        <v/>
      </c>
      <c r="C54" s="24" t="str">
        <f ca="1">IF(B54="","",IF($B$4="Apprenticeship",SUMIF(Points_Lookup!$AA:$AA,B54,Points_Lookup!$AC:$AC),IF(AND(OR($B$4="New Consultant Contract"),$B54&lt;&gt;""),INDEX(Points_Lookup!$K:$K,MATCH($B54,Points_Lookup!$J:$J,0)),IF(AND(OR($B$4="Clinical Lecturer / Medical Research Fellow",$B$4="Clinical Consultant - Old Contract (GP)"),$B54&lt;&gt;""),INDEX(Points_Lookup!$H:$H,MATCH($B54,Points_Lookup!$G:$G,0)),IF(AND(OR($B$4="APM Level 7",$B$4="R&amp;T Level 7",$B$4="APM Level 8"),B54&lt;&gt;""),INDEX(Points_Lookup!$E:$E,MATCH($Y54,Points_Lookup!$AE:$AE,0)),IF($B$4="R&amp;T Level 5 - Clinical Lecturers (Vet School)",SUMIF(Points_Lookup!$M:$M,$B54,Points_Lookup!$P:$P),IF($B$4="R&amp;T Level 6 - Clinical Associate Professors and Clinical Readers (Vet School)",SUMIF(Points_Lookup!$T:$T,$B54,Points_Lookup!$W:$W),IFERROR(INDEX(Points_Lookup!$B:$B,MATCH($Y54,Points_Lookup!$AE:$AE,0)),""))))))))</f>
        <v/>
      </c>
      <c r="D54" s="39"/>
      <c r="E54" s="24" t="str">
        <f ca="1">IF($B54="","",IF(AND($B$4="Salary Points 2 to 57",B54&lt;Thresholds_Rates!$C$16),"-",IF(SUMIF(Grades!$A:$A,$B$4,Grades!$BO:$BO)=0,"-",IF(AND($B$4="Salary Points 2 to 57",B54&gt;=Thresholds_Rates!$C$16),$C54*Thresholds_Rates!$F$15,IF(AND(OR($B$4="New Consultant Contract"),$B54&lt;&gt;""),$C54*Thresholds_Rates!$F$15,IF(AND(OR($B$4="Clinical Lecturer / Medical Research Fellow",$B$4="Clinical Consultant - Old Contract (GP)"),$B54&lt;&gt;""),$C54*Thresholds_Rates!$F$15,IF(OR($B$4="APM Level 7",$B$4="R&amp;T Level 7"),$C54*Thresholds_Rates!$F$15,IF(SUMIF(Grades!$A:$A,$B$4,Grades!$BO:$BO)=1,$C54*Thresholds_Rates!$F$15,""))))))))</f>
        <v/>
      </c>
      <c r="F54" s="24" t="str">
        <f ca="1">IF(B54="","",IF($B$4="Salary Points 2 to 57","-",IF(SUMIF(Grades!$A:$A,$B$4,Grades!$BP:$BP)=0,"-",IF(AND(OR($B$4="New Consultant Contract"),$B54&lt;&gt;""),$C54*Thresholds_Rates!$F$16,IF(AND(OR($B$4="Clinical Lecturer / Medical Research Fellow",$B$4="Clinical Consultant - Old Contract (GP)"),$B54&lt;&gt;""),$C54*Thresholds_Rates!$F$16,IF(AND(OR($B$4="APM Level 7",$B$4="R&amp;T Level 7"),E54&lt;&gt;""),$C54*Thresholds_Rates!$F$16,IF(SUMIF(Grades!$A:$A,$B$4,Grades!$BP:$BP)=1,$C54*Thresholds_Rates!$F$16,"")))))))</f>
        <v/>
      </c>
      <c r="G54" s="24" t="str">
        <f ca="1">IF($B$4="Apprenticeship","-",IF(B54="","",IF(SUMIF(Grades!$A:$A,$B$4,Grades!$BQ:$BQ)=0,"-",IF(AND($B$4="Salary Points 2 to 57",B54&gt;Thresholds_Rates!$C$17),"-",IF(AND($B$4="Salary Points 2 to 57",B54&lt;=Thresholds_Rates!$C$17),$C54*Thresholds_Rates!$F$17,IF(AND(OR($B$4="New Consultant Contract"),$B54&lt;&gt;""),$C54*Thresholds_Rates!$F$17,IF(AND(OR($B$4="Clinical Lecturer / Medical Research Fellow",$B$4="Clinical Consultant - Old Contract (GP)"),$B54&lt;&gt;""),$C54*Thresholds_Rates!$F$17,IF(AND(OR($B$4="APM Level 7",$B$4="R&amp;T Level 7"),F54&lt;&gt;""),$C54*Thresholds_Rates!$F$17,IF(SUMIF(Grades!$A:$A,$B$4,Grades!$BQ:$BQ)=1,$C54*Thresholds_Rates!$F$17,"")))))))))</f>
        <v/>
      </c>
      <c r="H54" s="24" t="str">
        <f ca="1">IF($B54="","",ROUND(($C54-(Thresholds_Rates!$C$5*12))*Thresholds_Rates!$C$10,0))</f>
        <v/>
      </c>
      <c r="I54" s="24" t="str">
        <f ca="1">IF(B54="","",IF(AND($B$4="Salary Points 2 to 57",B54&gt;Thresholds_Rates!$C$17),"-",IF(SUMIF(Grades!$A:$A,$B$4,Grades!$BR:$BR)=0,"-",IF(AND($B$4="Salary Points 2 to 57",B54&lt;=Thresholds_Rates!$C$17),$C54*Thresholds_Rates!$F$18,IF(AND(OR($B$4="New Consultant Contract"),$B54&lt;&gt;""),$C54*Thresholds_Rates!$F$18,IF(AND(OR($B$4="Clinical Lecturer / Medical Research Fellow",$B$4="Clinical Consultant - Old Contract (GP)"),$B54&lt;&gt;""),$C54*Thresholds_Rates!$F$18,IF(AND(OR($B$4="APM Level 7",$B$4="R&amp;T Level 7"),H54&lt;&gt;""),$C54*Thresholds_Rates!$F$18,IF(SUMIF(Grades!$A:$A,$B$4,Grades!$BQ:$BQ)=1,$C54*Thresholds_Rates!$F$18,""))))))))</f>
        <v/>
      </c>
      <c r="J54" s="4"/>
      <c r="K54" s="24" t="str">
        <f t="shared" ca="1" si="0"/>
        <v/>
      </c>
      <c r="L54" s="24" t="str">
        <f t="shared" ca="1" si="1"/>
        <v/>
      </c>
      <c r="M54" s="24" t="str">
        <f t="shared" ca="1" si="2"/>
        <v/>
      </c>
      <c r="N54" s="24" t="str">
        <f t="shared" ca="1" si="3"/>
        <v/>
      </c>
      <c r="O54" s="24" t="str">
        <f t="shared" ca="1" si="4"/>
        <v/>
      </c>
      <c r="Q54" s="27" t="str">
        <f ca="1">IF(B54="","",IF($B$4="R&amp;T Level 5 - Clinical Lecturers (Vet School)",SUMIF(Points_Lookup!$M:$M,$B54,Points_Lookup!$N:$N),IF($B$4="R&amp;T Level 6 - Clinical Associate Professors and Clinical Readers (Vet School)",SUMIF(Points_Lookup!$T:$T,$B54,Points_Lookup!$U:$U),"")))</f>
        <v/>
      </c>
      <c r="R54" s="28" t="str">
        <f ca="1">IF(B54="","",IF($B$4="R&amp;T Level 5 - Clinical Lecturers (Vet School)",$C54-SUMIF(Points_Lookup!$M:$M,$B54,Points_Lookup!$O:$O),IF($B$4="R&amp;T Level 6 - Clinical Associate Professors and Clinical Readers (Vet School)",$C54-SUMIF(Points_Lookup!$T:$T,$B54,Points_Lookup!$V:$V),"")))</f>
        <v/>
      </c>
      <c r="S54" s="27" t="str">
        <f ca="1">IF(B54="","",IF($B$4="R&amp;T Level 5 - Clinical Lecturers (Vet School)",SUMIF(Points_Lookup!$M:$M,$B54,Points_Lookup!$Q:$Q),IF($B$4="R&amp;T Level 6 - Clinical Associate Professors and Clinical Readers (Vet School)",SUMIF(Points_Lookup!$T:$T,$B54,Points_Lookup!$X:$X),"")))</f>
        <v/>
      </c>
      <c r="T54" s="28" t="str">
        <f t="shared" ca="1" si="6"/>
        <v/>
      </c>
      <c r="Y54" s="25">
        <v>46</v>
      </c>
    </row>
    <row r="55" spans="2:25" x14ac:dyDescent="0.25">
      <c r="B55" s="4" t="str">
        <f ca="1">IFERROR(INDEX(Points_Lookup!$A:$A,MATCH($Y55,Points_Lookup!$AE:$AE,0)),"")</f>
        <v/>
      </c>
      <c r="C55" s="24" t="str">
        <f ca="1">IF(B55="","",IF($B$4="Apprenticeship",SUMIF(Points_Lookup!$AA:$AA,B55,Points_Lookup!$AC:$AC),IF(AND(OR($B$4="New Consultant Contract"),$B55&lt;&gt;""),INDEX(Points_Lookup!$K:$K,MATCH($B55,Points_Lookup!$J:$J,0)),IF(AND(OR($B$4="Clinical Lecturer / Medical Research Fellow",$B$4="Clinical Consultant - Old Contract (GP)"),$B55&lt;&gt;""),INDEX(Points_Lookup!$H:$H,MATCH($B55,Points_Lookup!$G:$G,0)),IF(AND(OR($B$4="APM Level 7",$B$4="R&amp;T Level 7",$B$4="APM Level 8"),B55&lt;&gt;""),INDEX(Points_Lookup!$E:$E,MATCH($Y55,Points_Lookup!$AE:$AE,0)),IF($B$4="R&amp;T Level 5 - Clinical Lecturers (Vet School)",SUMIF(Points_Lookup!$M:$M,$B55,Points_Lookup!$P:$P),IF($B$4="R&amp;T Level 6 - Clinical Associate Professors and Clinical Readers (Vet School)",SUMIF(Points_Lookup!$T:$T,$B55,Points_Lookup!$W:$W),IFERROR(INDEX(Points_Lookup!$B:$B,MATCH($Y55,Points_Lookup!$AE:$AE,0)),""))))))))</f>
        <v/>
      </c>
      <c r="D55" s="39"/>
      <c r="E55" s="24" t="str">
        <f ca="1">IF($B55="","",IF(AND($B$4="Salary Points 2 to 57",B55&lt;Thresholds_Rates!$C$16),"-",IF(SUMIF(Grades!$A:$A,$B$4,Grades!$BO:$BO)=0,"-",IF(AND($B$4="Salary Points 2 to 57",B55&gt;=Thresholds_Rates!$C$16),$C55*Thresholds_Rates!$F$15,IF(AND(OR($B$4="New Consultant Contract"),$B55&lt;&gt;""),$C55*Thresholds_Rates!$F$15,IF(AND(OR($B$4="Clinical Lecturer / Medical Research Fellow",$B$4="Clinical Consultant - Old Contract (GP)"),$B55&lt;&gt;""),$C55*Thresholds_Rates!$F$15,IF(OR($B$4="APM Level 7",$B$4="R&amp;T Level 7"),$C55*Thresholds_Rates!$F$15,IF(SUMIF(Grades!$A:$A,$B$4,Grades!$BO:$BO)=1,$C55*Thresholds_Rates!$F$15,""))))))))</f>
        <v/>
      </c>
      <c r="F55" s="24" t="str">
        <f ca="1">IF(B55="","",IF($B$4="Salary Points 2 to 57","-",IF(SUMIF(Grades!$A:$A,$B$4,Grades!$BP:$BP)=0,"-",IF(AND(OR($B$4="New Consultant Contract"),$B55&lt;&gt;""),$C55*Thresholds_Rates!$F$16,IF(AND(OR($B$4="Clinical Lecturer / Medical Research Fellow",$B$4="Clinical Consultant - Old Contract (GP)"),$B55&lt;&gt;""),$C55*Thresholds_Rates!$F$16,IF(AND(OR($B$4="APM Level 7",$B$4="R&amp;T Level 7"),E55&lt;&gt;""),$C55*Thresholds_Rates!$F$16,IF(SUMIF(Grades!$A:$A,$B$4,Grades!$BP:$BP)=1,$C55*Thresholds_Rates!$F$16,"")))))))</f>
        <v/>
      </c>
      <c r="G55" s="24" t="str">
        <f ca="1">IF($B$4="Apprenticeship","-",IF(B55="","",IF(SUMIF(Grades!$A:$A,$B$4,Grades!$BQ:$BQ)=0,"-",IF(AND($B$4="Salary Points 2 to 57",B55&gt;Thresholds_Rates!$C$17),"-",IF(AND($B$4="Salary Points 2 to 57",B55&lt;=Thresholds_Rates!$C$17),$C55*Thresholds_Rates!$F$17,IF(AND(OR($B$4="New Consultant Contract"),$B55&lt;&gt;""),$C55*Thresholds_Rates!$F$17,IF(AND(OR($B$4="Clinical Lecturer / Medical Research Fellow",$B$4="Clinical Consultant - Old Contract (GP)"),$B55&lt;&gt;""),$C55*Thresholds_Rates!$F$17,IF(AND(OR($B$4="APM Level 7",$B$4="R&amp;T Level 7"),F55&lt;&gt;""),$C55*Thresholds_Rates!$F$17,IF(SUMIF(Grades!$A:$A,$B$4,Grades!$BQ:$BQ)=1,$C55*Thresholds_Rates!$F$17,"")))))))))</f>
        <v/>
      </c>
      <c r="H55" s="24" t="str">
        <f ca="1">IF($B55="","",ROUND(($C55-(Thresholds_Rates!$C$5*12))*Thresholds_Rates!$C$10,0))</f>
        <v/>
      </c>
      <c r="I55" s="24" t="str">
        <f ca="1">IF(B55="","",IF(AND($B$4="Salary Points 2 to 57",B55&gt;Thresholds_Rates!$C$17),"-",IF(SUMIF(Grades!$A:$A,$B$4,Grades!$BR:$BR)=0,"-",IF(AND($B$4="Salary Points 2 to 57",B55&lt;=Thresholds_Rates!$C$17),$C55*Thresholds_Rates!$F$18,IF(AND(OR($B$4="New Consultant Contract"),$B55&lt;&gt;""),$C55*Thresholds_Rates!$F$18,IF(AND(OR($B$4="Clinical Lecturer / Medical Research Fellow",$B$4="Clinical Consultant - Old Contract (GP)"),$B55&lt;&gt;""),$C55*Thresholds_Rates!$F$18,IF(AND(OR($B$4="APM Level 7",$B$4="R&amp;T Level 7"),H55&lt;&gt;""),$C55*Thresholds_Rates!$F$18,IF(SUMIF(Grades!$A:$A,$B$4,Grades!$BQ:$BQ)=1,$C55*Thresholds_Rates!$F$18,""))))))))</f>
        <v/>
      </c>
      <c r="J55" s="4"/>
      <c r="K55" s="24" t="str">
        <f t="shared" ca="1" si="0"/>
        <v/>
      </c>
      <c r="L55" s="24" t="str">
        <f t="shared" ca="1" si="1"/>
        <v/>
      </c>
      <c r="M55" s="24" t="str">
        <f t="shared" ca="1" si="2"/>
        <v/>
      </c>
      <c r="N55" s="24" t="str">
        <f t="shared" ca="1" si="3"/>
        <v/>
      </c>
      <c r="O55" s="24" t="str">
        <f t="shared" ca="1" si="4"/>
        <v/>
      </c>
      <c r="Q55" s="27" t="str">
        <f ca="1">IF(B55="","",IF($B$4="R&amp;T Level 5 - Clinical Lecturers (Vet School)",SUMIF(Points_Lookup!$M:$M,$B55,Points_Lookup!$N:$N),IF($B$4="R&amp;T Level 6 - Clinical Associate Professors and Clinical Readers (Vet School)",SUMIF(Points_Lookup!$T:$T,$B55,Points_Lookup!$U:$U),"")))</f>
        <v/>
      </c>
      <c r="R55" s="28" t="str">
        <f ca="1">IF(B55="","",IF($B$4="R&amp;T Level 5 - Clinical Lecturers (Vet School)",$C55-SUMIF(Points_Lookup!$M:$M,$B55,Points_Lookup!$O:$O),IF($B$4="R&amp;T Level 6 - Clinical Associate Professors and Clinical Readers (Vet School)",$C55-SUMIF(Points_Lookup!$T:$T,$B55,Points_Lookup!$V:$V),"")))</f>
        <v/>
      </c>
      <c r="S55" s="27" t="str">
        <f ca="1">IF(B55="","",IF($B$4="R&amp;T Level 5 - Clinical Lecturers (Vet School)",SUMIF(Points_Lookup!$M:$M,$B55,Points_Lookup!$Q:$Q),IF($B$4="R&amp;T Level 6 - Clinical Associate Professors and Clinical Readers (Vet School)",SUMIF(Points_Lookup!$T:$T,$B55,Points_Lookup!$X:$X),"")))</f>
        <v/>
      </c>
      <c r="T55" s="28" t="str">
        <f t="shared" ca="1" si="6"/>
        <v/>
      </c>
      <c r="Y55" s="25">
        <v>47</v>
      </c>
    </row>
    <row r="56" spans="2:25" x14ac:dyDescent="0.25">
      <c r="B56" s="4" t="str">
        <f ca="1">IFERROR(INDEX(Points_Lookup!$A:$A,MATCH($Y56,Points_Lookup!$AE:$AE,0)),"")</f>
        <v/>
      </c>
      <c r="C56" s="24" t="str">
        <f ca="1">IF(B56="","",IF($B$4="Apprenticeship",SUMIF(Points_Lookup!$AA:$AA,B56,Points_Lookup!$AC:$AC),IF(AND(OR($B$4="New Consultant Contract"),$B56&lt;&gt;""),INDEX(Points_Lookup!$K:$K,MATCH($B56,Points_Lookup!$J:$J,0)),IF(AND(OR($B$4="Clinical Lecturer / Medical Research Fellow",$B$4="Clinical Consultant - Old Contract (GP)"),$B56&lt;&gt;""),INDEX(Points_Lookup!$H:$H,MATCH($B56,Points_Lookup!$G:$G,0)),IF(AND(OR($B$4="APM Level 7",$B$4="R&amp;T Level 7",$B$4="APM Level 8"),B56&lt;&gt;""),INDEX(Points_Lookup!$E:$E,MATCH($Y56,Points_Lookup!$AE:$AE,0)),IF($B$4="R&amp;T Level 5 - Clinical Lecturers (Vet School)",SUMIF(Points_Lookup!$M:$M,$B56,Points_Lookup!$P:$P),IF($B$4="R&amp;T Level 6 - Clinical Associate Professors and Clinical Readers (Vet School)",SUMIF(Points_Lookup!$T:$T,$B56,Points_Lookup!$W:$W),IFERROR(INDEX(Points_Lookup!$B:$B,MATCH($Y56,Points_Lookup!$AE:$AE,0)),""))))))))</f>
        <v/>
      </c>
      <c r="D56" s="39"/>
      <c r="E56" s="24" t="str">
        <f ca="1">IF($B56="","",IF(AND($B$4="Salary Points 2 to 57",B56&lt;Thresholds_Rates!$C$16),"-",IF(SUMIF(Grades!$A:$A,$B$4,Grades!$BO:$BO)=0,"-",IF(AND($B$4="Salary Points 2 to 57",B56&gt;=Thresholds_Rates!$C$16),$C56*Thresholds_Rates!$F$15,IF(AND(OR($B$4="New Consultant Contract"),$B56&lt;&gt;""),$C56*Thresholds_Rates!$F$15,IF(AND(OR($B$4="Clinical Lecturer / Medical Research Fellow",$B$4="Clinical Consultant - Old Contract (GP)"),$B56&lt;&gt;""),$C56*Thresholds_Rates!$F$15,IF(OR($B$4="APM Level 7",$B$4="R&amp;T Level 7"),$C56*Thresholds_Rates!$F$15,IF(SUMIF(Grades!$A:$A,$B$4,Grades!$BO:$BO)=1,$C56*Thresholds_Rates!$F$15,""))))))))</f>
        <v/>
      </c>
      <c r="F56" s="24" t="str">
        <f ca="1">IF(B56="","",IF($B$4="Salary Points 2 to 57","-",IF(SUMIF(Grades!$A:$A,$B$4,Grades!$BP:$BP)=0,"-",IF(AND(OR($B$4="New Consultant Contract"),$B56&lt;&gt;""),$C56*Thresholds_Rates!$F$16,IF(AND(OR($B$4="Clinical Lecturer / Medical Research Fellow",$B$4="Clinical Consultant - Old Contract (GP)"),$B56&lt;&gt;""),$C56*Thresholds_Rates!$F$16,IF(AND(OR($B$4="APM Level 7",$B$4="R&amp;T Level 7"),E56&lt;&gt;""),$C56*Thresholds_Rates!$F$16,IF(SUMIF(Grades!$A:$A,$B$4,Grades!$BP:$BP)=1,$C56*Thresholds_Rates!$F$16,"")))))))</f>
        <v/>
      </c>
      <c r="G56" s="24" t="str">
        <f ca="1">IF($B$4="Apprenticeship","-",IF(B56="","",IF(SUMIF(Grades!$A:$A,$B$4,Grades!$BQ:$BQ)=0,"-",IF(AND($B$4="Salary Points 2 to 57",B56&gt;Thresholds_Rates!$C$17),"-",IF(AND($B$4="Salary Points 2 to 57",B56&lt;=Thresholds_Rates!$C$17),$C56*Thresholds_Rates!$F$17,IF(AND(OR($B$4="New Consultant Contract"),$B56&lt;&gt;""),$C56*Thresholds_Rates!$F$17,IF(AND(OR($B$4="Clinical Lecturer / Medical Research Fellow",$B$4="Clinical Consultant - Old Contract (GP)"),$B56&lt;&gt;""),$C56*Thresholds_Rates!$F$17,IF(AND(OR($B$4="APM Level 7",$B$4="R&amp;T Level 7"),F56&lt;&gt;""),$C56*Thresholds_Rates!$F$17,IF(SUMIF(Grades!$A:$A,$B$4,Grades!$BQ:$BQ)=1,$C56*Thresholds_Rates!$F$17,"")))))))))</f>
        <v/>
      </c>
      <c r="H56" s="24" t="str">
        <f ca="1">IF($B56="","",ROUND(($C56-(Thresholds_Rates!$C$5*12))*Thresholds_Rates!$C$10,0))</f>
        <v/>
      </c>
      <c r="I56" s="24" t="str">
        <f ca="1">IF(B56="","",IF(AND($B$4="Salary Points 2 to 57",B56&gt;Thresholds_Rates!$C$17),"-",IF(SUMIF(Grades!$A:$A,$B$4,Grades!$BR:$BR)=0,"-",IF(AND($B$4="Salary Points 2 to 57",B56&lt;=Thresholds_Rates!$C$17),$C56*Thresholds_Rates!$F$18,IF(AND(OR($B$4="New Consultant Contract"),$B56&lt;&gt;""),$C56*Thresholds_Rates!$F$18,IF(AND(OR($B$4="Clinical Lecturer / Medical Research Fellow",$B$4="Clinical Consultant - Old Contract (GP)"),$B56&lt;&gt;""),$C56*Thresholds_Rates!$F$18,IF(AND(OR($B$4="APM Level 7",$B$4="R&amp;T Level 7"),H56&lt;&gt;""),$C56*Thresholds_Rates!$F$18,IF(SUMIF(Grades!$A:$A,$B$4,Grades!$BQ:$BQ)=1,$C56*Thresholds_Rates!$F$18,""))))))))</f>
        <v/>
      </c>
      <c r="J56" s="4"/>
      <c r="K56" s="24" t="str">
        <f t="shared" ca="1" si="0"/>
        <v/>
      </c>
      <c r="L56" s="24" t="str">
        <f t="shared" ca="1" si="1"/>
        <v/>
      </c>
      <c r="M56" s="24" t="str">
        <f t="shared" ca="1" si="2"/>
        <v/>
      </c>
      <c r="N56" s="24" t="str">
        <f t="shared" ca="1" si="3"/>
        <v/>
      </c>
      <c r="O56" s="24" t="str">
        <f t="shared" ca="1" si="4"/>
        <v/>
      </c>
      <c r="Q56" s="27" t="str">
        <f ca="1">IF(B56="","",IF($B$4="R&amp;T Level 5 - Clinical Lecturers (Vet School)",SUMIF(Points_Lookup!$M:$M,$B56,Points_Lookup!$N:$N),IF($B$4="R&amp;T Level 6 - Clinical Associate Professors and Clinical Readers (Vet School)",SUMIF(Points_Lookup!$T:$T,$B56,Points_Lookup!$U:$U),"")))</f>
        <v/>
      </c>
      <c r="R56" s="28" t="str">
        <f ca="1">IF(B56="","",IF($B$4="R&amp;T Level 5 - Clinical Lecturers (Vet School)",$C56-SUMIF(Points_Lookup!$M:$M,$B56,Points_Lookup!$O:$O),IF($B$4="R&amp;T Level 6 - Clinical Associate Professors and Clinical Readers (Vet School)",$C56-SUMIF(Points_Lookup!$T:$T,$B56,Points_Lookup!$V:$V),"")))</f>
        <v/>
      </c>
      <c r="S56" s="27" t="str">
        <f ca="1">IF(B56="","",IF($B$4="R&amp;T Level 5 - Clinical Lecturers (Vet School)",SUMIF(Points_Lookup!$M:$M,$B56,Points_Lookup!$Q:$Q),IF($B$4="R&amp;T Level 6 - Clinical Associate Professors and Clinical Readers (Vet School)",SUMIF(Points_Lookup!$T:$T,$B56,Points_Lookup!$X:$X),"")))</f>
        <v/>
      </c>
      <c r="T56" s="28" t="str">
        <f t="shared" ca="1" si="6"/>
        <v/>
      </c>
      <c r="Y56" s="25">
        <v>48</v>
      </c>
    </row>
    <row r="57" spans="2:25" x14ac:dyDescent="0.25">
      <c r="B57" s="4" t="str">
        <f ca="1">IFERROR(INDEX(Points_Lookup!$A:$A,MATCH($Y57,Points_Lookup!$AE:$AE,0)),"")</f>
        <v/>
      </c>
      <c r="C57" s="24" t="str">
        <f ca="1">IF(B57="","",IF($B$4="Apprenticeship",SUMIF(Points_Lookup!$AA:$AA,B57,Points_Lookup!$AC:$AC),IF(AND(OR($B$4="New Consultant Contract"),$B57&lt;&gt;""),INDEX(Points_Lookup!$K:$K,MATCH($B57,Points_Lookup!$J:$J,0)),IF(AND(OR($B$4="Clinical Lecturer / Medical Research Fellow",$B$4="Clinical Consultant - Old Contract (GP)"),$B57&lt;&gt;""),INDEX(Points_Lookup!$H:$H,MATCH($B57,Points_Lookup!$G:$G,0)),IF(AND(OR($B$4="APM Level 7",$B$4="R&amp;T Level 7",$B$4="APM Level 8"),B57&lt;&gt;""),INDEX(Points_Lookup!$E:$E,MATCH($Y57,Points_Lookup!$AE:$AE,0)),IF($B$4="R&amp;T Level 5 - Clinical Lecturers (Vet School)",SUMIF(Points_Lookup!$M:$M,$B57,Points_Lookup!$P:$P),IF($B$4="R&amp;T Level 6 - Clinical Associate Professors and Clinical Readers (Vet School)",SUMIF(Points_Lookup!$T:$T,$B57,Points_Lookup!$W:$W),IFERROR(INDEX(Points_Lookup!$B:$B,MATCH($Y57,Points_Lookup!$AE:$AE,0)),""))))))))</f>
        <v/>
      </c>
      <c r="D57" s="39"/>
      <c r="E57" s="24" t="str">
        <f ca="1">IF($B57="","",IF(AND($B$4="Salary Points 2 to 57",B57&lt;Thresholds_Rates!$C$16),"-",IF(SUMIF(Grades!$A:$A,$B$4,Grades!$BO:$BO)=0,"-",IF(AND($B$4="Salary Points 2 to 57",B57&gt;=Thresholds_Rates!$C$16),$C57*Thresholds_Rates!$F$15,IF(AND(OR($B$4="New Consultant Contract"),$B57&lt;&gt;""),$C57*Thresholds_Rates!$F$15,IF(AND(OR($B$4="Clinical Lecturer / Medical Research Fellow",$B$4="Clinical Consultant - Old Contract (GP)"),$B57&lt;&gt;""),$C57*Thresholds_Rates!$F$15,IF(OR($B$4="APM Level 7",$B$4="R&amp;T Level 7"),$C57*Thresholds_Rates!$F$15,IF(SUMIF(Grades!$A:$A,$B$4,Grades!$BO:$BO)=1,$C57*Thresholds_Rates!$F$15,""))))))))</f>
        <v/>
      </c>
      <c r="F57" s="24" t="str">
        <f ca="1">IF(B57="","",IF($B$4="Salary Points 2 to 57","-",IF(SUMIF(Grades!$A:$A,$B$4,Grades!$BP:$BP)=0,"-",IF(AND(OR($B$4="New Consultant Contract"),$B57&lt;&gt;""),$C57*Thresholds_Rates!$F$16,IF(AND(OR($B$4="Clinical Lecturer / Medical Research Fellow",$B$4="Clinical Consultant - Old Contract (GP)"),$B57&lt;&gt;""),$C57*Thresholds_Rates!$F$16,IF(AND(OR($B$4="APM Level 7",$B$4="R&amp;T Level 7"),E57&lt;&gt;""),$C57*Thresholds_Rates!$F$16,IF(SUMIF(Grades!$A:$A,$B$4,Grades!$BP:$BP)=1,$C57*Thresholds_Rates!$F$16,"")))))))</f>
        <v/>
      </c>
      <c r="G57" s="24" t="str">
        <f ca="1">IF($B$4="Apprenticeship","-",IF(B57="","",IF(SUMIF(Grades!$A:$A,$B$4,Grades!$BQ:$BQ)=0,"-",IF(AND($B$4="Salary Points 2 to 57",B57&gt;Thresholds_Rates!$C$17),"-",IF(AND($B$4="Salary Points 2 to 57",B57&lt;=Thresholds_Rates!$C$17),$C57*Thresholds_Rates!$F$17,IF(AND(OR($B$4="New Consultant Contract"),$B57&lt;&gt;""),$C57*Thresholds_Rates!$F$17,IF(AND(OR($B$4="Clinical Lecturer / Medical Research Fellow",$B$4="Clinical Consultant - Old Contract (GP)"),$B57&lt;&gt;""),$C57*Thresholds_Rates!$F$17,IF(AND(OR($B$4="APM Level 7",$B$4="R&amp;T Level 7"),F57&lt;&gt;""),$C57*Thresholds_Rates!$F$17,IF(SUMIF(Grades!$A:$A,$B$4,Grades!$BQ:$BQ)=1,$C57*Thresholds_Rates!$F$17,"")))))))))</f>
        <v/>
      </c>
      <c r="H57" s="24" t="str">
        <f ca="1">IF($B57="","",ROUND(($C57-(Thresholds_Rates!$C$5*12))*Thresholds_Rates!$C$10,0))</f>
        <v/>
      </c>
      <c r="I57" s="24" t="str">
        <f ca="1">IF(B57="","",IF(AND($B$4="Salary Points 2 to 57",B57&gt;Thresholds_Rates!$C$17),"-",IF(SUMIF(Grades!$A:$A,$B$4,Grades!$BR:$BR)=0,"-",IF(AND($B$4="Salary Points 2 to 57",B57&lt;=Thresholds_Rates!$C$17),$C57*Thresholds_Rates!$F$18,IF(AND(OR($B$4="New Consultant Contract"),$B57&lt;&gt;""),$C57*Thresholds_Rates!$F$18,IF(AND(OR($B$4="Clinical Lecturer / Medical Research Fellow",$B$4="Clinical Consultant - Old Contract (GP)"),$B57&lt;&gt;""),$C57*Thresholds_Rates!$F$18,IF(AND(OR($B$4="APM Level 7",$B$4="R&amp;T Level 7"),H57&lt;&gt;""),$C57*Thresholds_Rates!$F$18,IF(SUMIF(Grades!$A:$A,$B$4,Grades!$BQ:$BQ)=1,$C57*Thresholds_Rates!$F$18,""))))))))</f>
        <v/>
      </c>
      <c r="J57" s="4"/>
      <c r="K57" s="24" t="str">
        <f t="shared" ca="1" si="0"/>
        <v/>
      </c>
      <c r="L57" s="24" t="str">
        <f t="shared" ca="1" si="1"/>
        <v/>
      </c>
      <c r="M57" s="24" t="str">
        <f t="shared" ca="1" si="2"/>
        <v/>
      </c>
      <c r="N57" s="24" t="str">
        <f t="shared" ca="1" si="3"/>
        <v/>
      </c>
      <c r="O57" s="24" t="str">
        <f t="shared" ca="1" si="4"/>
        <v/>
      </c>
      <c r="Q57" s="27" t="str">
        <f ca="1">IF(B57="","",IF($B$4="R&amp;T Level 5 - Clinical Lecturers (Vet School)",SUMIF(Points_Lookup!$M:$M,$B57,Points_Lookup!$N:$N),IF($B$4="R&amp;T Level 6 - Clinical Associate Professors and Clinical Readers (Vet School)",SUMIF(Points_Lookup!$T:$T,$B57,Points_Lookup!$U:$U),"")))</f>
        <v/>
      </c>
      <c r="R57" s="28" t="str">
        <f ca="1">IF(B57="","",IF($B$4="R&amp;T Level 5 - Clinical Lecturers (Vet School)",$C57-SUMIF(Points_Lookup!$M:$M,$B57,Points_Lookup!$O:$O),IF($B$4="R&amp;T Level 6 - Clinical Associate Professors and Clinical Readers (Vet School)",$C57-SUMIF(Points_Lookup!$T:$T,$B57,Points_Lookup!$V:$V),"")))</f>
        <v/>
      </c>
      <c r="S57" s="27" t="str">
        <f ca="1">IF(B57="","",IF($B$4="R&amp;T Level 5 - Clinical Lecturers (Vet School)",SUMIF(Points_Lookup!$M:$M,$B57,Points_Lookup!$Q:$Q),IF($B$4="R&amp;T Level 6 - Clinical Associate Professors and Clinical Readers (Vet School)",SUMIF(Points_Lookup!$T:$T,$B57,Points_Lookup!$X:$X),"")))</f>
        <v/>
      </c>
      <c r="T57" s="28" t="str">
        <f t="shared" ca="1" si="6"/>
        <v/>
      </c>
      <c r="Y57" s="25">
        <v>49</v>
      </c>
    </row>
    <row r="58" spans="2:25" x14ac:dyDescent="0.25">
      <c r="B58" s="4" t="str">
        <f ca="1">IFERROR(INDEX(Points_Lookup!$A:$A,MATCH($Y58,Points_Lookup!$AE:$AE,0)),"")</f>
        <v/>
      </c>
      <c r="C58" s="24" t="str">
        <f ca="1">IF(B58="","",IF($B$4="Apprenticeship",SUMIF(Points_Lookup!$AA:$AA,B58,Points_Lookup!$AC:$AC),IF(AND(OR($B$4="New Consultant Contract"),$B58&lt;&gt;""),INDEX(Points_Lookup!$K:$K,MATCH($B58,Points_Lookup!$J:$J,0)),IF(AND(OR($B$4="Clinical Lecturer / Medical Research Fellow",$B$4="Clinical Consultant - Old Contract (GP)"),$B58&lt;&gt;""),INDEX(Points_Lookup!$H:$H,MATCH($B58,Points_Lookup!$G:$G,0)),IF(AND(OR($B$4="APM Level 7",$B$4="R&amp;T Level 7",$B$4="APM Level 8"),B58&lt;&gt;""),INDEX(Points_Lookup!$E:$E,MATCH($Y58,Points_Lookup!$AE:$AE,0)),IF($B$4="R&amp;T Level 5 - Clinical Lecturers (Vet School)",SUMIF(Points_Lookup!$M:$M,$B58,Points_Lookup!$P:$P),IF($B$4="R&amp;T Level 6 - Clinical Associate Professors and Clinical Readers (Vet School)",SUMIF(Points_Lookup!$T:$T,$B58,Points_Lookup!$W:$W),IFERROR(INDEX(Points_Lookup!$B:$B,MATCH($Y58,Points_Lookup!$AE:$AE,0)),""))))))))</f>
        <v/>
      </c>
      <c r="D58" s="39"/>
      <c r="E58" s="24" t="str">
        <f ca="1">IF($B58="","",IF(AND($B$4="Salary Points 2 to 57",B58&lt;Thresholds_Rates!$C$16),"-",IF(SUMIF(Grades!$A:$A,$B$4,Grades!$BO:$BO)=0,"-",IF(AND($B$4="Salary Points 2 to 57",B58&gt;=Thresholds_Rates!$C$16),$C58*Thresholds_Rates!$F$15,IF(AND(OR($B$4="New Consultant Contract"),$B58&lt;&gt;""),$C58*Thresholds_Rates!$F$15,IF(AND(OR($B$4="Clinical Lecturer / Medical Research Fellow",$B$4="Clinical Consultant - Old Contract (GP)"),$B58&lt;&gt;""),$C58*Thresholds_Rates!$F$15,IF(OR($B$4="APM Level 7",$B$4="R&amp;T Level 7"),$C58*Thresholds_Rates!$F$15,IF(SUMIF(Grades!$A:$A,$B$4,Grades!$BO:$BO)=1,$C58*Thresholds_Rates!$F$15,""))))))))</f>
        <v/>
      </c>
      <c r="F58" s="24" t="str">
        <f ca="1">IF(B58="","",IF($B$4="Salary Points 2 to 57","-",IF(SUMIF(Grades!$A:$A,$B$4,Grades!$BP:$BP)=0,"-",IF(AND(OR($B$4="New Consultant Contract"),$B58&lt;&gt;""),$C58*Thresholds_Rates!$F$16,IF(AND(OR($B$4="Clinical Lecturer / Medical Research Fellow",$B$4="Clinical Consultant - Old Contract (GP)"),$B58&lt;&gt;""),$C58*Thresholds_Rates!$F$16,IF(AND(OR($B$4="APM Level 7",$B$4="R&amp;T Level 7"),E58&lt;&gt;""),$C58*Thresholds_Rates!$F$16,IF(SUMIF(Grades!$A:$A,$B$4,Grades!$BP:$BP)=1,$C58*Thresholds_Rates!$F$16,"")))))))</f>
        <v/>
      </c>
      <c r="G58" s="24" t="str">
        <f ca="1">IF($B$4="Apprenticeship","-",IF(B58="","",IF(SUMIF(Grades!$A:$A,$B$4,Grades!$BQ:$BQ)=0,"-",IF(AND($B$4="Salary Points 2 to 57",B58&gt;Thresholds_Rates!$C$17),"-",IF(AND($B$4="Salary Points 2 to 57",B58&lt;=Thresholds_Rates!$C$17),$C58*Thresholds_Rates!$F$17,IF(AND(OR($B$4="New Consultant Contract"),$B58&lt;&gt;""),$C58*Thresholds_Rates!$F$17,IF(AND(OR($B$4="Clinical Lecturer / Medical Research Fellow",$B$4="Clinical Consultant - Old Contract (GP)"),$B58&lt;&gt;""),$C58*Thresholds_Rates!$F$17,IF(AND(OR($B$4="APM Level 7",$B$4="R&amp;T Level 7"),F58&lt;&gt;""),$C58*Thresholds_Rates!$F$17,IF(SUMIF(Grades!$A:$A,$B$4,Grades!$BQ:$BQ)=1,$C58*Thresholds_Rates!$F$17,"")))))))))</f>
        <v/>
      </c>
      <c r="H58" s="24" t="str">
        <f ca="1">IF($B58="","",ROUND(($C58-(Thresholds_Rates!$C$5*12))*Thresholds_Rates!$C$10,0))</f>
        <v/>
      </c>
      <c r="I58" s="24" t="str">
        <f ca="1">IF(B58="","",IF(AND($B$4="Salary Points 2 to 57",B58&gt;Thresholds_Rates!$C$17),"-",IF(SUMIF(Grades!$A:$A,$B$4,Grades!$BR:$BR)=0,"-",IF(AND($B$4="Salary Points 2 to 57",B58&lt;=Thresholds_Rates!$C$17),$C58*Thresholds_Rates!$F$18,IF(AND(OR($B$4="New Consultant Contract"),$B58&lt;&gt;""),$C58*Thresholds_Rates!$F$18,IF(AND(OR($B$4="Clinical Lecturer / Medical Research Fellow",$B$4="Clinical Consultant - Old Contract (GP)"),$B58&lt;&gt;""),$C58*Thresholds_Rates!$F$18,IF(AND(OR($B$4="APM Level 7",$B$4="R&amp;T Level 7"),H58&lt;&gt;""),$C58*Thresholds_Rates!$F$18,IF(SUMIF(Grades!$A:$A,$B$4,Grades!$BQ:$BQ)=1,$C58*Thresholds_Rates!$F$18,""))))))))</f>
        <v/>
      </c>
      <c r="J58" s="4"/>
      <c r="K58" s="24" t="str">
        <f t="shared" ca="1" si="0"/>
        <v/>
      </c>
      <c r="L58" s="24" t="str">
        <f t="shared" ca="1" si="1"/>
        <v/>
      </c>
      <c r="M58" s="24" t="str">
        <f t="shared" ca="1" si="2"/>
        <v/>
      </c>
      <c r="N58" s="24" t="str">
        <f t="shared" ca="1" si="3"/>
        <v/>
      </c>
      <c r="O58" s="24" t="str">
        <f t="shared" ca="1" si="4"/>
        <v/>
      </c>
      <c r="Q58" s="27" t="str">
        <f ca="1">IF(B58="","",IF($B$4="R&amp;T Level 5 - Clinical Lecturers (Vet School)",SUMIF(Points_Lookup!$M:$M,$B58,Points_Lookup!$N:$N),IF($B$4="R&amp;T Level 6 - Clinical Associate Professors and Clinical Readers (Vet School)",SUMIF(Points_Lookup!$T:$T,$B58,Points_Lookup!$U:$U),"")))</f>
        <v/>
      </c>
      <c r="R58" s="28" t="str">
        <f ca="1">IF(B58="","",IF($B$4="R&amp;T Level 5 - Clinical Lecturers (Vet School)",$C58-SUMIF(Points_Lookup!$M:$M,$B58,Points_Lookup!$O:$O),IF($B$4="R&amp;T Level 6 - Clinical Associate Professors and Clinical Readers (Vet School)",$C58-SUMIF(Points_Lookup!$T:$T,$B58,Points_Lookup!$V:$V),"")))</f>
        <v/>
      </c>
      <c r="S58" s="27" t="str">
        <f ca="1">IF(B58="","",IF($B$4="R&amp;T Level 5 - Clinical Lecturers (Vet School)",SUMIF(Points_Lookup!$M:$M,$B58,Points_Lookup!$Q:$Q),IF($B$4="R&amp;T Level 6 - Clinical Associate Professors and Clinical Readers (Vet School)",SUMIF(Points_Lookup!$T:$T,$B58,Points_Lookup!$X:$X),"")))</f>
        <v/>
      </c>
      <c r="T58" s="28" t="str">
        <f t="shared" ca="1" si="6"/>
        <v/>
      </c>
      <c r="Y58" s="25">
        <v>50</v>
      </c>
    </row>
    <row r="59" spans="2:25" x14ac:dyDescent="0.25">
      <c r="B59" s="4" t="str">
        <f ca="1">IFERROR(INDEX(Points_Lookup!$A:$A,MATCH($Y59,Points_Lookup!$AE:$AE,0)),"")</f>
        <v/>
      </c>
      <c r="C59" s="24" t="str">
        <f ca="1">IF(B59="","",IF($B$4="Apprenticeship",SUMIF(Points_Lookup!$AA:$AA,B59,Points_Lookup!$AC:$AC),IF(AND(OR($B$4="New Consultant Contract"),$B59&lt;&gt;""),INDEX(Points_Lookup!$K:$K,MATCH($B59,Points_Lookup!$J:$J,0)),IF(AND(OR($B$4="Clinical Lecturer / Medical Research Fellow",$B$4="Clinical Consultant - Old Contract (GP)"),$B59&lt;&gt;""),INDEX(Points_Lookup!$H:$H,MATCH($B59,Points_Lookup!$G:$G,0)),IF(AND(OR($B$4="APM Level 7",$B$4="R&amp;T Level 7",$B$4="APM Level 8"),B59&lt;&gt;""),INDEX(Points_Lookup!$E:$E,MATCH($Y59,Points_Lookup!$AE:$AE,0)),IF($B$4="R&amp;T Level 5 - Clinical Lecturers (Vet School)",SUMIF(Points_Lookup!$M:$M,$B59,Points_Lookup!$P:$P),IF($B$4="R&amp;T Level 6 - Clinical Associate Professors and Clinical Readers (Vet School)",SUMIF(Points_Lookup!$T:$T,$B59,Points_Lookup!$W:$W),IFERROR(INDEX(Points_Lookup!$B:$B,MATCH($Y59,Points_Lookup!$AE:$AE,0)),""))))))))</f>
        <v/>
      </c>
      <c r="D59" s="39"/>
      <c r="E59" s="24" t="str">
        <f ca="1">IF($B59="","",IF(AND($B$4="Salary Points 2 to 57",B59&lt;Thresholds_Rates!$C$16),"-",IF(SUMIF(Grades!$A:$A,$B$4,Grades!$BO:$BO)=0,"-",IF(AND($B$4="Salary Points 2 to 57",B59&gt;=Thresholds_Rates!$C$16),$C59*Thresholds_Rates!$F$15,IF(AND(OR($B$4="New Consultant Contract"),$B59&lt;&gt;""),$C59*Thresholds_Rates!$F$15,IF(AND(OR($B$4="Clinical Lecturer / Medical Research Fellow",$B$4="Clinical Consultant - Old Contract (GP)"),$B59&lt;&gt;""),$C59*Thresholds_Rates!$F$15,IF(OR($B$4="APM Level 7",$B$4="R&amp;T Level 7"),$C59*Thresholds_Rates!$F$15,IF(SUMIF(Grades!$A:$A,$B$4,Grades!$BO:$BO)=1,$C59*Thresholds_Rates!$F$15,""))))))))</f>
        <v/>
      </c>
      <c r="F59" s="24" t="str">
        <f ca="1">IF(B59="","",IF($B$4="Salary Points 2 to 57","-",IF(SUMIF(Grades!$A:$A,$B$4,Grades!$BP:$BP)=0,"-",IF(AND(OR($B$4="New Consultant Contract"),$B59&lt;&gt;""),$C59*Thresholds_Rates!$F$16,IF(AND(OR($B$4="Clinical Lecturer / Medical Research Fellow",$B$4="Clinical Consultant - Old Contract (GP)"),$B59&lt;&gt;""),$C59*Thresholds_Rates!$F$16,IF(AND(OR($B$4="APM Level 7",$B$4="R&amp;T Level 7"),E59&lt;&gt;""),$C59*Thresholds_Rates!$F$16,IF(SUMIF(Grades!$A:$A,$B$4,Grades!$BP:$BP)=1,$C59*Thresholds_Rates!$F$16,"")))))))</f>
        <v/>
      </c>
      <c r="G59" s="24" t="str">
        <f ca="1">IF($B$4="Apprenticeship","-",IF(B59="","",IF(SUMIF(Grades!$A:$A,$B$4,Grades!$BQ:$BQ)=0,"-",IF(AND($B$4="Salary Points 2 to 57",B59&gt;Thresholds_Rates!$C$17),"-",IF(AND($B$4="Salary Points 2 to 57",B59&lt;=Thresholds_Rates!$C$17),$C59*Thresholds_Rates!$F$17,IF(AND(OR($B$4="New Consultant Contract"),$B59&lt;&gt;""),$C59*Thresholds_Rates!$F$17,IF(AND(OR($B$4="Clinical Lecturer / Medical Research Fellow",$B$4="Clinical Consultant - Old Contract (GP)"),$B59&lt;&gt;""),$C59*Thresholds_Rates!$F$17,IF(AND(OR($B$4="APM Level 7",$B$4="R&amp;T Level 7"),F59&lt;&gt;""),$C59*Thresholds_Rates!$F$17,IF(SUMIF(Grades!$A:$A,$B$4,Grades!$BQ:$BQ)=1,$C59*Thresholds_Rates!$F$17,"")))))))))</f>
        <v/>
      </c>
      <c r="H59" s="24" t="str">
        <f ca="1">IF($B59="","",ROUND(($C59-(Thresholds_Rates!$C$5*12))*Thresholds_Rates!$C$10,0))</f>
        <v/>
      </c>
      <c r="I59" s="24" t="str">
        <f ca="1">IF(B59="","",IF(AND($B$4="Salary Points 2 to 57",B59&gt;Thresholds_Rates!$C$17),"-",IF(SUMIF(Grades!$A:$A,$B$4,Grades!$BR:$BR)=0,"-",IF(AND($B$4="Salary Points 2 to 57",B59&lt;=Thresholds_Rates!$C$17),$C59*Thresholds_Rates!$F$18,IF(AND(OR($B$4="New Consultant Contract"),$B59&lt;&gt;""),$C59*Thresholds_Rates!$F$18,IF(AND(OR($B$4="Clinical Lecturer / Medical Research Fellow",$B$4="Clinical Consultant - Old Contract (GP)"),$B59&lt;&gt;""),$C59*Thresholds_Rates!$F$18,IF(AND(OR($B$4="APM Level 7",$B$4="R&amp;T Level 7"),H59&lt;&gt;""),$C59*Thresholds_Rates!$F$18,IF(SUMIF(Grades!$A:$A,$B$4,Grades!$BQ:$BQ)=1,$C59*Thresholds_Rates!$F$18,""))))))))</f>
        <v/>
      </c>
      <c r="J59" s="4"/>
      <c r="K59" s="24" t="str">
        <f t="shared" ca="1" si="0"/>
        <v/>
      </c>
      <c r="L59" s="24" t="str">
        <f t="shared" ca="1" si="1"/>
        <v/>
      </c>
      <c r="M59" s="24" t="str">
        <f t="shared" ca="1" si="2"/>
        <v/>
      </c>
      <c r="N59" s="24" t="str">
        <f t="shared" ca="1" si="3"/>
        <v/>
      </c>
      <c r="O59" s="24" t="str">
        <f t="shared" ca="1" si="4"/>
        <v/>
      </c>
      <c r="Q59" s="27" t="str">
        <f ca="1">IF(B59="","",IF($B$4="R&amp;T Level 5 - Clinical Lecturers (Vet School)",SUMIF(Points_Lookup!$M:$M,$B59,Points_Lookup!$N:$N),IF($B$4="R&amp;T Level 6 - Clinical Associate Professors and Clinical Readers (Vet School)",SUMIF(Points_Lookup!$T:$T,$B59,Points_Lookup!$U:$U),"")))</f>
        <v/>
      </c>
      <c r="R59" s="28" t="str">
        <f ca="1">IF(B59="","",IF($B$4="R&amp;T Level 5 - Clinical Lecturers (Vet School)",$C59-SUMIF(Points_Lookup!$M:$M,$B59,Points_Lookup!$O:$O),IF($B$4="R&amp;T Level 6 - Clinical Associate Professors and Clinical Readers (Vet School)",$C59-SUMIF(Points_Lookup!$T:$T,$B59,Points_Lookup!$V:$V),"")))</f>
        <v/>
      </c>
      <c r="S59" s="27" t="str">
        <f ca="1">IF(B59="","",IF($B$4="R&amp;T Level 5 - Clinical Lecturers (Vet School)",SUMIF(Points_Lookup!$M:$M,$B59,Points_Lookup!$Q:$Q),IF($B$4="R&amp;T Level 6 - Clinical Associate Professors and Clinical Readers (Vet School)",SUMIF(Points_Lookup!$T:$T,$B59,Points_Lookup!$X:$X),"")))</f>
        <v/>
      </c>
      <c r="T59" s="28" t="str">
        <f t="shared" ca="1" si="6"/>
        <v/>
      </c>
      <c r="Y59" s="25">
        <v>51</v>
      </c>
    </row>
    <row r="60" spans="2:25" x14ac:dyDescent="0.25">
      <c r="B60" s="4" t="str">
        <f ca="1">IFERROR(INDEX(Points_Lookup!$A:$A,MATCH($Y60,Points_Lookup!$AE:$AE,0)),"")</f>
        <v/>
      </c>
      <c r="C60" s="24" t="str">
        <f ca="1">IF(B60="","",IF($B$4="Apprenticeship",SUMIF(Points_Lookup!$AA:$AA,B60,Points_Lookup!$AC:$AC),IF(AND(OR($B$4="New Consultant Contract"),$B60&lt;&gt;""),INDEX(Points_Lookup!$K:$K,MATCH($B60,Points_Lookup!$J:$J,0)),IF(AND(OR($B$4="Clinical Lecturer / Medical Research Fellow",$B$4="Clinical Consultant - Old Contract (GP)"),$B60&lt;&gt;""),INDEX(Points_Lookup!$H:$H,MATCH($B60,Points_Lookup!$G:$G,0)),IF(AND(OR($B$4="APM Level 7",$B$4="R&amp;T Level 7",$B$4="APM Level 8"),B60&lt;&gt;""),INDEX(Points_Lookup!$E:$E,MATCH($Y60,Points_Lookup!$AE:$AE,0)),IF($B$4="R&amp;T Level 5 - Clinical Lecturers (Vet School)",SUMIF(Points_Lookup!$M:$M,$B60,Points_Lookup!$P:$P),IF($B$4="R&amp;T Level 6 - Clinical Associate Professors and Clinical Readers (Vet School)",SUMIF(Points_Lookup!$T:$T,$B60,Points_Lookup!$W:$W),IFERROR(INDEX(Points_Lookup!$B:$B,MATCH($Y60,Points_Lookup!$AE:$AE,0)),""))))))))</f>
        <v/>
      </c>
      <c r="D60" s="39"/>
      <c r="E60" s="24" t="str">
        <f ca="1">IF($B60="","",IF(AND($B$4="Salary Points 2 to 57",B60&lt;Thresholds_Rates!$C$16),"-",IF(SUMIF(Grades!$A:$A,$B$4,Grades!$BO:$BO)=0,"-",IF(AND($B$4="Salary Points 2 to 57",B60&gt;=Thresholds_Rates!$C$16),$C60*Thresholds_Rates!$F$15,IF(AND(OR($B$4="New Consultant Contract"),$B60&lt;&gt;""),$C60*Thresholds_Rates!$F$15,IF(AND(OR($B$4="Clinical Lecturer / Medical Research Fellow",$B$4="Clinical Consultant - Old Contract (GP)"),$B60&lt;&gt;""),$C60*Thresholds_Rates!$F$15,IF(OR($B$4="APM Level 7",$B$4="R&amp;T Level 7"),$C60*Thresholds_Rates!$F$15,IF(SUMIF(Grades!$A:$A,$B$4,Grades!$BO:$BO)=1,$C60*Thresholds_Rates!$F$15,""))))))))</f>
        <v/>
      </c>
      <c r="F60" s="24" t="str">
        <f ca="1">IF(B60="","",IF($B$4="Salary Points 2 to 57","-",IF(SUMIF(Grades!$A:$A,$B$4,Grades!$BP:$BP)=0,"-",IF(AND(OR($B$4="New Consultant Contract"),$B60&lt;&gt;""),$C60*Thresholds_Rates!$F$16,IF(AND(OR($B$4="Clinical Lecturer / Medical Research Fellow",$B$4="Clinical Consultant - Old Contract (GP)"),$B60&lt;&gt;""),$C60*Thresholds_Rates!$F$16,IF(AND(OR($B$4="APM Level 7",$B$4="R&amp;T Level 7"),E60&lt;&gt;""),$C60*Thresholds_Rates!$F$16,IF(SUMIF(Grades!$A:$A,$B$4,Grades!$BP:$BP)=1,$C60*Thresholds_Rates!$F$16,"")))))))</f>
        <v/>
      </c>
      <c r="G60" s="24" t="str">
        <f ca="1">IF($B$4="Apprenticeship","-",IF(B60="","",IF(SUMIF(Grades!$A:$A,$B$4,Grades!$BQ:$BQ)=0,"-",IF(AND($B$4="Salary Points 2 to 57",B60&gt;Thresholds_Rates!$C$17),"-",IF(AND($B$4="Salary Points 2 to 57",B60&lt;=Thresholds_Rates!$C$17),$C60*Thresholds_Rates!$F$17,IF(AND(OR($B$4="New Consultant Contract"),$B60&lt;&gt;""),$C60*Thresholds_Rates!$F$17,IF(AND(OR($B$4="Clinical Lecturer / Medical Research Fellow",$B$4="Clinical Consultant - Old Contract (GP)"),$B60&lt;&gt;""),$C60*Thresholds_Rates!$F$17,IF(AND(OR($B$4="APM Level 7",$B$4="R&amp;T Level 7"),F60&lt;&gt;""),$C60*Thresholds_Rates!$F$17,IF(SUMIF(Grades!$A:$A,$B$4,Grades!$BQ:$BQ)=1,$C60*Thresholds_Rates!$F$17,"")))))))))</f>
        <v/>
      </c>
      <c r="H60" s="24" t="str">
        <f ca="1">IF($B60="","",ROUND(($C60-(Thresholds_Rates!$C$5*12))*Thresholds_Rates!$C$10,0))</f>
        <v/>
      </c>
      <c r="I60" s="24" t="str">
        <f ca="1">IF(B60="","",IF(AND($B$4="Salary Points 2 to 57",B60&gt;Thresholds_Rates!$C$17),"-",IF(SUMIF(Grades!$A:$A,$B$4,Grades!$BR:$BR)=0,"-",IF(AND($B$4="Salary Points 2 to 57",B60&lt;=Thresholds_Rates!$C$17),$C60*Thresholds_Rates!$F$18,IF(AND(OR($B$4="New Consultant Contract"),$B60&lt;&gt;""),$C60*Thresholds_Rates!$F$18,IF(AND(OR($B$4="Clinical Lecturer / Medical Research Fellow",$B$4="Clinical Consultant - Old Contract (GP)"),$B60&lt;&gt;""),$C60*Thresholds_Rates!$F$18,IF(AND(OR($B$4="APM Level 7",$B$4="R&amp;T Level 7"),H60&lt;&gt;""),$C60*Thresholds_Rates!$F$18,IF(SUMIF(Grades!$A:$A,$B$4,Grades!$BQ:$BQ)=1,$C60*Thresholds_Rates!$F$18,""))))))))</f>
        <v/>
      </c>
      <c r="J60" s="4"/>
      <c r="K60" s="24" t="str">
        <f t="shared" ca="1" si="0"/>
        <v/>
      </c>
      <c r="L60" s="24" t="str">
        <f t="shared" ca="1" si="1"/>
        <v/>
      </c>
      <c r="M60" s="24" t="str">
        <f t="shared" ca="1" si="2"/>
        <v/>
      </c>
      <c r="N60" s="24" t="str">
        <f t="shared" ca="1" si="3"/>
        <v/>
      </c>
      <c r="O60" s="24" t="str">
        <f t="shared" ca="1" si="4"/>
        <v/>
      </c>
      <c r="Q60" s="27" t="str">
        <f ca="1">IF(B60="","",IF($B$4="R&amp;T Level 5 - Clinical Lecturers (Vet School)",SUMIF(Points_Lookup!$M:$M,$B60,Points_Lookup!$N:$N),IF($B$4="R&amp;T Level 6 - Clinical Associate Professors and Clinical Readers (Vet School)",SUMIF(Points_Lookup!$T:$T,$B60,Points_Lookup!$U:$U),"")))</f>
        <v/>
      </c>
      <c r="R60" s="28" t="str">
        <f ca="1">IF(B60="","",IF($B$4="R&amp;T Level 5 - Clinical Lecturers (Vet School)",$C60-SUMIF(Points_Lookup!$M:$M,$B60,Points_Lookup!$O:$O),IF($B$4="R&amp;T Level 6 - Clinical Associate Professors and Clinical Readers (Vet School)",$C60-SUMIF(Points_Lookup!$T:$T,$B60,Points_Lookup!$V:$V),"")))</f>
        <v/>
      </c>
      <c r="S60" s="27" t="str">
        <f ca="1">IF(B60="","",IF($B$4="R&amp;T Level 5 - Clinical Lecturers (Vet School)",SUMIF(Points_Lookup!$M:$M,$B60,Points_Lookup!$Q:$Q),IF($B$4="R&amp;T Level 6 - Clinical Associate Professors and Clinical Readers (Vet School)",SUMIF(Points_Lookup!$T:$T,$B60,Points_Lookup!$X:$X),"")))</f>
        <v/>
      </c>
      <c r="T60" s="28" t="str">
        <f t="shared" ca="1" si="6"/>
        <v/>
      </c>
      <c r="Y60" s="25">
        <v>52</v>
      </c>
    </row>
    <row r="61" spans="2:25" x14ac:dyDescent="0.25">
      <c r="B61" s="4" t="str">
        <f ca="1">IFERROR(INDEX(Points_Lookup!$A:$A,MATCH($Y61,Points_Lookup!$AE:$AE,0)),"")</f>
        <v/>
      </c>
      <c r="C61" s="24" t="str">
        <f ca="1">IF(B61="","",IF($B$4="Apprenticeship",SUMIF(Points_Lookup!$AA:$AA,B61,Points_Lookup!$AC:$AC),IF(AND(OR($B$4="New Consultant Contract"),$B61&lt;&gt;""),INDEX(Points_Lookup!$K:$K,MATCH($B61,Points_Lookup!$J:$J,0)),IF(AND(OR($B$4="Clinical Lecturer / Medical Research Fellow",$B$4="Clinical Consultant - Old Contract (GP)"),$B61&lt;&gt;""),INDEX(Points_Lookup!$H:$H,MATCH($B61,Points_Lookup!$G:$G,0)),IF(AND(OR($B$4="APM Level 7",$B$4="R&amp;T Level 7",$B$4="APM Level 8"),B61&lt;&gt;""),INDEX(Points_Lookup!$E:$E,MATCH($Y61,Points_Lookup!$AE:$AE,0)),IF($B$4="R&amp;T Level 5 - Clinical Lecturers (Vet School)",SUMIF(Points_Lookup!$M:$M,$B61,Points_Lookup!$P:$P),IF($B$4="R&amp;T Level 6 - Clinical Associate Professors and Clinical Readers (Vet School)",SUMIF(Points_Lookup!$T:$T,$B61,Points_Lookup!$W:$W),IFERROR(INDEX(Points_Lookup!$B:$B,MATCH($Y61,Points_Lookup!$AE:$AE,0)),""))))))))</f>
        <v/>
      </c>
      <c r="D61" s="39"/>
      <c r="E61" s="24" t="str">
        <f ca="1">IF($B61="","",IF(AND($B$4="Salary Points 2 to 57",B61&lt;Thresholds_Rates!$C$16),"-",IF(SUMIF(Grades!$A:$A,$B$4,Grades!$BO:$BO)=0,"-",IF(AND($B$4="Salary Points 2 to 57",B61&gt;=Thresholds_Rates!$C$16),$C61*Thresholds_Rates!$F$15,IF(AND(OR($B$4="New Consultant Contract"),$B61&lt;&gt;""),$C61*Thresholds_Rates!$F$15,IF(AND(OR($B$4="Clinical Lecturer / Medical Research Fellow",$B$4="Clinical Consultant - Old Contract (GP)"),$B61&lt;&gt;""),$C61*Thresholds_Rates!$F$15,IF(OR($B$4="APM Level 7",$B$4="R&amp;T Level 7"),$C61*Thresholds_Rates!$F$15,IF(SUMIF(Grades!$A:$A,$B$4,Grades!$BO:$BO)=1,$C61*Thresholds_Rates!$F$15,""))))))))</f>
        <v/>
      </c>
      <c r="F61" s="24" t="str">
        <f ca="1">IF(B61="","",IF($B$4="Salary Points 2 to 57","-",IF(SUMIF(Grades!$A:$A,$B$4,Grades!$BP:$BP)=0,"-",IF(AND(OR($B$4="New Consultant Contract"),$B61&lt;&gt;""),$C61*Thresholds_Rates!$F$16,IF(AND(OR($B$4="Clinical Lecturer / Medical Research Fellow",$B$4="Clinical Consultant - Old Contract (GP)"),$B61&lt;&gt;""),$C61*Thresholds_Rates!$F$16,IF(AND(OR($B$4="APM Level 7",$B$4="R&amp;T Level 7"),E61&lt;&gt;""),$C61*Thresholds_Rates!$F$16,IF(SUMIF(Grades!$A:$A,$B$4,Grades!$BP:$BP)=1,$C61*Thresholds_Rates!$F$16,"")))))))</f>
        <v/>
      </c>
      <c r="G61" s="24" t="str">
        <f ca="1">IF($B$4="Apprenticeship","-",IF(B61="","",IF(SUMIF(Grades!$A:$A,$B$4,Grades!$BQ:$BQ)=0,"-",IF(AND($B$4="Salary Points 2 to 57",B61&gt;Thresholds_Rates!$C$17),"-",IF(AND($B$4="Salary Points 2 to 57",B61&lt;=Thresholds_Rates!$C$17),$C61*Thresholds_Rates!$F$17,IF(AND(OR($B$4="New Consultant Contract"),$B61&lt;&gt;""),$C61*Thresholds_Rates!$F$17,IF(AND(OR($B$4="Clinical Lecturer / Medical Research Fellow",$B$4="Clinical Consultant - Old Contract (GP)"),$B61&lt;&gt;""),$C61*Thresholds_Rates!$F$17,IF(AND(OR($B$4="APM Level 7",$B$4="R&amp;T Level 7"),F61&lt;&gt;""),$C61*Thresholds_Rates!$F$17,IF(SUMIF(Grades!$A:$A,$B$4,Grades!$BQ:$BQ)=1,$C61*Thresholds_Rates!$F$17,"")))))))))</f>
        <v/>
      </c>
      <c r="H61" s="24" t="str">
        <f ca="1">IF($B61="","",ROUND(($C61-(Thresholds_Rates!$C$5*12))*Thresholds_Rates!$C$10,0))</f>
        <v/>
      </c>
      <c r="I61" s="24" t="str">
        <f ca="1">IF(B61="","",IF(AND($B$4="Salary Points 2 to 57",B61&gt;Thresholds_Rates!$C$17),"-",IF(SUMIF(Grades!$A:$A,$B$4,Grades!$BR:$BR)=0,"-",IF(AND($B$4="Salary Points 2 to 57",B61&lt;=Thresholds_Rates!$C$17),$C61*Thresholds_Rates!$F$18,IF(AND(OR($B$4="New Consultant Contract"),$B61&lt;&gt;""),$C61*Thresholds_Rates!$F$18,IF(AND(OR($B$4="Clinical Lecturer / Medical Research Fellow",$B$4="Clinical Consultant - Old Contract (GP)"),$B61&lt;&gt;""),$C61*Thresholds_Rates!$F$18,IF(AND(OR($B$4="APM Level 7",$B$4="R&amp;T Level 7"),H61&lt;&gt;""),$C61*Thresholds_Rates!$F$18,IF(SUMIF(Grades!$A:$A,$B$4,Grades!$BQ:$BQ)=1,$C61*Thresholds_Rates!$F$18,""))))))))</f>
        <v/>
      </c>
      <c r="J61" s="4"/>
      <c r="K61" s="24" t="str">
        <f t="shared" ca="1" si="0"/>
        <v/>
      </c>
      <c r="L61" s="24" t="str">
        <f t="shared" ca="1" si="1"/>
        <v/>
      </c>
      <c r="M61" s="24" t="str">
        <f t="shared" ca="1" si="2"/>
        <v/>
      </c>
      <c r="N61" s="24" t="str">
        <f t="shared" ca="1" si="3"/>
        <v/>
      </c>
      <c r="O61" s="24" t="str">
        <f t="shared" ca="1" si="4"/>
        <v/>
      </c>
      <c r="Q61" s="27" t="str">
        <f ca="1">IF(B61="","",IF($B$4="R&amp;T Level 5 - Clinical Lecturers (Vet School)",SUMIF(Points_Lookup!$M:$M,$B61,Points_Lookup!$N:$N),IF($B$4="R&amp;T Level 6 - Clinical Associate Professors and Clinical Readers (Vet School)",SUMIF(Points_Lookup!$T:$T,$B61,Points_Lookup!$U:$U),"")))</f>
        <v/>
      </c>
      <c r="R61" s="28" t="str">
        <f ca="1">IF(B61="","",IF($B$4="R&amp;T Level 5 - Clinical Lecturers (Vet School)",$C61-SUMIF(Points_Lookup!$M:$M,$B61,Points_Lookup!$O:$O),IF($B$4="R&amp;T Level 6 - Clinical Associate Professors and Clinical Readers (Vet School)",$C61-SUMIF(Points_Lookup!$T:$T,$B61,Points_Lookup!$V:$V),"")))</f>
        <v/>
      </c>
      <c r="S61" s="27" t="str">
        <f ca="1">IF(B61="","",IF($B$4="R&amp;T Level 5 - Clinical Lecturers (Vet School)",SUMIF(Points_Lookup!$M:$M,$B61,Points_Lookup!$Q:$Q),IF($B$4="R&amp;T Level 6 - Clinical Associate Professors and Clinical Readers (Vet School)",SUMIF(Points_Lookup!$T:$T,$B61,Points_Lookup!$X:$X),"")))</f>
        <v/>
      </c>
      <c r="T61" s="28" t="str">
        <f t="shared" ca="1" si="6"/>
        <v/>
      </c>
      <c r="Y61" s="25">
        <v>53</v>
      </c>
    </row>
    <row r="62" spans="2:25" x14ac:dyDescent="0.25">
      <c r="B62" s="4" t="str">
        <f ca="1">IFERROR(INDEX(Points_Lookup!$A:$A,MATCH($Y62,Points_Lookup!$AE:$AE,0)),"")</f>
        <v/>
      </c>
      <c r="C62" s="24" t="str">
        <f ca="1">IF(B62="","",IF($B$4="Apprenticeship",SUMIF(Points_Lookup!$AA:$AA,B62,Points_Lookup!$AC:$AC),IF(AND(OR($B$4="New Consultant Contract"),$B62&lt;&gt;""),INDEX(Points_Lookup!$K:$K,MATCH($B62,Points_Lookup!$J:$J,0)),IF(AND(OR($B$4="Clinical Lecturer / Medical Research Fellow",$B$4="Clinical Consultant - Old Contract (GP)"),$B62&lt;&gt;""),INDEX(Points_Lookup!$H:$H,MATCH($B62,Points_Lookup!$G:$G,0)),IF(AND(OR($B$4="APM Level 7",$B$4="R&amp;T Level 7",$B$4="APM Level 8"),B62&lt;&gt;""),INDEX(Points_Lookup!$E:$E,MATCH($Y62,Points_Lookup!$AE:$AE,0)),IF($B$4="R&amp;T Level 5 - Clinical Lecturers (Vet School)",SUMIF(Points_Lookup!$M:$M,$B62,Points_Lookup!$P:$P),IF($B$4="R&amp;T Level 6 - Clinical Associate Professors and Clinical Readers (Vet School)",SUMIF(Points_Lookup!$T:$T,$B62,Points_Lookup!$W:$W),IFERROR(INDEX(Points_Lookup!$B:$B,MATCH($Y62,Points_Lookup!$AE:$AE,0)),""))))))))</f>
        <v/>
      </c>
      <c r="D62" s="39"/>
      <c r="E62" s="24" t="str">
        <f ca="1">IF($B62="","",IF(AND($B$4="Salary Points 2 to 57",B62&lt;Thresholds_Rates!$C$16),"-",IF(SUMIF(Grades!$A:$A,$B$4,Grades!$BO:$BO)=0,"-",IF(AND($B$4="Salary Points 2 to 57",B62&gt;=Thresholds_Rates!$C$16),$C62*Thresholds_Rates!$F$15,IF(AND(OR($B$4="New Consultant Contract"),$B62&lt;&gt;""),$C62*Thresholds_Rates!$F$15,IF(AND(OR($B$4="Clinical Lecturer / Medical Research Fellow",$B$4="Clinical Consultant - Old Contract (GP)"),$B62&lt;&gt;""),$C62*Thresholds_Rates!$F$15,IF(OR($B$4="APM Level 7",$B$4="R&amp;T Level 7"),$C62*Thresholds_Rates!$F$15,IF(SUMIF(Grades!$A:$A,$B$4,Grades!$BO:$BO)=1,$C62*Thresholds_Rates!$F$15,""))))))))</f>
        <v/>
      </c>
      <c r="F62" s="24" t="str">
        <f ca="1">IF(B62="","",IF($B$4="Salary Points 2 to 57","-",IF(SUMIF(Grades!$A:$A,$B$4,Grades!$BP:$BP)=0,"-",IF(AND(OR($B$4="New Consultant Contract"),$B62&lt;&gt;""),$C62*Thresholds_Rates!$F$16,IF(AND(OR($B$4="Clinical Lecturer / Medical Research Fellow",$B$4="Clinical Consultant - Old Contract (GP)"),$B62&lt;&gt;""),$C62*Thresholds_Rates!$F$16,IF(AND(OR($B$4="APM Level 7",$B$4="R&amp;T Level 7"),E62&lt;&gt;""),$C62*Thresholds_Rates!$F$16,IF(SUMIF(Grades!$A:$A,$B$4,Grades!$BP:$BP)=1,$C62*Thresholds_Rates!$F$16,"")))))))</f>
        <v/>
      </c>
      <c r="G62" s="24" t="str">
        <f ca="1">IF($B$4="Apprenticeship","-",IF(B62="","",IF(SUMIF(Grades!$A:$A,$B$4,Grades!$BQ:$BQ)=0,"-",IF(AND($B$4="Salary Points 2 to 57",B62&gt;Thresholds_Rates!$C$17),"-",IF(AND($B$4="Salary Points 2 to 57",B62&lt;=Thresholds_Rates!$C$17),$C62*Thresholds_Rates!$F$17,IF(AND(OR($B$4="New Consultant Contract"),$B62&lt;&gt;""),$C62*Thresholds_Rates!$F$17,IF(AND(OR($B$4="Clinical Lecturer / Medical Research Fellow",$B$4="Clinical Consultant - Old Contract (GP)"),$B62&lt;&gt;""),$C62*Thresholds_Rates!$F$17,IF(AND(OR($B$4="APM Level 7",$B$4="R&amp;T Level 7"),F62&lt;&gt;""),$C62*Thresholds_Rates!$F$17,IF(SUMIF(Grades!$A:$A,$B$4,Grades!$BQ:$BQ)=1,$C62*Thresholds_Rates!$F$17,"")))))))))</f>
        <v/>
      </c>
      <c r="H62" s="24" t="str">
        <f ca="1">IF($B62="","",ROUND(($C62-(Thresholds_Rates!$C$5*12))*Thresholds_Rates!$C$10,0))</f>
        <v/>
      </c>
      <c r="I62" s="24" t="str">
        <f ca="1">IF(B62="","",IF(AND($B$4="Salary Points 2 to 57",B62&gt;Thresholds_Rates!$C$17),"-",IF(SUMIF(Grades!$A:$A,$B$4,Grades!$BR:$BR)=0,"-",IF(AND($B$4="Salary Points 2 to 57",B62&lt;=Thresholds_Rates!$C$17),$C62*Thresholds_Rates!$F$18,IF(AND(OR($B$4="New Consultant Contract"),$B62&lt;&gt;""),$C62*Thresholds_Rates!$F$18,IF(AND(OR($B$4="Clinical Lecturer / Medical Research Fellow",$B$4="Clinical Consultant - Old Contract (GP)"),$B62&lt;&gt;""),$C62*Thresholds_Rates!$F$18,IF(AND(OR($B$4="APM Level 7",$B$4="R&amp;T Level 7"),H62&lt;&gt;""),$C62*Thresholds_Rates!$F$18,IF(SUMIF(Grades!$A:$A,$B$4,Grades!$BQ:$BQ)=1,$C62*Thresholds_Rates!$F$18,""))))))))</f>
        <v/>
      </c>
      <c r="J62" s="4"/>
      <c r="K62" s="24" t="str">
        <f t="shared" ca="1" si="0"/>
        <v/>
      </c>
      <c r="L62" s="24" t="str">
        <f t="shared" ca="1" si="1"/>
        <v/>
      </c>
      <c r="M62" s="24" t="str">
        <f t="shared" ca="1" si="2"/>
        <v/>
      </c>
      <c r="N62" s="24" t="str">
        <f t="shared" ca="1" si="3"/>
        <v/>
      </c>
      <c r="O62" s="24" t="str">
        <f t="shared" ca="1" si="4"/>
        <v/>
      </c>
      <c r="Q62" s="27" t="str">
        <f ca="1">IF(B62="","",IF($B$4="R&amp;T Level 5 - Clinical Lecturers (Vet School)",SUMIF(Points_Lookup!$M:$M,$B62,Points_Lookup!$N:$N),IF($B$4="R&amp;T Level 6 - Clinical Associate Professors and Clinical Readers (Vet School)",SUMIF(Points_Lookup!$T:$T,$B62,Points_Lookup!$U:$U),"")))</f>
        <v/>
      </c>
      <c r="R62" s="28" t="str">
        <f ca="1">IF(B62="","",IF($B$4="R&amp;T Level 5 - Clinical Lecturers (Vet School)",$C62-SUMIF(Points_Lookup!$M:$M,$B62,Points_Lookup!$O:$O),IF($B$4="R&amp;T Level 6 - Clinical Associate Professors and Clinical Readers (Vet School)",$C62-SUMIF(Points_Lookup!$T:$T,$B62,Points_Lookup!$V:$V),"")))</f>
        <v/>
      </c>
      <c r="S62" s="27" t="str">
        <f ca="1">IF(B62="","",IF($B$4="R&amp;T Level 5 - Clinical Lecturers (Vet School)",SUMIF(Points_Lookup!$M:$M,$B62,Points_Lookup!$Q:$Q),IF($B$4="R&amp;T Level 6 - Clinical Associate Professors and Clinical Readers (Vet School)",SUMIF(Points_Lookup!$T:$T,$B62,Points_Lookup!$X:$X),"")))</f>
        <v/>
      </c>
      <c r="T62" s="28" t="str">
        <f t="shared" ca="1" si="6"/>
        <v/>
      </c>
      <c r="Y62" s="25">
        <v>54</v>
      </c>
    </row>
    <row r="63" spans="2:25" x14ac:dyDescent="0.25">
      <c r="B63" s="4" t="str">
        <f ca="1">IFERROR(INDEX(Points_Lookup!$A:$A,MATCH($Y63,Points_Lookup!$AE:$AE,0)),"")</f>
        <v/>
      </c>
      <c r="C63" s="24" t="str">
        <f ca="1">IF(B63="","",IF($B$4="Apprenticeship",SUMIF(Points_Lookup!$AA:$AA,B63,Points_Lookup!$AC:$AC),IF(AND(OR($B$4="New Consultant Contract"),$B63&lt;&gt;""),INDEX(Points_Lookup!$K:$K,MATCH($B63,Points_Lookup!$J:$J,0)),IF(AND(OR($B$4="Clinical Lecturer / Medical Research Fellow",$B$4="Clinical Consultant - Old Contract (GP)"),$B63&lt;&gt;""),INDEX(Points_Lookup!$H:$H,MATCH($B63,Points_Lookup!$G:$G,0)),IF(AND(OR($B$4="APM Level 7",$B$4="R&amp;T Level 7",$B$4="APM Level 8"),B63&lt;&gt;""),INDEX(Points_Lookup!$E:$E,MATCH($Y63,Points_Lookup!$AE:$AE,0)),IF($B$4="R&amp;T Level 5 - Clinical Lecturers (Vet School)",SUMIF(Points_Lookup!$M:$M,$B63,Points_Lookup!$P:$P),IF($B$4="R&amp;T Level 6 - Clinical Associate Professors and Clinical Readers (Vet School)",SUMIF(Points_Lookup!$T:$T,$B63,Points_Lookup!$W:$W),IFERROR(INDEX(Points_Lookup!$B:$B,MATCH($Y63,Points_Lookup!$AE:$AE,0)),""))))))))</f>
        <v/>
      </c>
      <c r="D63" s="39"/>
      <c r="E63" s="24" t="str">
        <f ca="1">IF($B63="","",IF(AND($B$4="Salary Points 2 to 57",B63&lt;Thresholds_Rates!$C$16),"-",IF(SUMIF(Grades!$A:$A,$B$4,Grades!$BO:$BO)=0,"-",IF(AND($B$4="Salary Points 2 to 57",B63&gt;=Thresholds_Rates!$C$16),$C63*Thresholds_Rates!$F$15,IF(AND(OR($B$4="New Consultant Contract"),$B63&lt;&gt;""),$C63*Thresholds_Rates!$F$15,IF(AND(OR($B$4="Clinical Lecturer / Medical Research Fellow",$B$4="Clinical Consultant - Old Contract (GP)"),$B63&lt;&gt;""),$C63*Thresholds_Rates!$F$15,IF(OR($B$4="APM Level 7",$B$4="R&amp;T Level 7"),$C63*Thresholds_Rates!$F$15,IF(SUMIF(Grades!$A:$A,$B$4,Grades!$BO:$BO)=1,$C63*Thresholds_Rates!$F$15,""))))))))</f>
        <v/>
      </c>
      <c r="F63" s="24" t="str">
        <f ca="1">IF(B63="","",IF($B$4="Salary Points 2 to 57","-",IF(SUMIF(Grades!$A:$A,$B$4,Grades!$BP:$BP)=0,"-",IF(AND(OR($B$4="New Consultant Contract"),$B63&lt;&gt;""),$C63*Thresholds_Rates!$F$16,IF(AND(OR($B$4="Clinical Lecturer / Medical Research Fellow",$B$4="Clinical Consultant - Old Contract (GP)"),$B63&lt;&gt;""),$C63*Thresholds_Rates!$F$16,IF(AND(OR($B$4="APM Level 7",$B$4="R&amp;T Level 7"),E63&lt;&gt;""),$C63*Thresholds_Rates!$F$16,IF(SUMIF(Grades!$A:$A,$B$4,Grades!$BP:$BP)=1,$C63*Thresholds_Rates!$F$16,"")))))))</f>
        <v/>
      </c>
      <c r="G63" s="24" t="str">
        <f ca="1">IF($B$4="Apprenticeship","-",IF(B63="","",IF(SUMIF(Grades!$A:$A,$B$4,Grades!$BQ:$BQ)=0,"-",IF(AND($B$4="Salary Points 2 to 57",B63&gt;Thresholds_Rates!$C$17),"-",IF(AND($B$4="Salary Points 2 to 57",B63&lt;=Thresholds_Rates!$C$17),$C63*Thresholds_Rates!$F$17,IF(AND(OR($B$4="New Consultant Contract"),$B63&lt;&gt;""),$C63*Thresholds_Rates!$F$17,IF(AND(OR($B$4="Clinical Lecturer / Medical Research Fellow",$B$4="Clinical Consultant - Old Contract (GP)"),$B63&lt;&gt;""),$C63*Thresholds_Rates!$F$17,IF(AND(OR($B$4="APM Level 7",$B$4="R&amp;T Level 7"),F63&lt;&gt;""),$C63*Thresholds_Rates!$F$17,IF(SUMIF(Grades!$A:$A,$B$4,Grades!$BQ:$BQ)=1,$C63*Thresholds_Rates!$F$17,"")))))))))</f>
        <v/>
      </c>
      <c r="H63" s="24" t="str">
        <f ca="1">IF($B63="","",ROUND(($C63-(Thresholds_Rates!$C$5*12))*Thresholds_Rates!$C$10,0))</f>
        <v/>
      </c>
      <c r="I63" s="24" t="str">
        <f ca="1">IF(B63="","",IF(AND($B$4="Salary Points 2 to 57",B63&gt;Thresholds_Rates!$C$17),"-",IF(SUMIF(Grades!$A:$A,$B$4,Grades!$BR:$BR)=0,"-",IF(AND($B$4="Salary Points 2 to 57",B63&lt;=Thresholds_Rates!$C$17),$C63*Thresholds_Rates!$F$18,IF(AND(OR($B$4="New Consultant Contract"),$B63&lt;&gt;""),$C63*Thresholds_Rates!$F$18,IF(AND(OR($B$4="Clinical Lecturer / Medical Research Fellow",$B$4="Clinical Consultant - Old Contract (GP)"),$B63&lt;&gt;""),$C63*Thresholds_Rates!$F$18,IF(AND(OR($B$4="APM Level 7",$B$4="R&amp;T Level 7"),H63&lt;&gt;""),$C63*Thresholds_Rates!$F$18,IF(SUMIF(Grades!$A:$A,$B$4,Grades!$BQ:$BQ)=1,$C63*Thresholds_Rates!$F$18,""))))))))</f>
        <v/>
      </c>
      <c r="J63" s="4"/>
      <c r="K63" s="24" t="str">
        <f t="shared" ca="1" si="0"/>
        <v/>
      </c>
      <c r="L63" s="24" t="str">
        <f t="shared" ca="1" si="1"/>
        <v/>
      </c>
      <c r="M63" s="24" t="str">
        <f t="shared" ca="1" si="2"/>
        <v/>
      </c>
      <c r="N63" s="24" t="str">
        <f t="shared" ca="1" si="3"/>
        <v/>
      </c>
      <c r="O63" s="24" t="str">
        <f t="shared" ca="1" si="4"/>
        <v/>
      </c>
      <c r="Q63" s="27" t="str">
        <f ca="1">IF(B63="","",IF($B$4="R&amp;T Level 5 - Clinical Lecturers (Vet School)",SUMIF(Points_Lookup!$M:$M,$B63,Points_Lookup!$N:$N),IF($B$4="R&amp;T Level 6 - Clinical Associate Professors and Clinical Readers (Vet School)",SUMIF(Points_Lookup!$T:$T,$B63,Points_Lookup!$U:$U),"")))</f>
        <v/>
      </c>
      <c r="R63" s="28" t="str">
        <f ca="1">IF(B63="","",IF($B$4="R&amp;T Level 5 - Clinical Lecturers (Vet School)",$C63-SUMIF(Points_Lookup!$M:$M,$B63,Points_Lookup!$O:$O),IF($B$4="R&amp;T Level 6 - Clinical Associate Professors and Clinical Readers (Vet School)",$C63-SUMIF(Points_Lookup!$T:$T,$B63,Points_Lookup!$V:$V),"")))</f>
        <v/>
      </c>
      <c r="S63" s="27" t="str">
        <f ca="1">IF(B63="","",IF($B$4="R&amp;T Level 5 - Clinical Lecturers (Vet School)",SUMIF(Points_Lookup!$M:$M,$B63,Points_Lookup!$Q:$Q),IF($B$4="R&amp;T Level 6 - Clinical Associate Professors and Clinical Readers (Vet School)",SUMIF(Points_Lookup!$T:$T,$B63,Points_Lookup!$X:$X),"")))</f>
        <v/>
      </c>
      <c r="T63" s="28" t="str">
        <f t="shared" ca="1" si="6"/>
        <v/>
      </c>
      <c r="Y63" s="25">
        <v>55</v>
      </c>
    </row>
    <row r="64" spans="2:25" x14ac:dyDescent="0.25">
      <c r="B64" s="4" t="str">
        <f ca="1">IFERROR(INDEX(Points_Lookup!$A:$A,MATCH($Y64,Points_Lookup!$AE:$AE,0)),"")</f>
        <v/>
      </c>
      <c r="C64" s="24" t="str">
        <f ca="1">IF(B64="","",IF($B$4="Apprenticeship",SUMIF(Points_Lookup!$AA:$AA,B64,Points_Lookup!$AC:$AC),IF(AND(OR($B$4="New Consultant Contract"),$B64&lt;&gt;""),INDEX(Points_Lookup!$K:$K,MATCH($B64,Points_Lookup!$J:$J,0)),IF(AND(OR($B$4="Clinical Lecturer / Medical Research Fellow",$B$4="Clinical Consultant - Old Contract (GP)"),$B64&lt;&gt;""),INDEX(Points_Lookup!$H:$H,MATCH($B64,Points_Lookup!$G:$G,0)),IF(AND(OR($B$4="APM Level 7",$B$4="R&amp;T Level 7",$B$4="APM Level 8"),B64&lt;&gt;""),INDEX(Points_Lookup!$E:$E,MATCH($Y64,Points_Lookup!$AE:$AE,0)),IF($B$4="R&amp;T Level 5 - Clinical Lecturers (Vet School)",SUMIF(Points_Lookup!$M:$M,$B64,Points_Lookup!$P:$P),IF($B$4="R&amp;T Level 6 - Clinical Associate Professors and Clinical Readers (Vet School)",SUMIF(Points_Lookup!$T:$T,$B64,Points_Lookup!$W:$W),IFERROR(INDEX(Points_Lookup!$B:$B,MATCH($Y64,Points_Lookup!$AE:$AE,0)),""))))))))</f>
        <v/>
      </c>
      <c r="D64" s="39"/>
      <c r="E64" s="24" t="str">
        <f ca="1">IF($B64="","",IF(AND($B$4="Salary Points 2 to 57",B64&lt;Thresholds_Rates!$C$16),"-",IF(SUMIF(Grades!$A:$A,$B$4,Grades!$BO:$BO)=0,"-",IF(AND($B$4="Salary Points 2 to 57",B64&gt;=Thresholds_Rates!$C$16),$C64*Thresholds_Rates!$F$15,IF(AND(OR($B$4="New Consultant Contract"),$B64&lt;&gt;""),$C64*Thresholds_Rates!$F$15,IF(AND(OR($B$4="Clinical Lecturer / Medical Research Fellow",$B$4="Clinical Consultant - Old Contract (GP)"),$B64&lt;&gt;""),$C64*Thresholds_Rates!$F$15,IF(OR($B$4="APM Level 7",$B$4="R&amp;T Level 7"),$C64*Thresholds_Rates!$F$15,IF(SUMIF(Grades!$A:$A,$B$4,Grades!$BO:$BO)=1,$C64*Thresholds_Rates!$F$15,""))))))))</f>
        <v/>
      </c>
      <c r="F64" s="24" t="str">
        <f ca="1">IF(B64="","",IF($B$4="Salary Points 2 to 57","-",IF(SUMIF(Grades!$A:$A,$B$4,Grades!$BP:$BP)=0,"-",IF(AND(OR($B$4="New Consultant Contract"),$B64&lt;&gt;""),$C64*Thresholds_Rates!$F$16,IF(AND(OR($B$4="Clinical Lecturer / Medical Research Fellow",$B$4="Clinical Consultant - Old Contract (GP)"),$B64&lt;&gt;""),$C64*Thresholds_Rates!$F$16,IF(AND(OR($B$4="APM Level 7",$B$4="R&amp;T Level 7"),E64&lt;&gt;""),$C64*Thresholds_Rates!$F$16,IF(SUMIF(Grades!$A:$A,$B$4,Grades!$BP:$BP)=1,$C64*Thresholds_Rates!$F$16,"")))))))</f>
        <v/>
      </c>
      <c r="G64" s="24" t="str">
        <f ca="1">IF($B$4="Apprenticeship","-",IF(B64="","",IF(SUMIF(Grades!$A:$A,$B$4,Grades!$BQ:$BQ)=0,"-",IF(AND($B$4="Salary Points 2 to 57",B64&gt;Thresholds_Rates!$C$17),"-",IF(AND($B$4="Salary Points 2 to 57",B64&lt;=Thresholds_Rates!$C$17),$C64*Thresholds_Rates!$F$17,IF(AND(OR($B$4="New Consultant Contract"),$B64&lt;&gt;""),$C64*Thresholds_Rates!$F$17,IF(AND(OR($B$4="Clinical Lecturer / Medical Research Fellow",$B$4="Clinical Consultant - Old Contract (GP)"),$B64&lt;&gt;""),$C64*Thresholds_Rates!$F$17,IF(AND(OR($B$4="APM Level 7",$B$4="R&amp;T Level 7"),F64&lt;&gt;""),$C64*Thresholds_Rates!$F$17,IF(SUMIF(Grades!$A:$A,$B$4,Grades!$BQ:$BQ)=1,$C64*Thresholds_Rates!$F$17,"")))))))))</f>
        <v/>
      </c>
      <c r="H64" s="24" t="str">
        <f ca="1">IF($B64="","",ROUND(($C64-(Thresholds_Rates!$C$5*12))*Thresholds_Rates!$C$10,0))</f>
        <v/>
      </c>
      <c r="I64" s="24" t="str">
        <f ca="1">IF(B64="","",IF(AND($B$4="Salary Points 2 to 57",B64&gt;Thresholds_Rates!$C$17),"-",IF(SUMIF(Grades!$A:$A,$B$4,Grades!$BR:$BR)=0,"-",IF(AND($B$4="Salary Points 2 to 57",B64&lt;=Thresholds_Rates!$C$17),$C64*Thresholds_Rates!$F$18,IF(AND(OR($B$4="New Consultant Contract"),$B64&lt;&gt;""),$C64*Thresholds_Rates!$F$18,IF(AND(OR($B$4="Clinical Lecturer / Medical Research Fellow",$B$4="Clinical Consultant - Old Contract (GP)"),$B64&lt;&gt;""),$C64*Thresholds_Rates!$F$18,IF(AND(OR($B$4="APM Level 7",$B$4="R&amp;T Level 7"),H64&lt;&gt;""),$C64*Thresholds_Rates!$F$18,IF(SUMIF(Grades!$A:$A,$B$4,Grades!$BQ:$BQ)=1,$C64*Thresholds_Rates!$F$18,""))))))))</f>
        <v/>
      </c>
      <c r="J64" s="4"/>
      <c r="K64" s="24" t="str">
        <f t="shared" ca="1" si="0"/>
        <v/>
      </c>
      <c r="L64" s="24" t="str">
        <f t="shared" ca="1" si="1"/>
        <v/>
      </c>
      <c r="M64" s="24" t="str">
        <f t="shared" ca="1" si="2"/>
        <v/>
      </c>
      <c r="N64" s="24" t="str">
        <f t="shared" ca="1" si="3"/>
        <v/>
      </c>
      <c r="O64" s="24" t="str">
        <f t="shared" ca="1" si="4"/>
        <v/>
      </c>
      <c r="Q64" s="27" t="str">
        <f ca="1">IF(B64="","",IF($B$4="R&amp;T Level 5 - Clinical Lecturers (Vet School)",SUMIF(Points_Lookup!$M:$M,$B64,Points_Lookup!$N:$N),IF($B$4="R&amp;T Level 6 - Clinical Associate Professors and Clinical Readers (Vet School)",SUMIF(Points_Lookup!$T:$T,$B64,Points_Lookup!$U:$U),"")))</f>
        <v/>
      </c>
      <c r="R64" s="28" t="str">
        <f ca="1">IF(B64="","",IF($B$4="R&amp;T Level 5 - Clinical Lecturers (Vet School)",$C64-SUMIF(Points_Lookup!$M:$M,$B64,Points_Lookup!$O:$O),IF($B$4="R&amp;T Level 6 - Clinical Associate Professors and Clinical Readers (Vet School)",$C64-SUMIF(Points_Lookup!$T:$T,$B64,Points_Lookup!$V:$V),"")))</f>
        <v/>
      </c>
      <c r="S64" s="27" t="str">
        <f ca="1">IF(B64="","",IF($B$4="R&amp;T Level 5 - Clinical Lecturers (Vet School)",SUMIF(Points_Lookup!$M:$M,$B64,Points_Lookup!$Q:$Q),IF($B$4="R&amp;T Level 6 - Clinical Associate Professors and Clinical Readers (Vet School)",SUMIF(Points_Lookup!$T:$T,$B64,Points_Lookup!$X:$X),"")))</f>
        <v/>
      </c>
      <c r="T64" s="28" t="str">
        <f t="shared" ca="1" si="6"/>
        <v/>
      </c>
      <c r="Y64" s="25">
        <v>56</v>
      </c>
    </row>
    <row r="65" spans="2:25" x14ac:dyDescent="0.25">
      <c r="B65" s="4" t="str">
        <f ca="1">IFERROR(INDEX(Points_Lookup!$A:$A,MATCH($Y65,Points_Lookup!$AE:$AE,0)),"")</f>
        <v/>
      </c>
      <c r="C65" s="24" t="str">
        <f ca="1">IF(B65="","",IF($B$4="Apprenticeship",SUMIF(Points_Lookup!$AA:$AA,B65,Points_Lookup!$AC:$AC),IF(AND(OR($B$4="New Consultant Contract"),$B65&lt;&gt;""),INDEX(Points_Lookup!$K:$K,MATCH($B65,Points_Lookup!$J:$J,0)),IF(AND(OR($B$4="Clinical Lecturer / Medical Research Fellow",$B$4="Clinical Consultant - Old Contract (GP)"),$B65&lt;&gt;""),INDEX(Points_Lookup!$H:$H,MATCH($B65,Points_Lookup!$G:$G,0)),IF(AND(OR($B$4="APM Level 7",$B$4="R&amp;T Level 7",$B$4="APM Level 8"),B65&lt;&gt;""),INDEX(Points_Lookup!$E:$E,MATCH($Y65,Points_Lookup!$AE:$AE,0)),IF($B$4="R&amp;T Level 5 - Clinical Lecturers (Vet School)",SUMIF(Points_Lookup!$M:$M,$B65,Points_Lookup!$P:$P),IF($B$4="R&amp;T Level 6 - Clinical Associate Professors and Clinical Readers (Vet School)",SUMIF(Points_Lookup!$T:$T,$B65,Points_Lookup!$W:$W),IFERROR(INDEX(Points_Lookup!$B:$B,MATCH($Y65,Points_Lookup!$AE:$AE,0)),""))))))))</f>
        <v/>
      </c>
      <c r="D65" s="39"/>
      <c r="E65" s="24" t="str">
        <f ca="1">IF($B65="","",IF(AND($B$4="Salary Points 2 to 57",B65&lt;Thresholds_Rates!$C$16),"-",IF(SUMIF(Grades!$A:$A,$B$4,Grades!$BO:$BO)=0,"-",IF(AND($B$4="Salary Points 2 to 57",B65&gt;=Thresholds_Rates!$C$16),$C65*Thresholds_Rates!$F$15,IF(AND(OR($B$4="New Consultant Contract"),$B65&lt;&gt;""),$C65*Thresholds_Rates!$F$15,IF(AND(OR($B$4="Clinical Lecturer / Medical Research Fellow",$B$4="Clinical Consultant - Old Contract (GP)"),$B65&lt;&gt;""),$C65*Thresholds_Rates!$F$15,IF(OR($B$4="APM Level 7",$B$4="R&amp;T Level 7"),$C65*Thresholds_Rates!$F$15,IF(SUMIF(Grades!$A:$A,$B$4,Grades!$BO:$BO)=1,$C65*Thresholds_Rates!$F$15,""))))))))</f>
        <v/>
      </c>
      <c r="F65" s="24" t="str">
        <f ca="1">IF(B65="","",IF($B$4="Salary Points 1 to 57","-",IF(SUMIF(Grades!$A:$A,$B$4,Grades!$BP:$BP)=0,"-",IF(AND(OR($B$4="New Consultant Contract"),$B65&lt;&gt;""),$C65*Thresholds_Rates!$F$16,IF(AND(OR($B$4="Clinical Lecturer / Medical Research Fellow",$B$4="Clinical Consultant - Old Contract (GP)"),$B65&lt;&gt;""),$C65*Thresholds_Rates!$F$16,IF(AND(OR($B$4="APM Level 7",$B$4="R&amp;T Level 7"),E65&lt;&gt;""),$C65*Thresholds_Rates!$F$16,IF(SUMIF(Grades!$A:$A,$B$4,Grades!$BP:$BP)=1,$C65*Thresholds_Rates!$F$16,"")))))))</f>
        <v/>
      </c>
      <c r="G65" s="24" t="str">
        <f ca="1">IF(B65="","",IF(SUMIF(Grades!$A:$A,$B$4,Grades!$BQ:$BQ)=0,"-",IF(AND($B$4="Salary Points 1 to 57",B65&gt;Thresholds_Rates!$C$17),"-",IF(AND($B$4="Salary Points 1 to 57",B65&lt;=Thresholds_Rates!$C$17),$C65*Thresholds_Rates!$F$17,IF(AND(OR($B$4="New Consultant Contract"),$B65&lt;&gt;""),$C65*Thresholds_Rates!$F$17,IF(AND(OR($B$4="Clinical Lecturer / Medical Research Fellow",$B$4="Clinical Consultant - Old Contract (GP)"),$B65&lt;&gt;""),$C65*Thresholds_Rates!$F$17,IF(AND(OR($B$4="APM Level 7",$B$4="R&amp;T Level 7"),F65&lt;&gt;""),$C65*Thresholds_Rates!$F$17,IF(SUMIF(Grades!$A:$A,$B$4,Grades!$BQ:$BQ)=1,$C65*Thresholds_Rates!$F$17,""))))))))</f>
        <v/>
      </c>
      <c r="H65" s="24" t="str">
        <f ca="1">IF($B65="","",ROUND(($C65-(Thresholds_Rates!$C$5*12))*Thresholds_Rates!$C$10,0))</f>
        <v/>
      </c>
      <c r="I65" s="24" t="str">
        <f ca="1">IF(B65="","",IF(AND($B$4="Salary Points 1 to 57",B65&gt;Thresholds_Rates!$C$17),"-",IF(SUMIF(Grades!$A:$A,$B$4,Grades!$BR:$BR)=0,"-",IF(AND($B$4="Salary Points 1 to 57",B65&lt;=Thresholds_Rates!$C$17),$C65*Thresholds_Rates!$F$18,IF(AND(OR($B$4="New Consultant Contract"),$B65&lt;&gt;""),$C65*Thresholds_Rates!$F$18,IF(AND(OR($B$4="Clinical Lecturer / Medical Research Fellow",$B$4="Clinical Consultant - Old Contract (GP)"),$B65&lt;&gt;""),$C65*Thresholds_Rates!$F$18,IF(AND(OR($B$4="APM Level 7",$B$4="R&amp;T Level 7"),H65&lt;&gt;""),$C65*Thresholds_Rates!$F$18,IF(SUMIF(Grades!$A:$A,$B$4,Grades!$BQ:$BQ)=1,$C65*Thresholds_Rates!$F$18,""))))))))</f>
        <v/>
      </c>
      <c r="J65" s="4"/>
      <c r="K65" s="24" t="str">
        <f t="shared" ca="1" si="0"/>
        <v/>
      </c>
      <c r="L65" s="24" t="str">
        <f t="shared" ca="1" si="1"/>
        <v/>
      </c>
      <c r="M65" s="24" t="str">
        <f t="shared" ca="1" si="2"/>
        <v/>
      </c>
      <c r="N65" s="24" t="str">
        <f t="shared" ca="1" si="3"/>
        <v/>
      </c>
      <c r="O65" s="24" t="str">
        <f t="shared" ca="1" si="4"/>
        <v/>
      </c>
      <c r="Q65" s="27" t="str">
        <f ca="1">IF(B65="","",IF($B$4="R&amp;T Level 5 - Clinical Lecturers (Vet School)",SUMIF(Points_Lookup!$M:$M,$B65,Points_Lookup!$N:$N),IF($B$4="R&amp;T Level 6 - Clinical Associate Professors and Clinical Readers (Vet School)",SUMIF(Points_Lookup!$T:$T,$B65,Points_Lookup!$U:$U),"")))</f>
        <v/>
      </c>
      <c r="R65" s="28" t="str">
        <f ca="1">IF(B65="","",IF($B$4="R&amp;T Level 5 - Clinical Lecturers (Vet School)",$C65-SUMIF(Points_Lookup!$M:$M,$B65,Points_Lookup!$O:$O),IF($B$4="R&amp;T Level 6 - Clinical Associate Professors and Clinical Readers (Vet School)",$C65-SUMIF(Points_Lookup!$T:$T,$B65,Points_Lookup!$V:$V),"")))</f>
        <v/>
      </c>
      <c r="S65" s="27" t="str">
        <f ca="1">IF(B65="","",IF($B$4="R&amp;T Level 5 - Clinical Lecturers (Vet School)",SUMIF(Points_Lookup!$M:$M,$B65,Points_Lookup!$Q:$Q),IF($B$4="R&amp;T Level 6 - Clinical Associate Professors and Clinical Readers (Vet School)",SUMIF(Points_Lookup!$T:$T,$B65,Points_Lookup!$X:$X),"")))</f>
        <v/>
      </c>
      <c r="T65" s="28" t="str">
        <f t="shared" ca="1" si="6"/>
        <v/>
      </c>
      <c r="Y65" s="25">
        <v>57</v>
      </c>
    </row>
    <row r="66" spans="2:25" x14ac:dyDescent="0.25">
      <c r="B66" s="4" t="str">
        <f ca="1">IFERROR(INDEX(Points_Lookup!$A:$A,MATCH($Y68,Points_Lookup!$AE:$AE,0)),"")</f>
        <v/>
      </c>
      <c r="C66" s="24" t="str">
        <f ca="1">IF(B66="","",IF($B$4="Apprenticeship",SUMIF(Points_Lookup!$AA:$AA,B66,Points_Lookup!$AC:$AC),IF(AND(OR($B$4="New Consultant Contract"),$B66&lt;&gt;""),INDEX(Points_Lookup!$K:$K,MATCH($B66,Points_Lookup!$J:$J,0)),IF(AND(OR($B$4="Clinical Lecturer / Medical Research Fellow",$B$4="Clinical Consultant - Old Contract (GP)"),$B66&lt;&gt;""),INDEX(Points_Lookup!$H:$H,MATCH($B66,Points_Lookup!$G:$G,0)),IF(AND(OR($B$4="APM Level 7",$B$4="R&amp;T Level 7",$B$4="APM Level 8"),B66&lt;&gt;""),INDEX(Points_Lookup!$E:$E,MATCH($Y66,Points_Lookup!$AE:$AE,0)),IF($B$4="R&amp;T Level 5 - Clinical Lecturers (Vet School)",SUMIF(Points_Lookup!$M:$M,$B66,Points_Lookup!$P:$P),IF($B$4="R&amp;T Level 6 - Clinical Associate Professors and Clinical Readers (Vet School)",SUMIF(Points_Lookup!$T:$T,$B66,Points_Lookup!$W:$W),IFERROR(INDEX(Points_Lookup!$B:$B,MATCH($Y66,Points_Lookup!$AE:$AE,0)),""))))))))</f>
        <v/>
      </c>
      <c r="D66" s="39"/>
      <c r="E66" s="24" t="str">
        <f ca="1">IF($B66="","",IF(AND($B$4="Salary Points 2 to 57",B66&lt;Thresholds_Rates!$C$16),"-",IF(SUMIF(Grades!$A:$A,$B$4,Grades!$BO:$BO)=0,"-",IF(AND($B$4="Salary Points 2 to 57",B66&gt;=Thresholds_Rates!$C$16),$C66*Thresholds_Rates!$F$15,IF(AND(OR($B$4="New Consultant Contract"),$B66&lt;&gt;""),$C66*Thresholds_Rates!$F$15,IF(AND(OR($B$4="Clinical Lecturer / Medical Research Fellow",$B$4="Clinical Consultant - Old Contract (GP)"),$B66&lt;&gt;""),$C66*Thresholds_Rates!$F$15,IF(OR($B$4="APM Level 7",$B$4="R&amp;T Level 7"),$C66*Thresholds_Rates!$F$15,IF(SUMIF(Grades!$A:$A,$B$4,Grades!$BO:$BO)=1,$C66*Thresholds_Rates!$F$15,""))))))))</f>
        <v/>
      </c>
      <c r="F66" s="24" t="str">
        <f ca="1">IF(B66="","",IF($B$4="Salary Points 1 to 57","-",IF(SUMIF(Grades!$A:$A,$B$4,Grades!$BP:$BP)=0,"-",IF(AND(OR($B$4="New Consultant Contract"),$B66&lt;&gt;""),$C66*Thresholds_Rates!$F$16,IF(AND(OR($B$4="Clinical Lecturer / Medical Research Fellow",$B$4="Clinical Consultant - Old Contract (GP)"),$B66&lt;&gt;""),$C66*Thresholds_Rates!$F$16,IF(AND(OR($B$4="APM Level 7",$B$4="R&amp;T Level 7"),E66&lt;&gt;""),$C66*Thresholds_Rates!$F$16,IF(SUMIF(Grades!$A:$A,$B$4,Grades!$BP:$BP)=1,$C66*Thresholds_Rates!$F$16,"")))))))</f>
        <v/>
      </c>
      <c r="G66" s="24" t="str">
        <f ca="1">IF(B66="","",IF(SUMIF(Grades!$A:$A,$B$4,Grades!$BQ:$BQ)=0,"-",IF(AND($B$4="Salary Points 1 to 57",B66&gt;Thresholds_Rates!$C$17),"-",IF(AND($B$4="Salary Points 1 to 57",B66&lt;=Thresholds_Rates!$C$17),$C66*Thresholds_Rates!$F$17,IF(AND(OR($B$4="New Consultant Contract"),$B66&lt;&gt;""),$C66*Thresholds_Rates!$F$17,IF(AND(OR($B$4="Clinical Lecturer / Medical Research Fellow",$B$4="Clinical Consultant - Old Contract (GP)"),$B66&lt;&gt;""),$C66*Thresholds_Rates!$F$17,IF(AND(OR($B$4="APM Level 7",$B$4="R&amp;T Level 7"),F66&lt;&gt;""),$C66*Thresholds_Rates!$F$17,IF(SUMIF(Grades!$A:$A,$B$4,Grades!$BQ:$BQ)=1,$C66*Thresholds_Rates!$F$17,""))))))))</f>
        <v/>
      </c>
      <c r="H66" s="24" t="str">
        <f ca="1">IF($B66="","",ROUND(($C66-(Thresholds_Rates!$C$5*12))*Thresholds_Rates!$C$10,0))</f>
        <v/>
      </c>
      <c r="I66" s="24" t="str">
        <f ca="1">IF(B66="","",IF(AND($B$4="Salary Points 1 to 57",B66&gt;Thresholds_Rates!$C$17),"-",IF(SUMIF(Grades!$A:$A,$B$4,Grades!$BR:$BR)=0,"-",IF(AND($B$4="Salary Points 1 to 57",B66&lt;=Thresholds_Rates!$C$17),$C66*Thresholds_Rates!$F$18,IF(AND(OR($B$4="New Consultant Contract"),$B66&lt;&gt;""),$C66*Thresholds_Rates!$F$18,IF(AND(OR($B$4="Clinical Lecturer / Medical Research Fellow",$B$4="Clinical Consultant - Old Contract (GP)"),$B66&lt;&gt;""),$C66*Thresholds_Rates!$F$18,IF(AND(OR($B$4="APM Level 7",$B$4="R&amp;T Level 7"),H66&lt;&gt;""),$C66*Thresholds_Rates!$F$18,IF(SUMIF(Grades!$A:$A,$B$4,Grades!$BQ:$BQ)=1,$C66*Thresholds_Rates!$F$18,""))))))))</f>
        <v/>
      </c>
      <c r="J66" s="4"/>
      <c r="K66" s="24" t="str">
        <f t="shared" ca="1" si="0"/>
        <v/>
      </c>
      <c r="L66" s="24" t="str">
        <f t="shared" ca="1" si="1"/>
        <v/>
      </c>
      <c r="M66" s="24" t="str">
        <f t="shared" ca="1" si="2"/>
        <v/>
      </c>
      <c r="N66" s="24" t="str">
        <f t="shared" ca="1" si="3"/>
        <v/>
      </c>
      <c r="O66" s="24" t="str">
        <f t="shared" ca="1" si="4"/>
        <v/>
      </c>
      <c r="Q66" s="27" t="str">
        <f ca="1">IF(B66="","",IF($B$4="R&amp;T Level 5 - Clinical Lecturers (Vet School)",SUMIF(Points_Lookup!$M:$M,$B66,Points_Lookup!$N:$N),IF($B$4="R&amp;T Level 6 - Clinical Associate Professors and Clinical Readers (Vet School)",SUMIF(Points_Lookup!$T:$T,$B66,Points_Lookup!$U:$U),"")))</f>
        <v/>
      </c>
      <c r="R66" s="28" t="str">
        <f ca="1">IF(B66="","",IF($B$4="R&amp;T Level 5 - Clinical Lecturers (Vet School)",$C66-SUMIF(Points_Lookup!$M:$M,$B66,Points_Lookup!$O:$O),IF($B$4="R&amp;T Level 6 - Clinical Associate Professors and Clinical Readers (Vet School)",$C66-SUMIF(Points_Lookup!$T:$T,$B66,Points_Lookup!$V:$V),"")))</f>
        <v/>
      </c>
      <c r="S66" s="27" t="str">
        <f ca="1">IF(B66="","",IF($B$4="R&amp;T Level 5 - Clinical Lecturers (Vet School)",SUMIF(Points_Lookup!$M:$M,$B66,Points_Lookup!$Q:$Q),IF($B$4="R&amp;T Level 6 - Clinical Associate Professors and Clinical Readers (Vet School)",SUMIF(Points_Lookup!$T:$T,$B66,Points_Lookup!$X:$X),"")))</f>
        <v/>
      </c>
      <c r="T66" s="28" t="str">
        <f t="shared" ca="1" si="6"/>
        <v/>
      </c>
    </row>
    <row r="67" spans="2:25" x14ac:dyDescent="0.25">
      <c r="B67" s="4" t="str">
        <f ca="1">IFERROR(INDEX(Points_Lookup!$A:$A,MATCH($Y69,Points_Lookup!$AE:$AE,0)),"")</f>
        <v/>
      </c>
      <c r="C67" s="24" t="str">
        <f ca="1">IF(B67="","",IF($B$4="Apprenticeship",SUMIF(Points_Lookup!$AA:$AA,B67,Points_Lookup!$AC:$AC),IF(AND(OR($B$4="New Consultant Contract"),$B67&lt;&gt;""),INDEX(Points_Lookup!$K:$K,MATCH($B67,Points_Lookup!$J:$J,0)),IF(AND(OR($B$4="Clinical Lecturer / Medical Research Fellow",$B$4="Clinical Consultant - Old Contract (GP)"),$B67&lt;&gt;""),INDEX(Points_Lookup!$H:$H,MATCH($B67,Points_Lookup!$G:$G,0)),IF(AND(OR($B$4="APM Level 7",$B$4="R&amp;T Level 7",$B$4="APM Level 8"),B67&lt;&gt;""),INDEX(Points_Lookup!$E:$E,MATCH($Y67,Points_Lookup!$AE:$AE,0)),IF($B$4="R&amp;T Level 5 - Clinical Lecturers (Vet School)",SUMIF(Points_Lookup!$M:$M,$B67,Points_Lookup!$P:$P),IF($B$4="R&amp;T Level 6 - Clinical Associate Professors and Clinical Readers (Vet School)",SUMIF(Points_Lookup!$T:$T,$B67,Points_Lookup!$W:$W),IFERROR(INDEX(Points_Lookup!$B:$B,MATCH($Y67,Points_Lookup!$AE:$AE,0)),""))))))))</f>
        <v/>
      </c>
      <c r="D67" s="39"/>
      <c r="E67" s="24" t="str">
        <f ca="1">IF($B67="","",IF(AND($B$4="Salary Points 2 to 57",B67&lt;Thresholds_Rates!$C$16),"-",IF(SUMIF(Grades!$A:$A,$B$4,Grades!$BO:$BO)=0,"-",IF(AND($B$4="Salary Points 2 to 57",B67&gt;=Thresholds_Rates!$C$16),$C67*Thresholds_Rates!$F$15,IF(AND(OR($B$4="New Consultant Contract"),$B67&lt;&gt;""),$C67*Thresholds_Rates!$F$15,IF(AND(OR($B$4="Clinical Lecturer / Medical Research Fellow",$B$4="Clinical Consultant - Old Contract (GP)"),$B67&lt;&gt;""),$C67*Thresholds_Rates!$F$15,IF(OR($B$4="APM Level 7",$B$4="R&amp;T Level 7"),$C67*Thresholds_Rates!$F$15,IF(SUMIF(Grades!$A:$A,$B$4,Grades!$BO:$BO)=1,$C67*Thresholds_Rates!$F$15,""))))))))</f>
        <v/>
      </c>
      <c r="F67" s="24" t="str">
        <f ca="1">IF(B67="","",IF($B$4="Salary Points 1 to 57","-",IF(SUMIF(Grades!$A:$A,$B$4,Grades!$BP:$BP)=0,"-",IF(AND(OR($B$4="New Consultant Contract"),$B67&lt;&gt;""),$C67*Thresholds_Rates!$F$16,IF(AND(OR($B$4="Clinical Lecturer / Medical Research Fellow",$B$4="Clinical Consultant - Old Contract (GP)"),$B67&lt;&gt;""),$C67*Thresholds_Rates!$F$16,IF(AND(OR($B$4="APM Level 7",$B$4="R&amp;T Level 7"),E67&lt;&gt;""),$C67*Thresholds_Rates!$F$16,IF(SUMIF(Grades!$A:$A,$B$4,Grades!$BP:$BP)=1,$C67*Thresholds_Rates!$F$16,"")))))))</f>
        <v/>
      </c>
      <c r="G67" s="24" t="str">
        <f ca="1">IF(B67="","",IF(SUMIF(Grades!$A:$A,$B$4,Grades!$BQ:$BQ)=0,"-",IF(AND($B$4="Salary Points 1 to 57",B67&gt;Thresholds_Rates!$C$17),"-",IF(AND($B$4="Salary Points 1 to 57",B67&lt;=Thresholds_Rates!$C$17),$C67*Thresholds_Rates!$F$17,IF(AND(OR($B$4="New Consultant Contract"),$B67&lt;&gt;""),$C67*Thresholds_Rates!$F$17,IF(AND(OR($B$4="Clinical Lecturer / Medical Research Fellow",$B$4="Clinical Consultant - Old Contract (GP)"),$B67&lt;&gt;""),$C67*Thresholds_Rates!$F$17,IF(AND(OR($B$4="APM Level 7",$B$4="R&amp;T Level 7"),F67&lt;&gt;""),$C67*Thresholds_Rates!$F$17,IF(SUMIF(Grades!$A:$A,$B$4,Grades!$BQ:$BQ)=1,$C67*Thresholds_Rates!$F$17,""))))))))</f>
        <v/>
      </c>
      <c r="H67" s="24" t="str">
        <f ca="1">IF($B67="","",ROUND(($C67-(Thresholds_Rates!$C$5*12))*Thresholds_Rates!$C$10,0))</f>
        <v/>
      </c>
      <c r="I67" s="24" t="str">
        <f ca="1">IF(B67="","",IF(AND($B$4="Salary Points 1 to 57",B67&gt;Thresholds_Rates!$C$17),"-",IF(SUMIF(Grades!$A:$A,$B$4,Grades!$BR:$BR)=0,"-",IF(AND($B$4="Salary Points 1 to 57",B67&lt;=Thresholds_Rates!$C$17),$C67*Thresholds_Rates!$F$18,IF(AND(OR($B$4="New Consultant Contract"),$B67&lt;&gt;""),$C67*Thresholds_Rates!$F$18,IF(AND(OR($B$4="Clinical Lecturer / Medical Research Fellow",$B$4="Clinical Consultant - Old Contract (GP)"),$B67&lt;&gt;""),$C67*Thresholds_Rates!$F$18,IF(AND(OR($B$4="APM Level 7",$B$4="R&amp;T Level 7"),H67&lt;&gt;""),$C67*Thresholds_Rates!$F$18,IF(SUMIF(Grades!$A:$A,$B$4,Grades!$BQ:$BQ)=1,$C67*Thresholds_Rates!$F$18,""))))))))</f>
        <v/>
      </c>
      <c r="J67" s="4"/>
      <c r="K67" s="24" t="str">
        <f t="shared" ca="1" si="0"/>
        <v/>
      </c>
      <c r="L67" s="24" t="str">
        <f t="shared" ca="1" si="1"/>
        <v/>
      </c>
      <c r="M67" s="24" t="str">
        <f t="shared" ca="1" si="2"/>
        <v/>
      </c>
      <c r="N67" s="24" t="str">
        <f t="shared" ca="1" si="3"/>
        <v/>
      </c>
      <c r="O67" s="24" t="str">
        <f t="shared" ca="1" si="4"/>
        <v/>
      </c>
      <c r="Q67" s="27" t="str">
        <f ca="1">IF(B67="","",IF($B$4="R&amp;T Level 5 - Clinical Lecturers (Vet School)",SUMIF(Points_Lookup!$M:$M,$B67,Points_Lookup!$N:$N),IF($B$4="R&amp;T Level 6 - Clinical Associate Professors and Clinical Readers (Vet School)",SUMIF(Points_Lookup!$T:$T,$B67,Points_Lookup!$U:$U),"")))</f>
        <v/>
      </c>
      <c r="R67" s="28" t="str">
        <f ca="1">IF(B67="","",IF($B$4="R&amp;T Level 5 - Clinical Lecturers (Vet School)",$C67-SUMIF(Points_Lookup!$M:$M,$B67,Points_Lookup!$O:$O),IF($B$4="R&amp;T Level 6 - Clinical Associate Professors and Clinical Readers (Vet School)",$C67-SUMIF(Points_Lookup!$T:$T,$B67,Points_Lookup!$V:$V),"")))</f>
        <v/>
      </c>
      <c r="S67" s="27" t="str">
        <f ca="1">IF(B67="","",IF($B$4="R&amp;T Level 5 - Clinical Lecturers (Vet School)",SUMIF(Points_Lookup!$M:$M,$B67,Points_Lookup!$Q:$Q),IF($B$4="R&amp;T Level 6 - Clinical Associate Professors and Clinical Readers (Vet School)",SUMIF(Points_Lookup!$T:$T,$B67,Points_Lookup!$X:$X),"")))</f>
        <v/>
      </c>
      <c r="T67" s="28" t="str">
        <f t="shared" ca="1" si="6"/>
        <v/>
      </c>
    </row>
    <row r="68" spans="2:25" x14ac:dyDescent="0.25">
      <c r="B68" s="4" t="str">
        <f ca="1">IFERROR(INDEX(Points_Lookup!$A:$A,MATCH($Y70,Points_Lookup!$AE:$AE,0)),"")</f>
        <v/>
      </c>
      <c r="C68" s="24" t="str">
        <f ca="1">IF(B68="","",IF($B$4="Apprenticeship",SUMIF(Points_Lookup!$AA:$AA,B68,Points_Lookup!$AC:$AC),IF(AND(OR($B$4="New Consultant Contract"),$B68&lt;&gt;""),INDEX(Points_Lookup!$K:$K,MATCH($B68,Points_Lookup!$J:$J,0)),IF(AND(OR($B$4="Clinical Lecturer / Medical Research Fellow",$B$4="Clinical Consultant - Old Contract (GP)"),$B68&lt;&gt;""),INDEX(Points_Lookup!$H:$H,MATCH($B68,Points_Lookup!$G:$G,0)),IF(AND(OR($B$4="APM Level 7",$B$4="R&amp;T Level 7",$B$4="APM Level 8"),B68&lt;&gt;""),INDEX(Points_Lookup!$E:$E,MATCH($Y68,Points_Lookup!$AE:$AE,0)),IF($B$4="R&amp;T Level 5 - Clinical Lecturers (Vet School)",SUMIF(Points_Lookup!$M:$M,$B68,Points_Lookup!$P:$P),IF($B$4="R&amp;T Level 6 - Clinical Associate Professors and Clinical Readers (Vet School)",SUMIF(Points_Lookup!$T:$T,$B68,Points_Lookup!$W:$W),IFERROR(INDEX(Points_Lookup!$B:$B,MATCH($Y68,Points_Lookup!$AE:$AE,0)),""))))))))</f>
        <v/>
      </c>
      <c r="D68" s="39"/>
      <c r="E68" s="24" t="str">
        <f ca="1">IF($B68="","",IF(AND($B$4="Salary Points 2 to 57",B68&lt;Thresholds_Rates!$C$16),"-",IF(SUMIF(Grades!$A:$A,$B$4,Grades!$BO:$BO)=0,"-",IF(AND($B$4="Salary Points 2 to 57",B68&gt;=Thresholds_Rates!$C$16),$C68*Thresholds_Rates!$F$15,IF(AND(OR($B$4="New Consultant Contract"),$B68&lt;&gt;""),$C68*Thresholds_Rates!$F$15,IF(AND(OR($B$4="Clinical Lecturer / Medical Research Fellow",$B$4="Clinical Consultant - Old Contract (GP)"),$B68&lt;&gt;""),$C68*Thresholds_Rates!$F$15,IF(OR($B$4="APM Level 7",$B$4="R&amp;T Level 7"),$C68*Thresholds_Rates!$F$15,IF(SUMIF(Grades!$A:$A,$B$4,Grades!$BO:$BO)=1,$C68*Thresholds_Rates!$F$15,""))))))))</f>
        <v/>
      </c>
      <c r="F68" s="24" t="str">
        <f ca="1">IF(B68="","",IF($B$4="Salary Points 1 to 57","-",IF(SUMIF(Grades!$A:$A,$B$4,Grades!$BP:$BP)=0,"-",IF(AND(OR($B$4="New Consultant Contract"),$B68&lt;&gt;""),$C68*Thresholds_Rates!$F$16,IF(AND(OR($B$4="Clinical Lecturer / Medical Research Fellow",$B$4="Clinical Consultant - Old Contract (GP)"),$B68&lt;&gt;""),$C68*Thresholds_Rates!$F$16,IF(AND(OR($B$4="APM Level 7",$B$4="R&amp;T Level 7"),E68&lt;&gt;""),$C68*Thresholds_Rates!$F$16,IF(SUMIF(Grades!$A:$A,$B$4,Grades!$BP:$BP)=1,$C68*Thresholds_Rates!$F$16,"")))))))</f>
        <v/>
      </c>
      <c r="G68" s="24" t="str">
        <f ca="1">IF(B68="","",IF(SUMIF(Grades!$A:$A,$B$4,Grades!$BQ:$BQ)=0,"-",IF(AND($B$4="Salary Points 1 to 57",B68&gt;Thresholds_Rates!$C$17),"-",IF(AND($B$4="Salary Points 1 to 57",B68&lt;=Thresholds_Rates!$C$17),$C68*Thresholds_Rates!$F$17,IF(AND(OR($B$4="New Consultant Contract"),$B68&lt;&gt;""),$C68*Thresholds_Rates!$F$17,IF(AND(OR($B$4="Clinical Lecturer / Medical Research Fellow",$B$4="Clinical Consultant - Old Contract (GP)"),$B68&lt;&gt;""),$C68*Thresholds_Rates!$F$17,IF(AND(OR($B$4="APM Level 7",$B$4="R&amp;T Level 7"),F68&lt;&gt;""),$C68*Thresholds_Rates!$F$17,IF(SUMIF(Grades!$A:$A,$B$4,Grades!$BQ:$BQ)=1,$C68*Thresholds_Rates!$F$17,""))))))))</f>
        <v/>
      </c>
      <c r="H68" s="24" t="str">
        <f ca="1">IF($B68="","",ROUND(($C68-(Thresholds_Rates!$C$5*12))*Thresholds_Rates!$C$10,0))</f>
        <v/>
      </c>
      <c r="I68" s="24" t="str">
        <f ca="1">IF(B68="","",IF(AND($B$4="Salary Points 1 to 57",B68&gt;Thresholds_Rates!$C$17),"-",IF(SUMIF(Grades!$A:$A,$B$4,Grades!$BR:$BR)=0,"-",IF(AND($B$4="Salary Points 1 to 57",B68&lt;=Thresholds_Rates!$C$17),$C68*Thresholds_Rates!$F$18,IF(AND(OR($B$4="New Consultant Contract"),$B68&lt;&gt;""),$C68*Thresholds_Rates!$F$18,IF(AND(OR($B$4="Clinical Lecturer / Medical Research Fellow",$B$4="Clinical Consultant - Old Contract (GP)"),$B68&lt;&gt;""),$C68*Thresholds_Rates!$F$18,IF(AND(OR($B$4="APM Level 7",$B$4="R&amp;T Level 7"),H68&lt;&gt;""),$C68*Thresholds_Rates!$F$18,IF(SUMIF(Grades!$A:$A,$B$4,Grades!$BQ:$BQ)=1,$C68*Thresholds_Rates!$F$18,""))))))))</f>
        <v/>
      </c>
      <c r="J68" s="4"/>
      <c r="K68" s="24" t="str">
        <f t="shared" ca="1" si="0"/>
        <v/>
      </c>
      <c r="L68" s="24" t="str">
        <f t="shared" ca="1" si="1"/>
        <v/>
      </c>
      <c r="M68" s="24" t="str">
        <f t="shared" ca="1" si="2"/>
        <v/>
      </c>
      <c r="N68" s="24" t="str">
        <f t="shared" ca="1" si="3"/>
        <v/>
      </c>
      <c r="O68" s="24" t="str">
        <f t="shared" ca="1" si="4"/>
        <v/>
      </c>
      <c r="Q68" s="27" t="str">
        <f ca="1">IF(B68="","",IF($B$4="R&amp;T Level 5 - Clinical Lecturers (Vet School)",SUMIF(Points_Lookup!$M:$M,$B68,Points_Lookup!$N:$N),IF($B$4="R&amp;T Level 6 - Clinical Associate Professors and Clinical Readers (Vet School)",SUMIF(Points_Lookup!$T:$T,$B68,Points_Lookup!$U:$U),"")))</f>
        <v/>
      </c>
      <c r="R68" s="28" t="str">
        <f ca="1">IF(B68="","",IF($B$4="R&amp;T Level 5 - Clinical Lecturers (Vet School)",$C68-SUMIF(Points_Lookup!$M:$M,$B68,Points_Lookup!$O:$O),IF($B$4="R&amp;T Level 6 - Clinical Associate Professors and Clinical Readers (Vet School)",$C68-SUMIF(Points_Lookup!$T:$T,$B68,Points_Lookup!$V:$V),"")))</f>
        <v/>
      </c>
      <c r="S68" s="27" t="str">
        <f ca="1">IF(B68="","",IF($B$4="R&amp;T Level 5 - Clinical Lecturers (Vet School)",SUMIF(Points_Lookup!$M:$M,$B68,Points_Lookup!$Q:$Q),IF($B$4="R&amp;T Level 6 - Clinical Associate Professors and Clinical Readers (Vet School)",SUMIF(Points_Lookup!$T:$T,$B68,Points_Lookup!$X:$X),"")))</f>
        <v/>
      </c>
      <c r="T68" s="28" t="str">
        <f t="shared" ca="1" si="6"/>
        <v/>
      </c>
    </row>
    <row r="69" spans="2:25" x14ac:dyDescent="0.25">
      <c r="B69" s="4" t="str">
        <f ca="1">IFERROR(INDEX(Points_Lookup!$A:$A,MATCH($Y71,Points_Lookup!$AE:$AE,0)),"")</f>
        <v/>
      </c>
      <c r="C69" s="24" t="str">
        <f ca="1">IF(B69="","",IF($B$4="Apprenticeship",SUMIF(Points_Lookup!$AA:$AA,B69,Points_Lookup!$AC:$AC),IF(AND(OR($B$4="New Consultant Contract"),$B69&lt;&gt;""),INDEX(Points_Lookup!$K:$K,MATCH($B69,Points_Lookup!$J:$J,0)),IF(AND(OR($B$4="Clinical Lecturer / Medical Research Fellow",$B$4="Clinical Consultant - Old Contract (GP)"),$B69&lt;&gt;""),INDEX(Points_Lookup!$H:$H,MATCH($B69,Points_Lookup!$G:$G,0)),IF(AND(OR($B$4="APM Level 7",$B$4="R&amp;T Level 7",$B$4="APM Level 8"),B69&lt;&gt;""),INDEX(Points_Lookup!$E:$E,MATCH($Y69,Points_Lookup!$AE:$AE,0)),IF($B$4="R&amp;T Level 5 - Clinical Lecturers (Vet School)",SUMIF(Points_Lookup!$M:$M,$B69,Points_Lookup!$P:$P),IF($B$4="R&amp;T Level 6 - Clinical Associate Professors and Clinical Readers (Vet School)",SUMIF(Points_Lookup!$T:$T,$B69,Points_Lookup!$W:$W),IFERROR(INDEX(Points_Lookup!$B:$B,MATCH($Y69,Points_Lookup!$AE:$AE,0)),""))))))))</f>
        <v/>
      </c>
      <c r="D69" s="39"/>
      <c r="E69" s="24" t="str">
        <f ca="1">IF($B69="","",IF(AND($B$4="Salary Points 2 to 57",B69&lt;Thresholds_Rates!$C$16),"-",IF(SUMIF(Grades!$A:$A,$B$4,Grades!$BO:$BO)=0,"-",IF(AND($B$4="Salary Points 2 to 57",B69&gt;=Thresholds_Rates!$C$16),$C69*Thresholds_Rates!$F$15,IF(AND(OR($B$4="New Consultant Contract"),$B69&lt;&gt;""),$C69*Thresholds_Rates!$F$15,IF(AND(OR($B$4="Clinical Lecturer / Medical Research Fellow",$B$4="Clinical Consultant - Old Contract (GP)"),$B69&lt;&gt;""),$C69*Thresholds_Rates!$F$15,IF(OR($B$4="APM Level 7",$B$4="R&amp;T Level 7"),$C69*Thresholds_Rates!$F$15,IF(SUMIF(Grades!$A:$A,$B$4,Grades!$BO:$BO)=1,$C69*Thresholds_Rates!$F$15,""))))))))</f>
        <v/>
      </c>
      <c r="F69" s="24" t="str">
        <f ca="1">IF(B69="","",IF($B$4="Salary Points 1 to 57","-",IF(SUMIF(Grades!$A:$A,$B$4,Grades!$BP:$BP)=0,"-",IF(AND(OR($B$4="New Consultant Contract"),$B69&lt;&gt;""),$C69*Thresholds_Rates!$F$16,IF(AND(OR($B$4="Clinical Lecturer / Medical Research Fellow",$B$4="Clinical Consultant - Old Contract (GP)"),$B69&lt;&gt;""),$C69*Thresholds_Rates!$F$16,IF(AND(OR($B$4="APM Level 7",$B$4="R&amp;T Level 7"),E69&lt;&gt;""),$C69*Thresholds_Rates!$F$16,IF(SUMIF(Grades!$A:$A,$B$4,Grades!$BP:$BP)=1,$C69*Thresholds_Rates!$F$16,"")))))))</f>
        <v/>
      </c>
      <c r="G69" s="24" t="str">
        <f ca="1">IF(B69="","",IF(SUMIF(Grades!$A:$A,$B$4,Grades!$BQ:$BQ)=0,"-",IF(AND($B$4="Salary Points 1 to 57",B69&gt;Thresholds_Rates!$C$17),"-",IF(AND($B$4="Salary Points 1 to 57",B69&lt;=Thresholds_Rates!$C$17),$C69*Thresholds_Rates!$F$17,IF(AND(OR($B$4="New Consultant Contract"),$B69&lt;&gt;""),$C69*Thresholds_Rates!$F$17,IF(AND(OR($B$4="Clinical Lecturer / Medical Research Fellow",$B$4="Clinical Consultant - Old Contract (GP)"),$B69&lt;&gt;""),$C69*Thresholds_Rates!$F$17,IF(AND(OR($B$4="APM Level 7",$B$4="R&amp;T Level 7"),F69&lt;&gt;""),$C69*Thresholds_Rates!$F$17,IF(SUMIF(Grades!$A:$A,$B$4,Grades!$BQ:$BQ)=1,$C69*Thresholds_Rates!$F$17,""))))))))</f>
        <v/>
      </c>
      <c r="H69" s="24" t="str">
        <f ca="1">IF($B69="","",ROUND(($C69-(Thresholds_Rates!$C$5*12))*Thresholds_Rates!$C$10,0))</f>
        <v/>
      </c>
      <c r="I69" s="24" t="str">
        <f ca="1">IF(B69="","",IF(AND($B$4="Salary Points 1 to 57",B69&gt;Thresholds_Rates!$C$17),"-",IF(SUMIF(Grades!$A:$A,$B$4,Grades!$BR:$BR)=0,"-",IF(AND($B$4="Salary Points 1 to 57",B69&lt;=Thresholds_Rates!$C$17),$C69*Thresholds_Rates!$F$18,IF(AND(OR($B$4="New Consultant Contract"),$B69&lt;&gt;""),$C69*Thresholds_Rates!$F$18,IF(AND(OR($B$4="Clinical Lecturer / Medical Research Fellow",$B$4="Clinical Consultant - Old Contract (GP)"),$B69&lt;&gt;""),$C69*Thresholds_Rates!$F$18,IF(AND(OR($B$4="APM Level 7",$B$4="R&amp;T Level 7"),H69&lt;&gt;""),$C69*Thresholds_Rates!$F$18,IF(SUMIF(Grades!$A:$A,$B$4,Grades!$BQ:$BQ)=1,$C69*Thresholds_Rates!$F$18,""))))))))</f>
        <v/>
      </c>
      <c r="J69" s="4"/>
      <c r="K69" s="24" t="str">
        <f t="shared" ca="1" si="0"/>
        <v/>
      </c>
      <c r="L69" s="24" t="str">
        <f t="shared" ca="1" si="1"/>
        <v/>
      </c>
      <c r="M69" s="24" t="str">
        <f t="shared" ca="1" si="2"/>
        <v/>
      </c>
      <c r="N69" s="24" t="str">
        <f t="shared" ca="1" si="3"/>
        <v/>
      </c>
      <c r="O69" s="24" t="str">
        <f t="shared" ca="1" si="4"/>
        <v/>
      </c>
      <c r="Q69" s="27" t="str">
        <f ca="1">IF(B69="","",IF($B$4="R&amp;T Level 5 - Clinical Lecturers (Vet School)",SUMIF(Points_Lookup!$M:$M,$B69,Points_Lookup!$N:$N),IF($B$4="R&amp;T Level 6 - Clinical Associate Professors and Clinical Readers (Vet School)",SUMIF(Points_Lookup!$T:$T,$B69,Points_Lookup!$U:$U),"")))</f>
        <v/>
      </c>
      <c r="R69" s="28" t="str">
        <f ca="1">IF(B69="","",IF($B$4="R&amp;T Level 5 - Clinical Lecturers (Vet School)",$C69-SUMIF(Points_Lookup!$M:$M,$B69,Points_Lookup!$O:$O),IF($B$4="R&amp;T Level 6 - Clinical Associate Professors and Clinical Readers (Vet School)",$C69-SUMIF(Points_Lookup!$T:$T,$B69,Points_Lookup!$V:$V),"")))</f>
        <v/>
      </c>
      <c r="S69" s="27" t="str">
        <f ca="1">IF(B69="","",IF($B$4="R&amp;T Level 5 - Clinical Lecturers (Vet School)",SUMIF(Points_Lookup!$M:$M,$B69,Points_Lookup!$Q:$Q),IF($B$4="R&amp;T Level 6 - Clinical Associate Professors and Clinical Readers (Vet School)",SUMIF(Points_Lookup!$T:$T,$B69,Points_Lookup!$X:$X),"")))</f>
        <v/>
      </c>
      <c r="T69" s="28" t="str">
        <f t="shared" ca="1" si="6"/>
        <v/>
      </c>
    </row>
    <row r="70" spans="2:25" x14ac:dyDescent="0.25">
      <c r="B70" s="4" t="str">
        <f ca="1">IFERROR(INDEX(Points_Lookup!$A:$A,MATCH($Y72,Points_Lookup!$AE:$AE,0)),"")</f>
        <v/>
      </c>
      <c r="C70" s="24" t="str">
        <f ca="1">IF(B70="","",IF($B$4="Apprenticeship",SUMIF(Points_Lookup!$AA:$AA,B70,Points_Lookup!$AC:$AC),IF(AND(OR($B$4="New Consultant Contract"),$B70&lt;&gt;""),INDEX(Points_Lookup!$K:$K,MATCH($B70,Points_Lookup!$J:$J,0)),IF(AND(OR($B$4="Clinical Lecturer / Medical Research Fellow",$B$4="Clinical Consultant - Old Contract (GP)"),$B70&lt;&gt;""),INDEX(Points_Lookup!$H:$H,MATCH($B70,Points_Lookup!$G:$G,0)),IF(AND(OR($B$4="APM Level 7",$B$4="R&amp;T Level 7",$B$4="APM Level 8"),B70&lt;&gt;""),INDEX(Points_Lookup!$E:$E,MATCH($Y70,Points_Lookup!$AE:$AE,0)),IF($B$4="R&amp;T Level 5 - Clinical Lecturers (Vet School)",SUMIF(Points_Lookup!$M:$M,$B70,Points_Lookup!$P:$P),IF($B$4="R&amp;T Level 6 - Clinical Associate Professors and Clinical Readers (Vet School)",SUMIF(Points_Lookup!$T:$T,$B70,Points_Lookup!$W:$W),IFERROR(INDEX(Points_Lookup!$B:$B,MATCH($Y70,Points_Lookup!$AE:$AE,0)),""))))))))</f>
        <v/>
      </c>
      <c r="D70" s="39"/>
      <c r="E70" s="24" t="str">
        <f ca="1">IF($B70="","",IF(AND($B$4="Salary Points 2 to 57",B70&lt;Thresholds_Rates!$C$16),"-",IF(SUMIF(Grades!$A:$A,$B$4,Grades!$BO:$BO)=0,"-",IF(AND($B$4="Salary Points 2 to 57",B70&gt;=Thresholds_Rates!$C$16),$C70*Thresholds_Rates!$F$15,IF(AND(OR($B$4="New Consultant Contract"),$B70&lt;&gt;""),$C70*Thresholds_Rates!$F$15,IF(AND(OR($B$4="Clinical Lecturer / Medical Research Fellow",$B$4="Clinical Consultant - Old Contract (GP)"),$B70&lt;&gt;""),$C70*Thresholds_Rates!$F$15,IF(OR($B$4="APM Level 7",$B$4="R&amp;T Level 7"),$C70*Thresholds_Rates!$F$15,IF(SUMIF(Grades!$A:$A,$B$4,Grades!$BO:$BO)=1,$C70*Thresholds_Rates!$F$15,""))))))))</f>
        <v/>
      </c>
      <c r="F70" s="24" t="str">
        <f ca="1">IF(B70="","",IF($B$4="Salary Points 1 to 57","-",IF(SUMIF(Grades!$A:$A,$B$4,Grades!$BP:$BP)=0,"-",IF(AND(OR($B$4="New Consultant Contract"),$B70&lt;&gt;""),$C70*Thresholds_Rates!$F$16,IF(AND(OR($B$4="Clinical Lecturer / Medical Research Fellow",$B$4="Clinical Consultant - Old Contract (GP)"),$B70&lt;&gt;""),$C70*Thresholds_Rates!$F$16,IF(AND(OR($B$4="APM Level 7",$B$4="R&amp;T Level 7"),E70&lt;&gt;""),$C70*Thresholds_Rates!$F$16,IF(SUMIF(Grades!$A:$A,$B$4,Grades!$BP:$BP)=1,$C70*Thresholds_Rates!$F$16,"")))))))</f>
        <v/>
      </c>
      <c r="G70" s="24" t="str">
        <f ca="1">IF(B70="","",IF(SUMIF(Grades!$A:$A,$B$4,Grades!$BQ:$BQ)=0,"-",IF(AND($B$4="Salary Points 1 to 57",B70&gt;Thresholds_Rates!$C$17),"-",IF(AND($B$4="Salary Points 1 to 57",B70&lt;=Thresholds_Rates!$C$17),$C70*Thresholds_Rates!$F$17,IF(AND(OR($B$4="New Consultant Contract"),$B70&lt;&gt;""),$C70*Thresholds_Rates!$F$17,IF(AND(OR($B$4="Clinical Lecturer / Medical Research Fellow",$B$4="Clinical Consultant - Old Contract (GP)"),$B70&lt;&gt;""),$C70*Thresholds_Rates!$F$17,IF(AND(OR($B$4="APM Level 7",$B$4="R&amp;T Level 7"),F70&lt;&gt;""),$C70*Thresholds_Rates!$F$17,IF(SUMIF(Grades!$A:$A,$B$4,Grades!$BQ:$BQ)=1,$C70*Thresholds_Rates!$F$17,""))))))))</f>
        <v/>
      </c>
      <c r="H70" s="24" t="str">
        <f ca="1">IF($B70="","",ROUND(($C70-(Thresholds_Rates!$C$5*12))*Thresholds_Rates!$C$10,0))</f>
        <v/>
      </c>
      <c r="I70" s="24" t="str">
        <f ca="1">IF(B70="","",IF(AND($B$4="Salary Points 1 to 57",B70&gt;Thresholds_Rates!$C$17),"-",IF(SUMIF(Grades!$A:$A,$B$4,Grades!$BR:$BR)=0,"-",IF(AND($B$4="Salary Points 1 to 57",B70&lt;=Thresholds_Rates!$C$17),$C70*Thresholds_Rates!$F$18,IF(AND(OR($B$4="New Consultant Contract"),$B70&lt;&gt;""),$C70*Thresholds_Rates!$F$18,IF(AND(OR($B$4="Clinical Lecturer / Medical Research Fellow",$B$4="Clinical Consultant - Old Contract (GP)"),$B70&lt;&gt;""),$C70*Thresholds_Rates!$F$18,IF(AND(OR($B$4="APM Level 7",$B$4="R&amp;T Level 7"),H70&lt;&gt;""),$C70*Thresholds_Rates!$F$18,IF(SUMIF(Grades!$A:$A,$B$4,Grades!$BQ:$BQ)=1,$C70*Thresholds_Rates!$F$18,""))))))))</f>
        <v/>
      </c>
      <c r="J70" s="4"/>
      <c r="K70" s="24" t="str">
        <f t="shared" ca="1" si="0"/>
        <v/>
      </c>
      <c r="L70" s="24" t="str">
        <f t="shared" ca="1" si="1"/>
        <v/>
      </c>
      <c r="M70" s="24" t="str">
        <f t="shared" ca="1" si="2"/>
        <v/>
      </c>
      <c r="N70" s="24" t="str">
        <f t="shared" ca="1" si="3"/>
        <v/>
      </c>
      <c r="O70" s="24" t="str">
        <f t="shared" ca="1" si="4"/>
        <v/>
      </c>
      <c r="Q70" s="27" t="str">
        <f ca="1">IF(B70="","",IF($B$4="R&amp;T Level 5 - Clinical Lecturers (Vet School)",SUMIF(Points_Lookup!$M:$M,$B70,Points_Lookup!$N:$N),IF($B$4="R&amp;T Level 6 - Clinical Associate Professors and Clinical Readers (Vet School)",SUMIF(Points_Lookup!$T:$T,$B70,Points_Lookup!$U:$U),"")))</f>
        <v/>
      </c>
      <c r="R70" s="28" t="str">
        <f ca="1">IF(B70="","",IF($B$4="R&amp;T Level 5 - Clinical Lecturers (Vet School)",$C70-SUMIF(Points_Lookup!$M:$M,$B70,Points_Lookup!$O:$O),IF($B$4="R&amp;T Level 6 - Clinical Associate Professors and Clinical Readers (Vet School)",$C70-SUMIF(Points_Lookup!$T:$T,$B70,Points_Lookup!$V:$V),"")))</f>
        <v/>
      </c>
      <c r="S70" s="27" t="str">
        <f ca="1">IF(B70="","",IF($B$4="R&amp;T Level 5 - Clinical Lecturers (Vet School)",SUMIF(Points_Lookup!$M:$M,$B70,Points_Lookup!$Q:$Q),IF($B$4="R&amp;T Level 6 - Clinical Associate Professors and Clinical Readers (Vet School)",SUMIF(Points_Lookup!$T:$T,$B70,Points_Lookup!$X:$X),"")))</f>
        <v/>
      </c>
      <c r="T70" s="28" t="str">
        <f t="shared" ca="1" si="6"/>
        <v/>
      </c>
    </row>
    <row r="71" spans="2:25" x14ac:dyDescent="0.25">
      <c r="B71" s="4" t="str">
        <f ca="1">IFERROR(INDEX(Points_Lookup!$A:$A,MATCH($Y73,Points_Lookup!$AE:$AE,0)),"")</f>
        <v/>
      </c>
      <c r="C71" s="24" t="str">
        <f ca="1">IF(B71="","",IF($B$4="Apprenticeship",SUMIF(Points_Lookup!$AA:$AA,B71,Points_Lookup!$AC:$AC),IF(AND(OR($B$4="New Consultant Contract"),$B71&lt;&gt;""),INDEX(Points_Lookup!$K:$K,MATCH($B71,Points_Lookup!$J:$J,0)),IF(AND(OR($B$4="Clinical Lecturer / Medical Research Fellow",$B$4="Clinical Consultant - Old Contract (GP)"),$B71&lt;&gt;""),INDEX(Points_Lookup!$H:$H,MATCH($B71,Points_Lookup!$G:$G,0)),IF(AND(OR($B$4="APM Level 7",$B$4="R&amp;T Level 7",$B$4="APM Level 8"),B71&lt;&gt;""),INDEX(Points_Lookup!$E:$E,MATCH($Y71,Points_Lookup!$AE:$AE,0)),IF($B$4="R&amp;T Level 5 - Clinical Lecturers (Vet School)",SUMIF(Points_Lookup!$M:$M,$B71,Points_Lookup!$P:$P),IF($B$4="R&amp;T Level 6 - Clinical Associate Professors and Clinical Readers (Vet School)",SUMIF(Points_Lookup!$T:$T,$B71,Points_Lookup!$W:$W),IFERROR(INDEX(Points_Lookup!$B:$B,MATCH($Y71,Points_Lookup!$AE:$AE,0)),""))))))))</f>
        <v/>
      </c>
      <c r="D71" s="39"/>
      <c r="E71" s="24" t="str">
        <f ca="1">IF($B71="","",IF(AND($B$4="Salary Points 2 to 57",B71&lt;Thresholds_Rates!$C$16),"-",IF(SUMIF(Grades!$A:$A,$B$4,Grades!$BO:$BO)=0,"-",IF(AND($B$4="Salary Points 2 to 57",B71&gt;=Thresholds_Rates!$C$16),$C71*Thresholds_Rates!$F$15,IF(AND(OR($B$4="New Consultant Contract"),$B71&lt;&gt;""),$C71*Thresholds_Rates!$F$15,IF(AND(OR($B$4="Clinical Lecturer / Medical Research Fellow",$B$4="Clinical Consultant - Old Contract (GP)"),$B71&lt;&gt;""),$C71*Thresholds_Rates!$F$15,IF(OR($B$4="APM Level 7",$B$4="R&amp;T Level 7"),$C71*Thresholds_Rates!$F$15,IF(SUMIF(Grades!$A:$A,$B$4,Grades!$BO:$BO)=1,$C71*Thresholds_Rates!$F$15,""))))))))</f>
        <v/>
      </c>
      <c r="F71" s="24" t="str">
        <f ca="1">IF(B71="","",IF($B$4="Salary Points 1 to 57","-",IF(SUMIF(Grades!$A:$A,$B$4,Grades!$BP:$BP)=0,"-",IF(AND(OR($B$4="New Consultant Contract"),$B71&lt;&gt;""),$C71*Thresholds_Rates!$F$16,IF(AND(OR($B$4="Clinical Lecturer / Medical Research Fellow",$B$4="Clinical Consultant - Old Contract (GP)"),$B71&lt;&gt;""),$C71*Thresholds_Rates!$F$16,IF(AND(OR($B$4="APM Level 7",$B$4="R&amp;T Level 7"),E71&lt;&gt;""),$C71*Thresholds_Rates!$F$16,IF(SUMIF(Grades!$A:$A,$B$4,Grades!$BP:$BP)=1,$C71*Thresholds_Rates!$F$16,"")))))))</f>
        <v/>
      </c>
      <c r="G71" s="24" t="str">
        <f ca="1">IF(B71="","",IF(SUMIF(Grades!$A:$A,$B$4,Grades!$BQ:$BQ)=0,"-",IF(AND($B$4="Salary Points 1 to 57",B71&gt;Thresholds_Rates!$C$17),"-",IF(AND($B$4="Salary Points 1 to 57",B71&lt;=Thresholds_Rates!$C$17),$C71*Thresholds_Rates!$F$17,IF(AND(OR($B$4="New Consultant Contract"),$B71&lt;&gt;""),$C71*Thresholds_Rates!$F$17,IF(AND(OR($B$4="Clinical Lecturer / Medical Research Fellow",$B$4="Clinical Consultant - Old Contract (GP)"),$B71&lt;&gt;""),$C71*Thresholds_Rates!$F$17,IF(AND(OR($B$4="APM Level 7",$B$4="R&amp;T Level 7"),F71&lt;&gt;""),$C71*Thresholds_Rates!$F$17,IF(SUMIF(Grades!$A:$A,$B$4,Grades!$BQ:$BQ)=1,$C71*Thresholds_Rates!$F$17,""))))))))</f>
        <v/>
      </c>
      <c r="H71" s="24" t="str">
        <f ca="1">IF($B71="","",ROUND(($C71-(Thresholds_Rates!$C$5*12))*Thresholds_Rates!$C$10,0))</f>
        <v/>
      </c>
      <c r="I71" s="24" t="str">
        <f ca="1">IF(B71="","",IF(AND($B$4="Salary Points 1 to 57",B71&gt;Thresholds_Rates!$C$17),"-",IF(SUMIF(Grades!$A:$A,$B$4,Grades!$BR:$BR)=0,"-",IF(AND($B$4="Salary Points 1 to 57",B71&lt;=Thresholds_Rates!$C$17),$C71*Thresholds_Rates!$F$18,IF(AND(OR($B$4="New Consultant Contract"),$B71&lt;&gt;""),$C71*Thresholds_Rates!$F$18,IF(AND(OR($B$4="Clinical Lecturer / Medical Research Fellow",$B$4="Clinical Consultant - Old Contract (GP)"),$B71&lt;&gt;""),$C71*Thresholds_Rates!$F$18,IF(AND(OR($B$4="APM Level 7",$B$4="R&amp;T Level 7"),H71&lt;&gt;""),$C71*Thresholds_Rates!$F$18,IF(SUMIF(Grades!$A:$A,$B$4,Grades!$BQ:$BQ)=1,$C71*Thresholds_Rates!$F$18,""))))))))</f>
        <v/>
      </c>
      <c r="J71" s="4"/>
      <c r="K71" s="24" t="str">
        <f t="shared" ca="1" si="0"/>
        <v/>
      </c>
      <c r="L71" s="24" t="str">
        <f t="shared" ca="1" si="1"/>
        <v/>
      </c>
      <c r="M71" s="24" t="str">
        <f t="shared" ca="1" si="2"/>
        <v/>
      </c>
      <c r="N71" s="24" t="str">
        <f t="shared" ca="1" si="3"/>
        <v/>
      </c>
      <c r="O71" s="24" t="str">
        <f t="shared" ca="1" si="4"/>
        <v/>
      </c>
      <c r="Q71" s="27" t="str">
        <f ca="1">IF(B71="","",IF($B$4="R&amp;T Level 5 - Clinical Lecturers (Vet School)",SUMIF(Points_Lookup!$M:$M,$B71,Points_Lookup!$N:$N),IF($B$4="R&amp;T Level 6 - Clinical Associate Professors and Clinical Readers (Vet School)",SUMIF(Points_Lookup!$T:$T,$B71,Points_Lookup!$U:$U),"")))</f>
        <v/>
      </c>
      <c r="R71" s="28" t="str">
        <f ca="1">IF(B71="","",IF($B$4="R&amp;T Level 5 - Clinical Lecturers (Vet School)",$C71-SUMIF(Points_Lookup!$M:$M,$B71,Points_Lookup!$O:$O),IF($B$4="R&amp;T Level 6 - Clinical Associate Professors and Clinical Readers (Vet School)",$C71-SUMIF(Points_Lookup!$T:$T,$B71,Points_Lookup!$V:$V),"")))</f>
        <v/>
      </c>
      <c r="S71" s="27" t="str">
        <f ca="1">IF(B71="","",IF($B$4="R&amp;T Level 5 - Clinical Lecturers (Vet School)",SUMIF(Points_Lookup!$M:$M,$B71,Points_Lookup!$Q:$Q),IF($B$4="R&amp;T Level 6 - Clinical Associate Professors and Clinical Readers (Vet School)",SUMIF(Points_Lookup!$T:$T,$B71,Points_Lookup!$X:$X),"")))</f>
        <v/>
      </c>
      <c r="T71" s="28" t="str">
        <f t="shared" ca="1" si="6"/>
        <v/>
      </c>
    </row>
    <row r="72" spans="2:25" x14ac:dyDescent="0.25">
      <c r="B72" s="4" t="str">
        <f ca="1">IFERROR(INDEX(Points_Lookup!$A:$A,MATCH($Y74,Points_Lookup!$AE:$AE,0)),"")</f>
        <v/>
      </c>
      <c r="C72" s="24" t="str">
        <f ca="1">IF(B72="","",IF($B$4="Apprenticeship",SUMIF(Points_Lookup!$AA:$AA,B72,Points_Lookup!$AC:$AC),IF(AND(OR($B$4="New Consultant Contract"),$B72&lt;&gt;""),INDEX(Points_Lookup!$K:$K,MATCH($B72,Points_Lookup!$J:$J,0)),IF(AND(OR($B$4="Clinical Lecturer / Medical Research Fellow",$B$4="Clinical Consultant - Old Contract (GP)"),$B72&lt;&gt;""),INDEX(Points_Lookup!$H:$H,MATCH($B72,Points_Lookup!$G:$G,0)),IF(AND(OR($B$4="APM Level 7",$B$4="R&amp;T Level 7",$B$4="APM Level 8"),B72&lt;&gt;""),INDEX(Points_Lookup!$E:$E,MATCH($Y72,Points_Lookup!$AE:$AE,0)),IF($B$4="R&amp;T Level 5 - Clinical Lecturers (Vet School)",SUMIF(Points_Lookup!$M:$M,$B72,Points_Lookup!$P:$P),IF($B$4="R&amp;T Level 6 - Clinical Associate Professors and Clinical Readers (Vet School)",SUMIF(Points_Lookup!$T:$T,$B72,Points_Lookup!$W:$W),IFERROR(INDEX(Points_Lookup!$B:$B,MATCH($Y72,Points_Lookup!$AE:$AE,0)),""))))))))</f>
        <v/>
      </c>
      <c r="D72" s="39"/>
      <c r="E72" s="24" t="str">
        <f ca="1">IF($B72="","",IF(AND($B$4="Salary Points 2 to 57",B72&lt;Thresholds_Rates!$C$16),"-",IF(SUMIF(Grades!$A:$A,$B$4,Grades!$BO:$BO)=0,"-",IF(AND($B$4="Salary Points 2 to 57",B72&gt;=Thresholds_Rates!$C$16),$C72*Thresholds_Rates!$F$15,IF(AND(OR($B$4="New Consultant Contract"),$B72&lt;&gt;""),$C72*Thresholds_Rates!$F$15,IF(AND(OR($B$4="Clinical Lecturer / Medical Research Fellow",$B$4="Clinical Consultant - Old Contract (GP)"),$B72&lt;&gt;""),$C72*Thresholds_Rates!$F$15,IF(OR($B$4="APM Level 7",$B$4="R&amp;T Level 7"),$C72*Thresholds_Rates!$F$15,IF(SUMIF(Grades!$A:$A,$B$4,Grades!$BO:$BO)=1,$C72*Thresholds_Rates!$F$15,""))))))))</f>
        <v/>
      </c>
      <c r="F72" s="24" t="str">
        <f ca="1">IF(B72="","",IF($B$4="Salary Points 1 to 57","-",IF(SUMIF(Grades!$A:$A,$B$4,Grades!$BP:$BP)=0,"-",IF(AND(OR($B$4="New Consultant Contract"),$B72&lt;&gt;""),$C72*Thresholds_Rates!$F$16,IF(AND(OR($B$4="Clinical Lecturer / Medical Research Fellow",$B$4="Clinical Consultant - Old Contract (GP)"),$B72&lt;&gt;""),$C72*Thresholds_Rates!$F$16,IF(AND(OR($B$4="APM Level 7",$B$4="R&amp;T Level 7"),E72&lt;&gt;""),$C72*Thresholds_Rates!$F$16,IF(SUMIF(Grades!$A:$A,$B$4,Grades!$BP:$BP)=1,$C72*Thresholds_Rates!$F$16,"")))))))</f>
        <v/>
      </c>
      <c r="G72" s="24" t="str">
        <f ca="1">IF(B72="","",IF(SUMIF(Grades!$A:$A,$B$4,Grades!$BQ:$BQ)=0,"-",IF(AND($B$4="Salary Points 1 to 57",B72&gt;Thresholds_Rates!$C$17),"-",IF(AND($B$4="Salary Points 1 to 57",B72&lt;=Thresholds_Rates!$C$17),$C72*Thresholds_Rates!$F$17,IF(AND(OR($B$4="New Consultant Contract"),$B72&lt;&gt;""),$C72*Thresholds_Rates!$F$17,IF(AND(OR($B$4="Clinical Lecturer / Medical Research Fellow",$B$4="Clinical Consultant - Old Contract (GP)"),$B72&lt;&gt;""),$C72*Thresholds_Rates!$F$17,IF(AND(OR($B$4="APM Level 7",$B$4="R&amp;T Level 7"),F72&lt;&gt;""),$C72*Thresholds_Rates!$F$17,IF(SUMIF(Grades!$A:$A,$B$4,Grades!$BQ:$BQ)=1,$C72*Thresholds_Rates!$F$17,""))))))))</f>
        <v/>
      </c>
      <c r="H72" s="24" t="str">
        <f ca="1">IF($B72="","",ROUND(($C72-(Thresholds_Rates!$C$5*12))*Thresholds_Rates!$C$10,0))</f>
        <v/>
      </c>
      <c r="I72" s="24" t="str">
        <f ca="1">IF(B72="","",IF(AND($B$4="Salary Points 1 to 57",B72&gt;Thresholds_Rates!$C$17),"-",IF(SUMIF(Grades!$A:$A,$B$4,Grades!$BR:$BR)=0,"-",IF(AND($B$4="Salary Points 1 to 57",B72&lt;=Thresholds_Rates!$C$17),$C72*Thresholds_Rates!$F$18,IF(AND(OR($B$4="New Consultant Contract"),$B72&lt;&gt;""),$C72*Thresholds_Rates!$F$18,IF(AND(OR($B$4="Clinical Lecturer / Medical Research Fellow",$B$4="Clinical Consultant - Old Contract (GP)"),$B72&lt;&gt;""),$C72*Thresholds_Rates!$F$18,IF(AND(OR($B$4="APM Level 7",$B$4="R&amp;T Level 7"),H72&lt;&gt;""),$C72*Thresholds_Rates!$F$18,IF(SUMIF(Grades!$A:$A,$B$4,Grades!$BQ:$BQ)=1,$C72*Thresholds_Rates!$F$18,""))))))))</f>
        <v/>
      </c>
      <c r="J72" s="4"/>
      <c r="K72" s="24" t="str">
        <f t="shared" ca="1" si="0"/>
        <v/>
      </c>
      <c r="L72" s="24" t="str">
        <f t="shared" ca="1" si="1"/>
        <v/>
      </c>
      <c r="M72" s="24" t="str">
        <f t="shared" ca="1" si="2"/>
        <v/>
      </c>
      <c r="N72" s="24" t="str">
        <f t="shared" ca="1" si="3"/>
        <v/>
      </c>
      <c r="O72" s="24" t="str">
        <f t="shared" ca="1" si="4"/>
        <v/>
      </c>
      <c r="Q72" s="27" t="str">
        <f ca="1">IF(B72="","",IF($B$4="R&amp;T Level 5 - Clinical Lecturers (Vet School)",SUMIF(Points_Lookup!$M:$M,$B72,Points_Lookup!$N:$N),IF($B$4="R&amp;T Level 6 - Clinical Associate Professors and Clinical Readers (Vet School)",SUMIF(Points_Lookup!$T:$T,$B72,Points_Lookup!$U:$U),"")))</f>
        <v/>
      </c>
      <c r="R72" s="28" t="str">
        <f ca="1">IF(B72="","",IF($B$4="R&amp;T Level 5 - Clinical Lecturers (Vet School)",$C72-SUMIF(Points_Lookup!$M:$M,$B72,Points_Lookup!$O:$O),IF($B$4="R&amp;T Level 6 - Clinical Associate Professors and Clinical Readers (Vet School)",$C72-SUMIF(Points_Lookup!$T:$T,$B72,Points_Lookup!$V:$V),"")))</f>
        <v/>
      </c>
      <c r="S72" s="27" t="str">
        <f ca="1">IF(B72="","",IF($B$4="R&amp;T Level 5 - Clinical Lecturers (Vet School)",SUMIF(Points_Lookup!$M:$M,$B72,Points_Lookup!$Q:$Q),IF($B$4="R&amp;T Level 6 - Clinical Associate Professors and Clinical Readers (Vet School)",SUMIF(Points_Lookup!$T:$T,$B72,Points_Lookup!$X:$X),"")))</f>
        <v/>
      </c>
      <c r="T72" s="28" t="str">
        <f t="shared" ca="1" si="6"/>
        <v/>
      </c>
    </row>
    <row r="73" spans="2:25" x14ac:dyDescent="0.25">
      <c r="B73" s="4" t="str">
        <f ca="1">IFERROR(INDEX(Points_Lookup!$A:$A,MATCH($Y75,Points_Lookup!$AE:$AE,0)),"")</f>
        <v/>
      </c>
      <c r="C73" s="24" t="str">
        <f ca="1">IF(B73="","",IF($B$4="Apprenticeship",SUMIF(Points_Lookup!$AA:$AA,B73,Points_Lookup!$AC:$AC),IF(AND(OR($B$4="New Consultant Contract"),$B73&lt;&gt;""),INDEX(Points_Lookup!$K:$K,MATCH($B73,Points_Lookup!$J:$J,0)),IF(AND(OR($B$4="Clinical Lecturer / Medical Research Fellow",$B$4="Clinical Consultant - Old Contract (GP)"),$B73&lt;&gt;""),INDEX(Points_Lookup!$H:$H,MATCH($B73,Points_Lookup!$G:$G,0)),IF(AND(OR($B$4="APM Level 7",$B$4="R&amp;T Level 7",$B$4="APM Level 8"),B73&lt;&gt;""),INDEX(Points_Lookup!$E:$E,MATCH($Y73,Points_Lookup!$AE:$AE,0)),IF($B$4="R&amp;T Level 5 - Clinical Lecturers (Vet School)",SUMIF(Points_Lookup!$M:$M,$B73,Points_Lookup!$P:$P),IF($B$4="R&amp;T Level 6 - Clinical Associate Professors and Clinical Readers (Vet School)",SUMIF(Points_Lookup!$T:$T,$B73,Points_Lookup!$W:$W),IFERROR(INDEX(Points_Lookup!$B:$B,MATCH($Y73,Points_Lookup!$AE:$AE,0)),""))))))))</f>
        <v/>
      </c>
      <c r="D73" s="39"/>
      <c r="E73" s="24" t="str">
        <f ca="1">IF($B73="","",IF(AND($B$4="Salary Points 2 to 57",B73&lt;Thresholds_Rates!$C$16),"-",IF(SUMIF(Grades!$A:$A,$B$4,Grades!$BO:$BO)=0,"-",IF(AND($B$4="Salary Points 2 to 57",B73&gt;=Thresholds_Rates!$C$16),$C73*Thresholds_Rates!$F$15,IF(AND(OR($B$4="New Consultant Contract"),$B73&lt;&gt;""),$C73*Thresholds_Rates!$F$15,IF(AND(OR($B$4="Clinical Lecturer / Medical Research Fellow",$B$4="Clinical Consultant - Old Contract (GP)"),$B73&lt;&gt;""),$C73*Thresholds_Rates!$F$15,IF(OR($B$4="APM Level 7",$B$4="R&amp;T Level 7"),$C73*Thresholds_Rates!$F$15,IF(SUMIF(Grades!$A:$A,$B$4,Grades!$BO:$BO)=1,$C73*Thresholds_Rates!$F$15,""))))))))</f>
        <v/>
      </c>
      <c r="F73" s="24" t="str">
        <f ca="1">IF(B73="","",IF($B$4="Salary Points 1 to 57","-",IF(SUMIF(Grades!$A:$A,$B$4,Grades!$BP:$BP)=0,"-",IF(AND(OR($B$4="New Consultant Contract"),$B73&lt;&gt;""),$C73*Thresholds_Rates!$F$16,IF(AND(OR($B$4="Clinical Lecturer / Medical Research Fellow",$B$4="Clinical Consultant - Old Contract (GP)"),$B73&lt;&gt;""),$C73*Thresholds_Rates!$F$16,IF(AND(OR($B$4="APM Level 7",$B$4="R&amp;T Level 7"),E73&lt;&gt;""),$C73*Thresholds_Rates!$F$16,IF(SUMIF(Grades!$A:$A,$B$4,Grades!$BP:$BP)=1,$C73*Thresholds_Rates!$F$16,"")))))))</f>
        <v/>
      </c>
      <c r="G73" s="24" t="str">
        <f ca="1">IF(B73="","",IF(SUMIF(Grades!$A:$A,$B$4,Grades!$BQ:$BQ)=0,"-",IF(AND($B$4="Salary Points 1 to 57",B73&gt;Thresholds_Rates!$C$17),"-",IF(AND($B$4="Salary Points 1 to 57",B73&lt;=Thresholds_Rates!$C$17),$C73*Thresholds_Rates!$F$17,IF(AND(OR($B$4="New Consultant Contract"),$B73&lt;&gt;""),$C73*Thresholds_Rates!$F$17,IF(AND(OR($B$4="Clinical Lecturer / Medical Research Fellow",$B$4="Clinical Consultant - Old Contract (GP)"),$B73&lt;&gt;""),$C73*Thresholds_Rates!$F$17,IF(AND(OR($B$4="APM Level 7",$B$4="R&amp;T Level 7"),F73&lt;&gt;""),$C73*Thresholds_Rates!$F$17,IF(SUMIF(Grades!$A:$A,$B$4,Grades!$BQ:$BQ)=1,$C73*Thresholds_Rates!$F$17,""))))))))</f>
        <v/>
      </c>
      <c r="H73" s="24" t="str">
        <f ca="1">IF($B73="","",ROUND(($C73-(Thresholds_Rates!$C$5*12))*Thresholds_Rates!$C$10,0))</f>
        <v/>
      </c>
      <c r="I73" s="24" t="str">
        <f ca="1">IF(B73="","",IF(AND($B$4="Salary Points 1 to 57",B73&gt;Thresholds_Rates!$C$17),"-",IF(SUMIF(Grades!$A:$A,$B$4,Grades!$BR:$BR)=0,"-",IF(AND($B$4="Salary Points 1 to 57",B73&lt;=Thresholds_Rates!$C$17),$C73*Thresholds_Rates!$F$18,IF(AND(OR($B$4="New Consultant Contract"),$B73&lt;&gt;""),$C73*Thresholds_Rates!$F$18,IF(AND(OR($B$4="Clinical Lecturer / Medical Research Fellow",$B$4="Clinical Consultant - Old Contract (GP)"),$B73&lt;&gt;""),$C73*Thresholds_Rates!$F$18,IF(AND(OR($B$4="APM Level 7",$B$4="R&amp;T Level 7"),H73&lt;&gt;""),$C73*Thresholds_Rates!$F$18,IF(SUMIF(Grades!$A:$A,$B$4,Grades!$BQ:$BQ)=1,$C73*Thresholds_Rates!$F$18,""))))))))</f>
        <v/>
      </c>
      <c r="J73" s="4"/>
      <c r="K73" s="24" t="str">
        <f t="shared" ref="K73:K136" ca="1" si="7">IF(B73="","",IF(E73="-","-",$C73+$H73+E73))</f>
        <v/>
      </c>
      <c r="L73" s="24" t="str">
        <f t="shared" ref="L73:L136" ca="1" si="8">IF(B73="","",IF(F73="-","-",$C73+$H73+F73))</f>
        <v/>
      </c>
      <c r="M73" s="24" t="str">
        <f t="shared" ref="M73:M136" ca="1" si="9">IF(B73="","",IF(G73="-","-",$C73+$H73+G73))</f>
        <v/>
      </c>
      <c r="N73" s="24" t="str">
        <f t="shared" ref="N73:N136" ca="1" si="10">IF(B73="","",IF(I73="-","-",$C73+$H73+I73))</f>
        <v/>
      </c>
      <c r="O73" s="24" t="str">
        <f t="shared" ref="O73:O136" ca="1" si="11">IF(B73="","",C73+H73)</f>
        <v/>
      </c>
      <c r="Q73" s="27" t="str">
        <f ca="1">IF(B73="","",IF($B$4="R&amp;T Level 5 - Clinical Lecturers (Vet School)",SUMIF(Points_Lookup!$M:$M,$B73,Points_Lookup!$N:$N),IF($B$4="R&amp;T Level 6 - Clinical Associate Professors and Clinical Readers (Vet School)",SUMIF(Points_Lookup!$T:$T,$B73,Points_Lookup!$U:$U),"")))</f>
        <v/>
      </c>
      <c r="R73" s="28" t="str">
        <f ca="1">IF(B73="","",IF($B$4="R&amp;T Level 5 - Clinical Lecturers (Vet School)",$C73-SUMIF(Points_Lookup!$M:$M,$B73,Points_Lookup!$O:$O),IF($B$4="R&amp;T Level 6 - Clinical Associate Professors and Clinical Readers (Vet School)",$C73-SUMIF(Points_Lookup!$T:$T,$B73,Points_Lookup!$V:$V),"")))</f>
        <v/>
      </c>
      <c r="S73" s="27" t="str">
        <f ca="1">IF(B73="","",IF($B$4="R&amp;T Level 5 - Clinical Lecturers (Vet School)",SUMIF(Points_Lookup!$M:$M,$B73,Points_Lookup!$Q:$Q),IF($B$4="R&amp;T Level 6 - Clinical Associate Professors and Clinical Readers (Vet School)",SUMIF(Points_Lookup!$T:$T,$B73,Points_Lookup!$X:$X),"")))</f>
        <v/>
      </c>
      <c r="T73" s="28" t="str">
        <f t="shared" ref="T73:T103" ca="1" si="12">IF(B73="","",IF($B$4="R&amp;T Level 5 - Clinical Lecturers (Vet School)",ROUND(C73*S73,0),IF($B$4="R&amp;T Level 6 - Clinical Associate Professors and Clinical Readers (Vet School)",ROUND(C73*S73,0),"")))</f>
        <v/>
      </c>
    </row>
    <row r="74" spans="2:25" x14ac:dyDescent="0.25">
      <c r="B74" s="4" t="str">
        <f ca="1">IFERROR(INDEX(Points_Lookup!$A:$A,MATCH($Y76,Points_Lookup!$AE:$AE,0)),"")</f>
        <v/>
      </c>
      <c r="C74" s="24" t="str">
        <f ca="1">IF(B74="","",IF($B$4="Apprenticeship",SUMIF(Points_Lookup!$AA:$AA,B74,Points_Lookup!$AC:$AC),IF(AND(OR($B$4="New Consultant Contract"),$B74&lt;&gt;""),INDEX(Points_Lookup!$K:$K,MATCH($B74,Points_Lookup!$J:$J,0)),IF(AND(OR($B$4="Clinical Lecturer / Medical Research Fellow",$B$4="Clinical Consultant - Old Contract (GP)"),$B74&lt;&gt;""),INDEX(Points_Lookup!$H:$H,MATCH($B74,Points_Lookup!$G:$G,0)),IF(AND(OR($B$4="APM Level 7",$B$4="R&amp;T Level 7",$B$4="APM Level 8"),B74&lt;&gt;""),INDEX(Points_Lookup!$E:$E,MATCH($Y74,Points_Lookup!$AE:$AE,0)),IF($B$4="R&amp;T Level 5 - Clinical Lecturers (Vet School)",SUMIF(Points_Lookup!$M:$M,$B74,Points_Lookup!$P:$P),IF($B$4="R&amp;T Level 6 - Clinical Associate Professors and Clinical Readers (Vet School)",SUMIF(Points_Lookup!$T:$T,$B74,Points_Lookup!$W:$W),IFERROR(INDEX(Points_Lookup!$B:$B,MATCH($Y74,Points_Lookup!$AE:$AE,0)),""))))))))</f>
        <v/>
      </c>
      <c r="D74" s="39"/>
      <c r="E74" s="24" t="str">
        <f ca="1">IF($B74="","",IF(AND($B$4="Salary Points 2 to 57",B74&lt;Thresholds_Rates!$C$16),"-",IF(SUMIF(Grades!$A:$A,$B$4,Grades!$BO:$BO)=0,"-",IF(AND($B$4="Salary Points 2 to 57",B74&gt;=Thresholds_Rates!$C$16),$C74*Thresholds_Rates!$F$15,IF(AND(OR($B$4="New Consultant Contract"),$B74&lt;&gt;""),$C74*Thresholds_Rates!$F$15,IF(AND(OR($B$4="Clinical Lecturer / Medical Research Fellow",$B$4="Clinical Consultant - Old Contract (GP)"),$B74&lt;&gt;""),$C74*Thresholds_Rates!$F$15,IF(OR($B$4="APM Level 7",$B$4="R&amp;T Level 7"),$C74*Thresholds_Rates!$F$15,IF(SUMIF(Grades!$A:$A,$B$4,Grades!$BO:$BO)=1,$C74*Thresholds_Rates!$F$15,""))))))))</f>
        <v/>
      </c>
      <c r="F74" s="24" t="str">
        <f ca="1">IF(B74="","",IF($B$4="Salary Points 1 to 57","-",IF(SUMIF(Grades!$A:$A,$B$4,Grades!$BP:$BP)=0,"-",IF(AND(OR($B$4="New Consultant Contract"),$B74&lt;&gt;""),$C74*Thresholds_Rates!$F$16,IF(AND(OR($B$4="Clinical Lecturer / Medical Research Fellow",$B$4="Clinical Consultant - Old Contract (GP)"),$B74&lt;&gt;""),$C74*Thresholds_Rates!$F$16,IF(AND(OR($B$4="APM Level 7",$B$4="R&amp;T Level 7"),E74&lt;&gt;""),$C74*Thresholds_Rates!$F$16,IF(SUMIF(Grades!$A:$A,$B$4,Grades!$BP:$BP)=1,$C74*Thresholds_Rates!$F$16,"")))))))</f>
        <v/>
      </c>
      <c r="G74" s="24" t="str">
        <f ca="1">IF(B74="","",IF(SUMIF(Grades!$A:$A,$B$4,Grades!$BQ:$BQ)=0,"-",IF(AND($B$4="Salary Points 1 to 57",B74&gt;Thresholds_Rates!$C$17),"-",IF(AND($B$4="Salary Points 1 to 57",B74&lt;=Thresholds_Rates!$C$17),$C74*Thresholds_Rates!$F$17,IF(AND(OR($B$4="New Consultant Contract"),$B74&lt;&gt;""),$C74*Thresholds_Rates!$F$17,IF(AND(OR($B$4="Clinical Lecturer / Medical Research Fellow",$B$4="Clinical Consultant - Old Contract (GP)"),$B74&lt;&gt;""),$C74*Thresholds_Rates!$F$17,IF(AND(OR($B$4="APM Level 7",$B$4="R&amp;T Level 7"),F74&lt;&gt;""),$C74*Thresholds_Rates!$F$17,IF(SUMIF(Grades!$A:$A,$B$4,Grades!$BQ:$BQ)=1,$C74*Thresholds_Rates!$F$17,""))))))))</f>
        <v/>
      </c>
      <c r="H74" s="24" t="str">
        <f ca="1">IF($B74="","",ROUND(($C74-(Thresholds_Rates!$C$5*12))*Thresholds_Rates!$C$10,0))</f>
        <v/>
      </c>
      <c r="I74" s="24" t="str">
        <f ca="1">IF(B74="","",IF(AND($B$4="Salary Points 1 to 57",B74&gt;Thresholds_Rates!$C$17),"-",IF(SUMIF(Grades!$A:$A,$B$4,Grades!$BR:$BR)=0,"-",IF(AND($B$4="Salary Points 1 to 57",B74&lt;=Thresholds_Rates!$C$17),$C74*Thresholds_Rates!$F$18,IF(AND(OR($B$4="New Consultant Contract"),$B74&lt;&gt;""),$C74*Thresholds_Rates!$F$18,IF(AND(OR($B$4="Clinical Lecturer / Medical Research Fellow",$B$4="Clinical Consultant - Old Contract (GP)"),$B74&lt;&gt;""),$C74*Thresholds_Rates!$F$18,IF(AND(OR($B$4="APM Level 7",$B$4="R&amp;T Level 7"),H74&lt;&gt;""),$C74*Thresholds_Rates!$F$18,IF(SUMIF(Grades!$A:$A,$B$4,Grades!$BQ:$BQ)=1,$C74*Thresholds_Rates!$F$18,""))))))))</f>
        <v/>
      </c>
      <c r="J74" s="4"/>
      <c r="K74" s="24" t="str">
        <f t="shared" ca="1" si="7"/>
        <v/>
      </c>
      <c r="L74" s="24" t="str">
        <f t="shared" ca="1" si="8"/>
        <v/>
      </c>
      <c r="M74" s="24" t="str">
        <f t="shared" ca="1" si="9"/>
        <v/>
      </c>
      <c r="N74" s="24" t="str">
        <f t="shared" ca="1" si="10"/>
        <v/>
      </c>
      <c r="O74" s="24" t="str">
        <f t="shared" ca="1" si="11"/>
        <v/>
      </c>
      <c r="Q74" s="27" t="str">
        <f ca="1">IF(B74="","",IF($B$4="R&amp;T Level 5 - Clinical Lecturers (Vet School)",SUMIF(Points_Lookup!$M:$M,$B74,Points_Lookup!$N:$N),IF($B$4="R&amp;T Level 6 - Clinical Associate Professors and Clinical Readers (Vet School)",SUMIF(Points_Lookup!$T:$T,$B74,Points_Lookup!$U:$U),"")))</f>
        <v/>
      </c>
      <c r="R74" s="28" t="str">
        <f ca="1">IF(B74="","",IF($B$4="R&amp;T Level 5 - Clinical Lecturers (Vet School)",$C74-SUMIF(Points_Lookup!$M:$M,$B74,Points_Lookup!$O:$O),IF($B$4="R&amp;T Level 6 - Clinical Associate Professors and Clinical Readers (Vet School)",$C74-SUMIF(Points_Lookup!$T:$T,$B74,Points_Lookup!$V:$V),"")))</f>
        <v/>
      </c>
      <c r="S74" s="27" t="str">
        <f ca="1">IF(B74="","",IF($B$4="R&amp;T Level 5 - Clinical Lecturers (Vet School)",SUMIF(Points_Lookup!$M:$M,$B74,Points_Lookup!$Q:$Q),IF($B$4="R&amp;T Level 6 - Clinical Associate Professors and Clinical Readers (Vet School)",SUMIF(Points_Lookup!$T:$T,$B74,Points_Lookup!$X:$X),"")))</f>
        <v/>
      </c>
      <c r="T74" s="28" t="str">
        <f t="shared" ca="1" si="12"/>
        <v/>
      </c>
    </row>
    <row r="75" spans="2:25" x14ac:dyDescent="0.25">
      <c r="B75" s="4" t="str">
        <f ca="1">IFERROR(INDEX(Points_Lookup!$A:$A,MATCH($Y77,Points_Lookup!$AE:$AE,0)),"")</f>
        <v/>
      </c>
      <c r="C75" s="24" t="str">
        <f ca="1">IF(B75="","",IF($B$4="Apprenticeship",SUMIF(Points_Lookup!$AA:$AA,B75,Points_Lookup!$AC:$AC),IF(AND(OR($B$4="New Consultant Contract"),$B75&lt;&gt;""),INDEX(Points_Lookup!$K:$K,MATCH($B75,Points_Lookup!$J:$J,0)),IF(AND(OR($B$4="Clinical Lecturer / Medical Research Fellow",$B$4="Clinical Consultant - Old Contract (GP)"),$B75&lt;&gt;""),INDEX(Points_Lookup!$H:$H,MATCH($B75,Points_Lookup!$G:$G,0)),IF(AND(OR($B$4="APM Level 7",$B$4="R&amp;T Level 7",$B$4="APM Level 8"),B75&lt;&gt;""),INDEX(Points_Lookup!$E:$E,MATCH($Y75,Points_Lookup!$AE:$AE,0)),IF($B$4="R&amp;T Level 5 - Clinical Lecturers (Vet School)",SUMIF(Points_Lookup!$M:$M,$B75,Points_Lookup!$P:$P),IF($B$4="R&amp;T Level 6 - Clinical Associate Professors and Clinical Readers (Vet School)",SUMIF(Points_Lookup!$T:$T,$B75,Points_Lookup!$W:$W),IFERROR(INDEX(Points_Lookup!$B:$B,MATCH($Y75,Points_Lookup!$AE:$AE,0)),""))))))))</f>
        <v/>
      </c>
      <c r="D75" s="39"/>
      <c r="E75" s="24" t="str">
        <f ca="1">IF($B75="","",IF(AND($B$4="Salary Points 2 to 57",B75&lt;Thresholds_Rates!$C$16),"-",IF(SUMIF(Grades!$A:$A,$B$4,Grades!$BO:$BO)=0,"-",IF(AND($B$4="Salary Points 2 to 57",B75&gt;=Thresholds_Rates!$C$16),$C75*Thresholds_Rates!$F$15,IF(AND(OR($B$4="New Consultant Contract"),$B75&lt;&gt;""),$C75*Thresholds_Rates!$F$15,IF(AND(OR($B$4="Clinical Lecturer / Medical Research Fellow",$B$4="Clinical Consultant - Old Contract (GP)"),$B75&lt;&gt;""),$C75*Thresholds_Rates!$F$15,IF(OR($B$4="APM Level 7",$B$4="R&amp;T Level 7"),$C75*Thresholds_Rates!$F$15,IF(SUMIF(Grades!$A:$A,$B$4,Grades!$BO:$BO)=1,$C75*Thresholds_Rates!$F$15,""))))))))</f>
        <v/>
      </c>
      <c r="F75" s="24" t="str">
        <f ca="1">IF(B75="","",IF($B$4="Salary Points 1 to 57","-",IF(SUMIF(Grades!$A:$A,$B$4,Grades!$BP:$BP)=0,"-",IF(AND(OR($B$4="New Consultant Contract"),$B75&lt;&gt;""),$C75*Thresholds_Rates!$F$16,IF(AND(OR($B$4="Clinical Lecturer / Medical Research Fellow",$B$4="Clinical Consultant - Old Contract (GP)"),$B75&lt;&gt;""),$C75*Thresholds_Rates!$F$16,IF(AND(OR($B$4="APM Level 7",$B$4="R&amp;T Level 7"),E75&lt;&gt;""),$C75*Thresholds_Rates!$F$16,IF(SUMIF(Grades!$A:$A,$B$4,Grades!$BP:$BP)=1,$C75*Thresholds_Rates!$F$16,"")))))))</f>
        <v/>
      </c>
      <c r="G75" s="24" t="str">
        <f ca="1">IF(B75="","",IF(SUMIF(Grades!$A:$A,$B$4,Grades!$BQ:$BQ)=0,"-",IF(AND($B$4="Salary Points 1 to 57",B75&gt;Thresholds_Rates!$C$17),"-",IF(AND($B$4="Salary Points 1 to 57",B75&lt;=Thresholds_Rates!$C$17),$C75*Thresholds_Rates!$F$17,IF(AND(OR($B$4="New Consultant Contract"),$B75&lt;&gt;""),$C75*Thresholds_Rates!$F$17,IF(AND(OR($B$4="Clinical Lecturer / Medical Research Fellow",$B$4="Clinical Consultant - Old Contract (GP)"),$B75&lt;&gt;""),$C75*Thresholds_Rates!$F$17,IF(AND(OR($B$4="APM Level 7",$B$4="R&amp;T Level 7"),F75&lt;&gt;""),$C75*Thresholds_Rates!$F$17,IF(SUMIF(Grades!$A:$A,$B$4,Grades!$BQ:$BQ)=1,$C75*Thresholds_Rates!$F$17,""))))))))</f>
        <v/>
      </c>
      <c r="H75" s="24" t="str">
        <f ca="1">IF($B75="","",ROUND(($C75-(Thresholds_Rates!$C$5*12))*Thresholds_Rates!$C$10,0))</f>
        <v/>
      </c>
      <c r="I75" s="24" t="str">
        <f ca="1">IF(B75="","",IF(AND($B$4="Salary Points 1 to 57",B75&gt;Thresholds_Rates!$C$17),"-",IF(SUMIF(Grades!$A:$A,$B$4,Grades!$BR:$BR)=0,"-",IF(AND($B$4="Salary Points 1 to 57",B75&lt;=Thresholds_Rates!$C$17),$C75*Thresholds_Rates!$F$18,IF(AND(OR($B$4="New Consultant Contract"),$B75&lt;&gt;""),$C75*Thresholds_Rates!$F$18,IF(AND(OR($B$4="Clinical Lecturer / Medical Research Fellow",$B$4="Clinical Consultant - Old Contract (GP)"),$B75&lt;&gt;""),$C75*Thresholds_Rates!$F$18,IF(AND(OR($B$4="APM Level 7",$B$4="R&amp;T Level 7"),H75&lt;&gt;""),$C75*Thresholds_Rates!$F$18,IF(SUMIF(Grades!$A:$A,$B$4,Grades!$BQ:$BQ)=1,$C75*Thresholds_Rates!$F$18,""))))))))</f>
        <v/>
      </c>
      <c r="J75" s="4"/>
      <c r="K75" s="24" t="str">
        <f t="shared" ca="1" si="7"/>
        <v/>
      </c>
      <c r="L75" s="24" t="str">
        <f t="shared" ca="1" si="8"/>
        <v/>
      </c>
      <c r="M75" s="24" t="str">
        <f t="shared" ca="1" si="9"/>
        <v/>
      </c>
      <c r="N75" s="24" t="str">
        <f t="shared" ca="1" si="10"/>
        <v/>
      </c>
      <c r="O75" s="24" t="str">
        <f t="shared" ca="1" si="11"/>
        <v/>
      </c>
      <c r="Q75" s="27" t="str">
        <f ca="1">IF(B75="","",IF($B$4="R&amp;T Level 5 - Clinical Lecturers (Vet School)",SUMIF(Points_Lookup!$M:$M,$B75,Points_Lookup!$N:$N),IF($B$4="R&amp;T Level 6 - Clinical Associate Professors and Clinical Readers (Vet School)",SUMIF(Points_Lookup!$T:$T,$B75,Points_Lookup!$U:$U),"")))</f>
        <v/>
      </c>
      <c r="R75" s="28" t="str">
        <f ca="1">IF(B75="","",IF($B$4="R&amp;T Level 5 - Clinical Lecturers (Vet School)",$C75-SUMIF(Points_Lookup!$M:$M,$B75,Points_Lookup!$O:$O),IF($B$4="R&amp;T Level 6 - Clinical Associate Professors and Clinical Readers (Vet School)",$C75-SUMIF(Points_Lookup!$T:$T,$B75,Points_Lookup!$V:$V),"")))</f>
        <v/>
      </c>
      <c r="S75" s="27" t="str">
        <f ca="1">IF(B75="","",IF($B$4="R&amp;T Level 5 - Clinical Lecturers (Vet School)",SUMIF(Points_Lookup!$M:$M,$B75,Points_Lookup!$Q:$Q),IF($B$4="R&amp;T Level 6 - Clinical Associate Professors and Clinical Readers (Vet School)",SUMIF(Points_Lookup!$T:$T,$B75,Points_Lookup!$X:$X),"")))</f>
        <v/>
      </c>
      <c r="T75" s="28" t="str">
        <f t="shared" ca="1" si="12"/>
        <v/>
      </c>
    </row>
    <row r="76" spans="2:25" x14ac:dyDescent="0.25">
      <c r="B76" s="4" t="str">
        <f ca="1">IFERROR(INDEX(Points_Lookup!$A:$A,MATCH($Y78,Points_Lookup!$AE:$AE,0)),"")</f>
        <v/>
      </c>
      <c r="C76" s="24" t="str">
        <f ca="1">IF(B76="","",IF($B$4="Apprenticeship",SUMIF(Points_Lookup!$AA:$AA,B76,Points_Lookup!$AC:$AC),IF(AND(OR($B$4="New Consultant Contract"),$B76&lt;&gt;""),INDEX(Points_Lookup!$K:$K,MATCH($B76,Points_Lookup!$J:$J,0)),IF(AND(OR($B$4="Clinical Lecturer / Medical Research Fellow",$B$4="Clinical Consultant - Old Contract (GP)"),$B76&lt;&gt;""),INDEX(Points_Lookup!$H:$H,MATCH($B76,Points_Lookup!$G:$G,0)),IF(AND(OR($B$4="APM Level 7",$B$4="R&amp;T Level 7",$B$4="APM Level 8"),B76&lt;&gt;""),INDEX(Points_Lookup!$E:$E,MATCH($Y76,Points_Lookup!$AE:$AE,0)),IF($B$4="R&amp;T Level 5 - Clinical Lecturers (Vet School)",SUMIF(Points_Lookup!$M:$M,$B76,Points_Lookup!$P:$P),IF($B$4="R&amp;T Level 6 - Clinical Associate Professors and Clinical Readers (Vet School)",SUMIF(Points_Lookup!$T:$T,$B76,Points_Lookup!$W:$W),IFERROR(INDEX(Points_Lookup!$B:$B,MATCH($Y76,Points_Lookup!$AE:$AE,0)),""))))))))</f>
        <v/>
      </c>
      <c r="D76" s="39"/>
      <c r="E76" s="24" t="str">
        <f ca="1">IF($B76="","",IF(AND($B$4="Salary Points 2 to 57",B76&lt;Thresholds_Rates!$C$16),"-",IF(SUMIF(Grades!$A:$A,$B$4,Grades!$BO:$BO)=0,"-",IF(AND($B$4="Salary Points 2 to 57",B76&gt;=Thresholds_Rates!$C$16),$C76*Thresholds_Rates!$F$15,IF(AND(OR($B$4="New Consultant Contract"),$B76&lt;&gt;""),$C76*Thresholds_Rates!$F$15,IF(AND(OR($B$4="Clinical Lecturer / Medical Research Fellow",$B$4="Clinical Consultant - Old Contract (GP)"),$B76&lt;&gt;""),$C76*Thresholds_Rates!$F$15,IF(OR($B$4="APM Level 7",$B$4="R&amp;T Level 7"),$C76*Thresholds_Rates!$F$15,IF(SUMIF(Grades!$A:$A,$B$4,Grades!$BO:$BO)=1,$C76*Thresholds_Rates!$F$15,""))))))))</f>
        <v/>
      </c>
      <c r="F76" s="24" t="str">
        <f ca="1">IF(B76="","",IF($B$4="Salary Points 1 to 57","-",IF(SUMIF(Grades!$A:$A,$B$4,Grades!$BP:$BP)=0,"-",IF(AND(OR($B$4="New Consultant Contract"),$B76&lt;&gt;""),$C76*Thresholds_Rates!$F$16,IF(AND(OR($B$4="Clinical Lecturer / Medical Research Fellow",$B$4="Clinical Consultant - Old Contract (GP)"),$B76&lt;&gt;""),$C76*Thresholds_Rates!$F$16,IF(AND(OR($B$4="APM Level 7",$B$4="R&amp;T Level 7"),E76&lt;&gt;""),$C76*Thresholds_Rates!$F$16,IF(SUMIF(Grades!$A:$A,$B$4,Grades!$BP:$BP)=1,$C76*Thresholds_Rates!$F$16,"")))))))</f>
        <v/>
      </c>
      <c r="G76" s="24" t="str">
        <f ca="1">IF(B76="","",IF(SUMIF(Grades!$A:$A,$B$4,Grades!$BQ:$BQ)=0,"-",IF(AND($B$4="Salary Points 1 to 57",B76&gt;Thresholds_Rates!$C$17),"-",IF(AND($B$4="Salary Points 1 to 57",B76&lt;=Thresholds_Rates!$C$17),$C76*Thresholds_Rates!$F$17,IF(AND(OR($B$4="New Consultant Contract"),$B76&lt;&gt;""),$C76*Thresholds_Rates!$F$17,IF(AND(OR($B$4="Clinical Lecturer / Medical Research Fellow",$B$4="Clinical Consultant - Old Contract (GP)"),$B76&lt;&gt;""),$C76*Thresholds_Rates!$F$17,IF(AND(OR($B$4="APM Level 7",$B$4="R&amp;T Level 7"),F76&lt;&gt;""),$C76*Thresholds_Rates!$F$17,IF(SUMIF(Grades!$A:$A,$B$4,Grades!$BQ:$BQ)=1,$C76*Thresholds_Rates!$F$17,""))))))))</f>
        <v/>
      </c>
      <c r="H76" s="24" t="str">
        <f ca="1">IF($B76="","",ROUND(($C76-(Thresholds_Rates!$C$5*12))*Thresholds_Rates!$C$10,0))</f>
        <v/>
      </c>
      <c r="I76" s="24" t="str">
        <f ca="1">IF(B76="","",IF(AND($B$4="Salary Points 1 to 57",B76&gt;Thresholds_Rates!$C$17),"-",IF(SUMIF(Grades!$A:$A,$B$4,Grades!$BR:$BR)=0,"-",IF(AND($B$4="Salary Points 1 to 57",B76&lt;=Thresholds_Rates!$C$17),$C76*Thresholds_Rates!$F$18,IF(AND(OR($B$4="New Consultant Contract"),$B76&lt;&gt;""),$C76*Thresholds_Rates!$F$18,IF(AND(OR($B$4="Clinical Lecturer / Medical Research Fellow",$B$4="Clinical Consultant - Old Contract (GP)"),$B76&lt;&gt;""),$C76*Thresholds_Rates!$F$18,IF(AND(OR($B$4="APM Level 7",$B$4="R&amp;T Level 7"),H76&lt;&gt;""),$C76*Thresholds_Rates!$F$18,IF(SUMIF(Grades!$A:$A,$B$4,Grades!$BQ:$BQ)=1,$C76*Thresholds_Rates!$F$18,""))))))))</f>
        <v/>
      </c>
      <c r="J76" s="4"/>
      <c r="K76" s="24" t="str">
        <f t="shared" ca="1" si="7"/>
        <v/>
      </c>
      <c r="L76" s="24" t="str">
        <f t="shared" ca="1" si="8"/>
        <v/>
      </c>
      <c r="M76" s="24" t="str">
        <f t="shared" ca="1" si="9"/>
        <v/>
      </c>
      <c r="N76" s="24" t="str">
        <f t="shared" ca="1" si="10"/>
        <v/>
      </c>
      <c r="O76" s="24" t="str">
        <f t="shared" ca="1" si="11"/>
        <v/>
      </c>
      <c r="Q76" s="27" t="str">
        <f ca="1">IF(B76="","",IF($B$4="R&amp;T Level 5 - Clinical Lecturers (Vet School)",SUMIF(Points_Lookup!$M:$M,$B76,Points_Lookup!$N:$N),IF($B$4="R&amp;T Level 6 - Clinical Associate Professors and Clinical Readers (Vet School)",SUMIF(Points_Lookup!$T:$T,$B76,Points_Lookup!$U:$U),"")))</f>
        <v/>
      </c>
      <c r="R76" s="28" t="str">
        <f ca="1">IF(B76="","",IF($B$4="R&amp;T Level 5 - Clinical Lecturers (Vet School)",$C76-SUMIF(Points_Lookup!$M:$M,$B76,Points_Lookup!$O:$O),IF($B$4="R&amp;T Level 6 - Clinical Associate Professors and Clinical Readers (Vet School)",$C76-SUMIF(Points_Lookup!$T:$T,$B76,Points_Lookup!$V:$V),"")))</f>
        <v/>
      </c>
      <c r="S76" s="27" t="str">
        <f ca="1">IF(B76="","",IF($B$4="R&amp;T Level 5 - Clinical Lecturers (Vet School)",SUMIF(Points_Lookup!$M:$M,$B76,Points_Lookup!$Q:$Q),IF($B$4="R&amp;T Level 6 - Clinical Associate Professors and Clinical Readers (Vet School)",SUMIF(Points_Lookup!$T:$T,$B76,Points_Lookup!$X:$X),"")))</f>
        <v/>
      </c>
      <c r="T76" s="28" t="str">
        <f t="shared" ca="1" si="12"/>
        <v/>
      </c>
    </row>
    <row r="77" spans="2:25" x14ac:dyDescent="0.25">
      <c r="B77" s="4" t="str">
        <f ca="1">IFERROR(INDEX(Points_Lookup!$A:$A,MATCH($Y79,Points_Lookup!$AE:$AE,0)),"")</f>
        <v/>
      </c>
      <c r="C77" s="24" t="str">
        <f ca="1">IF(B77="","",IF($B$4="Apprenticeship",SUMIF(Points_Lookup!$AA:$AA,B77,Points_Lookup!$AC:$AC),IF(AND(OR($B$4="New Consultant Contract"),$B77&lt;&gt;""),INDEX(Points_Lookup!$K:$K,MATCH($B77,Points_Lookup!$J:$J,0)),IF(AND(OR($B$4="Clinical Lecturer / Medical Research Fellow",$B$4="Clinical Consultant - Old Contract (GP)"),$B77&lt;&gt;""),INDEX(Points_Lookup!$H:$H,MATCH($B77,Points_Lookup!$G:$G,0)),IF(AND(OR($B$4="APM Level 7",$B$4="R&amp;T Level 7",$B$4="APM Level 8"),B77&lt;&gt;""),INDEX(Points_Lookup!$E:$E,MATCH($Y77,Points_Lookup!$AE:$AE,0)),IF($B$4="R&amp;T Level 5 - Clinical Lecturers (Vet School)",SUMIF(Points_Lookup!$M:$M,$B77,Points_Lookup!$P:$P),IF($B$4="R&amp;T Level 6 - Clinical Associate Professors and Clinical Readers (Vet School)",SUMIF(Points_Lookup!$T:$T,$B77,Points_Lookup!$W:$W),IFERROR(INDEX(Points_Lookup!$B:$B,MATCH($Y77,Points_Lookup!$AE:$AE,0)),""))))))))</f>
        <v/>
      </c>
      <c r="D77" s="39"/>
      <c r="E77" s="24" t="str">
        <f ca="1">IF($B77="","",IF(AND($B$4="Salary Points 2 to 57",B77&lt;Thresholds_Rates!$C$16),"-",IF(SUMIF(Grades!$A:$A,$B$4,Grades!$BO:$BO)=0,"-",IF(AND($B$4="Salary Points 2 to 57",B77&gt;=Thresholds_Rates!$C$16),$C77*Thresholds_Rates!$F$15,IF(AND(OR($B$4="New Consultant Contract"),$B77&lt;&gt;""),$C77*Thresholds_Rates!$F$15,IF(AND(OR($B$4="Clinical Lecturer / Medical Research Fellow",$B$4="Clinical Consultant - Old Contract (GP)"),$B77&lt;&gt;""),$C77*Thresholds_Rates!$F$15,IF(OR($B$4="APM Level 7",$B$4="R&amp;T Level 7"),$C77*Thresholds_Rates!$F$15,IF(SUMIF(Grades!$A:$A,$B$4,Grades!$BO:$BO)=1,$C77*Thresholds_Rates!$F$15,""))))))))</f>
        <v/>
      </c>
      <c r="F77" s="24" t="str">
        <f ca="1">IF(B77="","",IF($B$4="Salary Points 1 to 57","-",IF(SUMIF(Grades!$A:$A,$B$4,Grades!$BP:$BP)=0,"-",IF(AND(OR($B$4="New Consultant Contract"),$B77&lt;&gt;""),$C77*Thresholds_Rates!$F$16,IF(AND(OR($B$4="Clinical Lecturer / Medical Research Fellow",$B$4="Clinical Consultant - Old Contract (GP)"),$B77&lt;&gt;""),$C77*Thresholds_Rates!$F$16,IF(AND(OR($B$4="APM Level 7",$B$4="R&amp;T Level 7"),E77&lt;&gt;""),$C77*Thresholds_Rates!$F$16,IF(SUMIF(Grades!$A:$A,$B$4,Grades!$BP:$BP)=1,$C77*Thresholds_Rates!$F$16,"")))))))</f>
        <v/>
      </c>
      <c r="G77" s="24" t="str">
        <f ca="1">IF(B77="","",IF(SUMIF(Grades!$A:$A,$B$4,Grades!$BQ:$BQ)=0,"-",IF(AND($B$4="Salary Points 1 to 57",B77&gt;Thresholds_Rates!$C$17),"-",IF(AND($B$4="Salary Points 1 to 57",B77&lt;=Thresholds_Rates!$C$17),$C77*Thresholds_Rates!$F$17,IF(AND(OR($B$4="New Consultant Contract"),$B77&lt;&gt;""),$C77*Thresholds_Rates!$F$17,IF(AND(OR($B$4="Clinical Lecturer / Medical Research Fellow",$B$4="Clinical Consultant - Old Contract (GP)"),$B77&lt;&gt;""),$C77*Thresholds_Rates!$F$17,IF(AND(OR($B$4="APM Level 7",$B$4="R&amp;T Level 7"),F77&lt;&gt;""),$C77*Thresholds_Rates!$F$17,IF(SUMIF(Grades!$A:$A,$B$4,Grades!$BQ:$BQ)=1,$C77*Thresholds_Rates!$F$17,""))))))))</f>
        <v/>
      </c>
      <c r="H77" s="24" t="str">
        <f ca="1">IF($B77="","",ROUND(($C77-(Thresholds_Rates!$C$5*12))*Thresholds_Rates!$C$10,0))</f>
        <v/>
      </c>
      <c r="I77" s="24" t="str">
        <f ca="1">IF(B77="","",IF(AND($B$4="Salary Points 1 to 57",B77&gt;Thresholds_Rates!$C$17),"-",IF(SUMIF(Grades!$A:$A,$B$4,Grades!$BR:$BR)=0,"-",IF(AND($B$4="Salary Points 1 to 57",B77&lt;=Thresholds_Rates!$C$17),$C77*Thresholds_Rates!$F$18,IF(AND(OR($B$4="New Consultant Contract"),$B77&lt;&gt;""),$C77*Thresholds_Rates!$F$18,IF(AND(OR($B$4="Clinical Lecturer / Medical Research Fellow",$B$4="Clinical Consultant - Old Contract (GP)"),$B77&lt;&gt;""),$C77*Thresholds_Rates!$F$18,IF(AND(OR($B$4="APM Level 7",$B$4="R&amp;T Level 7"),H77&lt;&gt;""),$C77*Thresholds_Rates!$F$18,IF(SUMIF(Grades!$A:$A,$B$4,Grades!$BQ:$BQ)=1,$C77*Thresholds_Rates!$F$18,""))))))))</f>
        <v/>
      </c>
      <c r="J77" s="4"/>
      <c r="K77" s="24" t="str">
        <f t="shared" ca="1" si="7"/>
        <v/>
      </c>
      <c r="L77" s="24" t="str">
        <f t="shared" ca="1" si="8"/>
        <v/>
      </c>
      <c r="M77" s="24" t="str">
        <f t="shared" ca="1" si="9"/>
        <v/>
      </c>
      <c r="N77" s="24" t="str">
        <f t="shared" ca="1" si="10"/>
        <v/>
      </c>
      <c r="O77" s="24" t="str">
        <f t="shared" ca="1" si="11"/>
        <v/>
      </c>
      <c r="Q77" s="27" t="str">
        <f ca="1">IF(B77="","",IF($B$4="R&amp;T Level 5 - Clinical Lecturers (Vet School)",SUMIF(Points_Lookup!$M:$M,$B77,Points_Lookup!$N:$N),IF($B$4="R&amp;T Level 6 - Clinical Associate Professors and Clinical Readers (Vet School)",SUMIF(Points_Lookup!$T:$T,$B77,Points_Lookup!$U:$U),"")))</f>
        <v/>
      </c>
      <c r="R77" s="28" t="str">
        <f ca="1">IF(B77="","",IF($B$4="R&amp;T Level 5 - Clinical Lecturers (Vet School)",$C77-SUMIF(Points_Lookup!$M:$M,$B77,Points_Lookup!$O:$O),IF($B$4="R&amp;T Level 6 - Clinical Associate Professors and Clinical Readers (Vet School)",$C77-SUMIF(Points_Lookup!$T:$T,$B77,Points_Lookup!$V:$V),"")))</f>
        <v/>
      </c>
      <c r="S77" s="27" t="str">
        <f ca="1">IF(B77="","",IF($B$4="R&amp;T Level 5 - Clinical Lecturers (Vet School)",SUMIF(Points_Lookup!$M:$M,$B77,Points_Lookup!$Q:$Q),IF($B$4="R&amp;T Level 6 - Clinical Associate Professors and Clinical Readers (Vet School)",SUMIF(Points_Lookup!$T:$T,$B77,Points_Lookup!$X:$X),"")))</f>
        <v/>
      </c>
      <c r="T77" s="28" t="str">
        <f t="shared" ca="1" si="12"/>
        <v/>
      </c>
    </row>
    <row r="78" spans="2:25" x14ac:dyDescent="0.25">
      <c r="B78" s="4" t="str">
        <f ca="1">IFERROR(INDEX(Points_Lookup!$A:$A,MATCH($Y80,Points_Lookup!$AE:$AE,0)),"")</f>
        <v/>
      </c>
      <c r="C78" s="24" t="str">
        <f ca="1">IF(B78="","",IF($B$4="Apprenticeship",SUMIF(Points_Lookup!$AA:$AA,B78,Points_Lookup!$AC:$AC),IF(AND(OR($B$4="New Consultant Contract"),$B78&lt;&gt;""),INDEX(Points_Lookup!$K:$K,MATCH($B78,Points_Lookup!$J:$J,0)),IF(AND(OR($B$4="Clinical Lecturer / Medical Research Fellow",$B$4="Clinical Consultant - Old Contract (GP)"),$B78&lt;&gt;""),INDEX(Points_Lookup!$H:$H,MATCH($B78,Points_Lookup!$G:$G,0)),IF(AND(OR($B$4="APM Level 7",$B$4="R&amp;T Level 7",$B$4="APM Level 8"),B78&lt;&gt;""),INDEX(Points_Lookup!$E:$E,MATCH($Y78,Points_Lookup!$AE:$AE,0)),IF($B$4="R&amp;T Level 5 - Clinical Lecturers (Vet School)",SUMIF(Points_Lookup!$M:$M,$B78,Points_Lookup!$P:$P),IF($B$4="R&amp;T Level 6 - Clinical Associate Professors and Clinical Readers (Vet School)",SUMIF(Points_Lookup!$T:$T,$B78,Points_Lookup!$W:$W),IFERROR(INDEX(Points_Lookup!$B:$B,MATCH($Y78,Points_Lookup!$AE:$AE,0)),""))))))))</f>
        <v/>
      </c>
      <c r="D78" s="39"/>
      <c r="E78" s="24" t="str">
        <f ca="1">IF($B78="","",IF(AND($B$4="Salary Points 2 to 57",B78&lt;Thresholds_Rates!$C$16),"-",IF(SUMIF(Grades!$A:$A,$B$4,Grades!$BO:$BO)=0,"-",IF(AND($B$4="Salary Points 2 to 57",B78&gt;=Thresholds_Rates!$C$16),$C78*Thresholds_Rates!$F$15,IF(AND(OR($B$4="New Consultant Contract"),$B78&lt;&gt;""),$C78*Thresholds_Rates!$F$15,IF(AND(OR($B$4="Clinical Lecturer / Medical Research Fellow",$B$4="Clinical Consultant - Old Contract (GP)"),$B78&lt;&gt;""),$C78*Thresholds_Rates!$F$15,IF(OR($B$4="APM Level 7",$B$4="R&amp;T Level 7"),$C78*Thresholds_Rates!$F$15,IF(SUMIF(Grades!$A:$A,$B$4,Grades!$BO:$BO)=1,$C78*Thresholds_Rates!$F$15,""))))))))</f>
        <v/>
      </c>
      <c r="F78" s="24" t="str">
        <f ca="1">IF(B78="","",IF($B$4="Salary Points 1 to 57","-",IF(SUMIF(Grades!$A:$A,$B$4,Grades!$BP:$BP)=0,"-",IF(AND(OR($B$4="New Consultant Contract"),$B78&lt;&gt;""),$C78*Thresholds_Rates!$F$16,IF(AND(OR($B$4="Clinical Lecturer / Medical Research Fellow",$B$4="Clinical Consultant - Old Contract (GP)"),$B78&lt;&gt;""),$C78*Thresholds_Rates!$F$16,IF(AND(OR($B$4="APM Level 7",$B$4="R&amp;T Level 7"),E78&lt;&gt;""),$C78*Thresholds_Rates!$F$16,IF(SUMIF(Grades!$A:$A,$B$4,Grades!$BP:$BP)=1,$C78*Thresholds_Rates!$F$16,"")))))))</f>
        <v/>
      </c>
      <c r="G78" s="24" t="str">
        <f ca="1">IF(B78="","",IF(SUMIF(Grades!$A:$A,$B$4,Grades!$BQ:$BQ)=0,"-",IF(AND($B$4="Salary Points 1 to 57",B78&gt;Thresholds_Rates!$C$17),"-",IF(AND($B$4="Salary Points 1 to 57",B78&lt;=Thresholds_Rates!$C$17),$C78*Thresholds_Rates!$F$17,IF(AND(OR($B$4="New Consultant Contract"),$B78&lt;&gt;""),$C78*Thresholds_Rates!$F$17,IF(AND(OR($B$4="Clinical Lecturer / Medical Research Fellow",$B$4="Clinical Consultant - Old Contract (GP)"),$B78&lt;&gt;""),$C78*Thresholds_Rates!$F$17,IF(AND(OR($B$4="APM Level 7",$B$4="R&amp;T Level 7"),F78&lt;&gt;""),$C78*Thresholds_Rates!$F$17,IF(SUMIF(Grades!$A:$A,$B$4,Grades!$BQ:$BQ)=1,$C78*Thresholds_Rates!$F$17,""))))))))</f>
        <v/>
      </c>
      <c r="H78" s="24" t="str">
        <f ca="1">IF($B78="","",ROUND(($C78-(Thresholds_Rates!$C$5*12))*Thresholds_Rates!$C$10,0))</f>
        <v/>
      </c>
      <c r="I78" s="24" t="str">
        <f ca="1">IF(B78="","",IF(AND($B$4="Salary Points 1 to 57",B78&gt;Thresholds_Rates!$C$17),"-",IF(SUMIF(Grades!$A:$A,$B$4,Grades!$BR:$BR)=0,"-",IF(AND($B$4="Salary Points 1 to 57",B78&lt;=Thresholds_Rates!$C$17),$C78*Thresholds_Rates!$F$18,IF(AND(OR($B$4="New Consultant Contract"),$B78&lt;&gt;""),$C78*Thresholds_Rates!$F$18,IF(AND(OR($B$4="Clinical Lecturer / Medical Research Fellow",$B$4="Clinical Consultant - Old Contract (GP)"),$B78&lt;&gt;""),$C78*Thresholds_Rates!$F$18,IF(AND(OR($B$4="APM Level 7",$B$4="R&amp;T Level 7"),H78&lt;&gt;""),$C78*Thresholds_Rates!$F$18,IF(SUMIF(Grades!$A:$A,$B$4,Grades!$BQ:$BQ)=1,$C78*Thresholds_Rates!$F$18,""))))))))</f>
        <v/>
      </c>
      <c r="J78" s="4"/>
      <c r="K78" s="24" t="str">
        <f t="shared" ca="1" si="7"/>
        <v/>
      </c>
      <c r="L78" s="24" t="str">
        <f t="shared" ca="1" si="8"/>
        <v/>
      </c>
      <c r="M78" s="24" t="str">
        <f t="shared" ca="1" si="9"/>
        <v/>
      </c>
      <c r="N78" s="24" t="str">
        <f t="shared" ca="1" si="10"/>
        <v/>
      </c>
      <c r="O78" s="24" t="str">
        <f t="shared" ca="1" si="11"/>
        <v/>
      </c>
      <c r="Q78" s="27" t="str">
        <f ca="1">IF(B78="","",IF($B$4="R&amp;T Level 5 - Clinical Lecturers (Vet School)",SUMIF(Points_Lookup!$M:$M,$B78,Points_Lookup!$N:$N),IF($B$4="R&amp;T Level 6 - Clinical Associate Professors and Clinical Readers (Vet School)",SUMIF(Points_Lookup!$T:$T,$B78,Points_Lookup!$U:$U),"")))</f>
        <v/>
      </c>
      <c r="R78" s="28" t="str">
        <f ca="1">IF(B78="","",IF($B$4="R&amp;T Level 5 - Clinical Lecturers (Vet School)",$C78-SUMIF(Points_Lookup!$M:$M,$B78,Points_Lookup!$O:$O),IF($B$4="R&amp;T Level 6 - Clinical Associate Professors and Clinical Readers (Vet School)",$C78-SUMIF(Points_Lookup!$T:$T,$B78,Points_Lookup!$V:$V),"")))</f>
        <v/>
      </c>
      <c r="S78" s="27" t="str">
        <f ca="1">IF(B78="","",IF($B$4="R&amp;T Level 5 - Clinical Lecturers (Vet School)",SUMIF(Points_Lookup!$M:$M,$B78,Points_Lookup!$Q:$Q),IF($B$4="R&amp;T Level 6 - Clinical Associate Professors and Clinical Readers (Vet School)",SUMIF(Points_Lookup!$T:$T,$B78,Points_Lookup!$X:$X),"")))</f>
        <v/>
      </c>
      <c r="T78" s="28" t="str">
        <f t="shared" ca="1" si="12"/>
        <v/>
      </c>
    </row>
    <row r="79" spans="2:25" x14ac:dyDescent="0.25">
      <c r="B79" s="4" t="str">
        <f ca="1">IFERROR(INDEX(Points_Lookup!$A:$A,MATCH($Y81,Points_Lookup!$AE:$AE,0)),"")</f>
        <v/>
      </c>
      <c r="C79" s="24" t="str">
        <f ca="1">IF(B79="","",IF($B$4="Apprenticeship",SUMIF(Points_Lookup!$AA:$AA,B79,Points_Lookup!$AC:$AC),IF(AND(OR($B$4="New Consultant Contract"),$B79&lt;&gt;""),INDEX(Points_Lookup!$K:$K,MATCH($B79,Points_Lookup!$J:$J,0)),IF(AND(OR($B$4="Clinical Lecturer / Medical Research Fellow",$B$4="Clinical Consultant - Old Contract (GP)"),$B79&lt;&gt;""),INDEX(Points_Lookup!$H:$H,MATCH($B79,Points_Lookup!$G:$G,0)),IF(AND(OR($B$4="APM Level 7",$B$4="R&amp;T Level 7",$B$4="APM Level 8"),B79&lt;&gt;""),INDEX(Points_Lookup!$E:$E,MATCH($Y79,Points_Lookup!$AE:$AE,0)),IF($B$4="R&amp;T Level 5 - Clinical Lecturers (Vet School)",SUMIF(Points_Lookup!$M:$M,$B79,Points_Lookup!$P:$P),IF($B$4="R&amp;T Level 6 - Clinical Associate Professors and Clinical Readers (Vet School)",SUMIF(Points_Lookup!$T:$T,$B79,Points_Lookup!$W:$W),IFERROR(INDEX(Points_Lookup!$B:$B,MATCH($Y79,Points_Lookup!$AE:$AE,0)),""))))))))</f>
        <v/>
      </c>
      <c r="D79" s="39"/>
      <c r="E79" s="24" t="str">
        <f ca="1">IF($B79="","",IF(AND($B$4="Salary Points 2 to 57",B79&lt;Thresholds_Rates!$C$16),"-",IF(SUMIF(Grades!$A:$A,$B$4,Grades!$BO:$BO)=0,"-",IF(AND($B$4="Salary Points 2 to 57",B79&gt;=Thresholds_Rates!$C$16),$C79*Thresholds_Rates!$F$15,IF(AND(OR($B$4="New Consultant Contract"),$B79&lt;&gt;""),$C79*Thresholds_Rates!$F$15,IF(AND(OR($B$4="Clinical Lecturer / Medical Research Fellow",$B$4="Clinical Consultant - Old Contract (GP)"),$B79&lt;&gt;""),$C79*Thresholds_Rates!$F$15,IF(OR($B$4="APM Level 7",$B$4="R&amp;T Level 7"),$C79*Thresholds_Rates!$F$15,IF(SUMIF(Grades!$A:$A,$B$4,Grades!$BO:$BO)=1,$C79*Thresholds_Rates!$F$15,""))))))))</f>
        <v/>
      </c>
      <c r="F79" s="24" t="str">
        <f ca="1">IF(B79="","",IF($B$4="Salary Points 1 to 57","-",IF(SUMIF(Grades!$A:$A,$B$4,Grades!$BP:$BP)=0,"-",IF(AND(OR($B$4="New Consultant Contract"),$B79&lt;&gt;""),$C79*Thresholds_Rates!$F$16,IF(AND(OR($B$4="Clinical Lecturer / Medical Research Fellow",$B$4="Clinical Consultant - Old Contract (GP)"),$B79&lt;&gt;""),$C79*Thresholds_Rates!$F$16,IF(AND(OR($B$4="APM Level 7",$B$4="R&amp;T Level 7"),E79&lt;&gt;""),$C79*Thresholds_Rates!$F$16,IF(SUMIF(Grades!$A:$A,$B$4,Grades!$BP:$BP)=1,$C79*Thresholds_Rates!$F$16,"")))))))</f>
        <v/>
      </c>
      <c r="G79" s="24" t="str">
        <f ca="1">IF(B79="","",IF(SUMIF(Grades!$A:$A,$B$4,Grades!$BQ:$BQ)=0,"-",IF(AND($B$4="Salary Points 1 to 57",B79&gt;Thresholds_Rates!$C$17),"-",IF(AND($B$4="Salary Points 1 to 57",B79&lt;=Thresholds_Rates!$C$17),$C79*Thresholds_Rates!$F$17,IF(AND(OR($B$4="New Consultant Contract"),$B79&lt;&gt;""),$C79*Thresholds_Rates!$F$17,IF(AND(OR($B$4="Clinical Lecturer / Medical Research Fellow",$B$4="Clinical Consultant - Old Contract (GP)"),$B79&lt;&gt;""),$C79*Thresholds_Rates!$F$17,IF(AND(OR($B$4="APM Level 7",$B$4="R&amp;T Level 7"),F79&lt;&gt;""),$C79*Thresholds_Rates!$F$17,IF(SUMIF(Grades!$A:$A,$B$4,Grades!$BQ:$BQ)=1,$C79*Thresholds_Rates!$F$17,""))))))))</f>
        <v/>
      </c>
      <c r="H79" s="24" t="str">
        <f ca="1">IF($B79="","",ROUND(($C79-(Thresholds_Rates!$C$5*12))*Thresholds_Rates!$C$10,0))</f>
        <v/>
      </c>
      <c r="I79" s="24" t="str">
        <f ca="1">IF(B79="","",IF(AND($B$4="Salary Points 1 to 57",B79&gt;Thresholds_Rates!$C$17),"-",IF(SUMIF(Grades!$A:$A,$B$4,Grades!$BR:$BR)=0,"-",IF(AND($B$4="Salary Points 1 to 57",B79&lt;=Thresholds_Rates!$C$17),$C79*Thresholds_Rates!$F$18,IF(AND(OR($B$4="New Consultant Contract"),$B79&lt;&gt;""),$C79*Thresholds_Rates!$F$18,IF(AND(OR($B$4="Clinical Lecturer / Medical Research Fellow",$B$4="Clinical Consultant - Old Contract (GP)"),$B79&lt;&gt;""),$C79*Thresholds_Rates!$F$18,IF(AND(OR($B$4="APM Level 7",$B$4="R&amp;T Level 7"),H79&lt;&gt;""),$C79*Thresholds_Rates!$F$18,IF(SUMIF(Grades!$A:$A,$B$4,Grades!$BQ:$BQ)=1,$C79*Thresholds_Rates!$F$18,""))))))))</f>
        <v/>
      </c>
      <c r="J79" s="4"/>
      <c r="K79" s="24" t="str">
        <f t="shared" ca="1" si="7"/>
        <v/>
      </c>
      <c r="L79" s="24" t="str">
        <f t="shared" ca="1" si="8"/>
        <v/>
      </c>
      <c r="M79" s="24" t="str">
        <f t="shared" ca="1" si="9"/>
        <v/>
      </c>
      <c r="N79" s="24" t="str">
        <f t="shared" ca="1" si="10"/>
        <v/>
      </c>
      <c r="O79" s="24" t="str">
        <f t="shared" ca="1" si="11"/>
        <v/>
      </c>
      <c r="Q79" s="27" t="str">
        <f ca="1">IF(B79="","",IF($B$4="R&amp;T Level 5 - Clinical Lecturers (Vet School)",SUMIF(Points_Lookup!$M:$M,$B79,Points_Lookup!$N:$N),IF($B$4="R&amp;T Level 6 - Clinical Associate Professors and Clinical Readers (Vet School)",SUMIF(Points_Lookup!$T:$T,$B79,Points_Lookup!$U:$U),"")))</f>
        <v/>
      </c>
      <c r="R79" s="28" t="str">
        <f ca="1">IF(B79="","",IF($B$4="R&amp;T Level 5 - Clinical Lecturers (Vet School)",$C79-SUMIF(Points_Lookup!$M:$M,$B79,Points_Lookup!$O:$O),IF($B$4="R&amp;T Level 6 - Clinical Associate Professors and Clinical Readers (Vet School)",$C79-SUMIF(Points_Lookup!$T:$T,$B79,Points_Lookup!$V:$V),"")))</f>
        <v/>
      </c>
      <c r="S79" s="27" t="str">
        <f ca="1">IF(B79="","",IF($B$4="R&amp;T Level 5 - Clinical Lecturers (Vet School)",SUMIF(Points_Lookup!$M:$M,$B79,Points_Lookup!$Q:$Q),IF($B$4="R&amp;T Level 6 - Clinical Associate Professors and Clinical Readers (Vet School)",SUMIF(Points_Lookup!$T:$T,$B79,Points_Lookup!$X:$X),"")))</f>
        <v/>
      </c>
      <c r="T79" s="28" t="str">
        <f t="shared" ca="1" si="12"/>
        <v/>
      </c>
    </row>
    <row r="80" spans="2:25" x14ac:dyDescent="0.25">
      <c r="B80" s="4" t="str">
        <f ca="1">IFERROR(INDEX(Points_Lookup!$A:$A,MATCH($Y82,Points_Lookup!$AE:$AE,0)),"")</f>
        <v/>
      </c>
      <c r="C80" s="24" t="str">
        <f ca="1">IF(B80="","",IF($B$4="Apprenticeship",SUMIF(Points_Lookup!$AA:$AA,B80,Points_Lookup!$AC:$AC),IF(AND(OR($B$4="New Consultant Contract"),$B80&lt;&gt;""),INDEX(Points_Lookup!$K:$K,MATCH($B80,Points_Lookup!$J:$J,0)),IF(AND(OR($B$4="Clinical Lecturer / Medical Research Fellow",$B$4="Clinical Consultant - Old Contract (GP)"),$B80&lt;&gt;""),INDEX(Points_Lookup!$H:$H,MATCH($B80,Points_Lookup!$G:$G,0)),IF(AND(OR($B$4="APM Level 7",$B$4="R&amp;T Level 7",$B$4="APM Level 8"),B80&lt;&gt;""),INDEX(Points_Lookup!$E:$E,MATCH($Y80,Points_Lookup!$AE:$AE,0)),IF($B$4="R&amp;T Level 5 - Clinical Lecturers (Vet School)",SUMIF(Points_Lookup!$M:$M,$B80,Points_Lookup!$P:$P),IF($B$4="R&amp;T Level 6 - Clinical Associate Professors and Clinical Readers (Vet School)",SUMIF(Points_Lookup!$T:$T,$B80,Points_Lookup!$W:$W),IFERROR(INDEX(Points_Lookup!$B:$B,MATCH($Y80,Points_Lookup!$AE:$AE,0)),""))))))))</f>
        <v/>
      </c>
      <c r="D80" s="39"/>
      <c r="E80" s="24" t="str">
        <f ca="1">IF($B80="","",IF(AND($B$4="Salary Points 2 to 57",B80&lt;Thresholds_Rates!$C$16),"-",IF(SUMIF(Grades!$A:$A,$B$4,Grades!$BO:$BO)=0,"-",IF(AND($B$4="Salary Points 2 to 57",B80&gt;=Thresholds_Rates!$C$16),$C80*Thresholds_Rates!$F$15,IF(AND(OR($B$4="New Consultant Contract"),$B80&lt;&gt;""),$C80*Thresholds_Rates!$F$15,IF(AND(OR($B$4="Clinical Lecturer / Medical Research Fellow",$B$4="Clinical Consultant - Old Contract (GP)"),$B80&lt;&gt;""),$C80*Thresholds_Rates!$F$15,IF(OR($B$4="APM Level 7",$B$4="R&amp;T Level 7"),$C80*Thresholds_Rates!$F$15,IF(SUMIF(Grades!$A:$A,$B$4,Grades!$BO:$BO)=1,$C80*Thresholds_Rates!$F$15,""))))))))</f>
        <v/>
      </c>
      <c r="F80" s="24" t="str">
        <f ca="1">IF(B80="","",IF($B$4="Salary Points 1 to 57","-",IF(SUMIF(Grades!$A:$A,$B$4,Grades!$BP:$BP)=0,"-",IF(AND(OR($B$4="New Consultant Contract"),$B80&lt;&gt;""),$C80*Thresholds_Rates!$F$16,IF(AND(OR($B$4="Clinical Lecturer / Medical Research Fellow",$B$4="Clinical Consultant - Old Contract (GP)"),$B80&lt;&gt;""),$C80*Thresholds_Rates!$F$16,IF(AND(OR($B$4="APM Level 7",$B$4="R&amp;T Level 7"),E80&lt;&gt;""),$C80*Thresholds_Rates!$F$16,IF(SUMIF(Grades!$A:$A,$B$4,Grades!$BP:$BP)=1,$C80*Thresholds_Rates!$F$16,"")))))))</f>
        <v/>
      </c>
      <c r="G80" s="24" t="str">
        <f ca="1">IF(B80="","",IF(SUMIF(Grades!$A:$A,$B$4,Grades!$BQ:$BQ)=0,"-",IF(AND($B$4="Salary Points 1 to 57",B80&gt;Thresholds_Rates!$C$17),"-",IF(AND($B$4="Salary Points 1 to 57",B80&lt;=Thresholds_Rates!$C$17),$C80*Thresholds_Rates!$F$17,IF(AND(OR($B$4="New Consultant Contract"),$B80&lt;&gt;""),$C80*Thresholds_Rates!$F$17,IF(AND(OR($B$4="Clinical Lecturer / Medical Research Fellow",$B$4="Clinical Consultant - Old Contract (GP)"),$B80&lt;&gt;""),$C80*Thresholds_Rates!$F$17,IF(AND(OR($B$4="APM Level 7",$B$4="R&amp;T Level 7"),F80&lt;&gt;""),$C80*Thresholds_Rates!$F$17,IF(SUMIF(Grades!$A:$A,$B$4,Grades!$BQ:$BQ)=1,$C80*Thresholds_Rates!$F$17,""))))))))</f>
        <v/>
      </c>
      <c r="H80" s="24" t="str">
        <f ca="1">IF($B80="","",ROUND(($C80-(Thresholds_Rates!$C$5*12))*Thresholds_Rates!$C$10,0))</f>
        <v/>
      </c>
      <c r="I80" s="24" t="str">
        <f ca="1">IF(B80="","",IF(AND($B$4="Salary Points 1 to 57",B80&gt;Thresholds_Rates!$C$17),"-",IF(SUMIF(Grades!$A:$A,$B$4,Grades!$BR:$BR)=0,"-",IF(AND($B$4="Salary Points 1 to 57",B80&lt;=Thresholds_Rates!$C$17),$C80*Thresholds_Rates!$F$18,IF(AND(OR($B$4="New Consultant Contract"),$B80&lt;&gt;""),$C80*Thresholds_Rates!$F$18,IF(AND(OR($B$4="Clinical Lecturer / Medical Research Fellow",$B$4="Clinical Consultant - Old Contract (GP)"),$B80&lt;&gt;""),$C80*Thresholds_Rates!$F$18,IF(AND(OR($B$4="APM Level 7",$B$4="R&amp;T Level 7"),H80&lt;&gt;""),$C80*Thresholds_Rates!$F$18,IF(SUMIF(Grades!$A:$A,$B$4,Grades!$BQ:$BQ)=1,$C80*Thresholds_Rates!$F$18,""))))))))</f>
        <v/>
      </c>
      <c r="J80" s="4"/>
      <c r="K80" s="24" t="str">
        <f t="shared" ca="1" si="7"/>
        <v/>
      </c>
      <c r="L80" s="24" t="str">
        <f t="shared" ca="1" si="8"/>
        <v/>
      </c>
      <c r="M80" s="24" t="str">
        <f t="shared" ca="1" si="9"/>
        <v/>
      </c>
      <c r="N80" s="24" t="str">
        <f t="shared" ca="1" si="10"/>
        <v/>
      </c>
      <c r="O80" s="24" t="str">
        <f t="shared" ca="1" si="11"/>
        <v/>
      </c>
      <c r="Q80" s="27" t="str">
        <f ca="1">IF(B80="","",IF($B$4="R&amp;T Level 5 - Clinical Lecturers (Vet School)",SUMIF(Points_Lookup!$M:$M,$B80,Points_Lookup!$N:$N),IF($B$4="R&amp;T Level 6 - Clinical Associate Professors and Clinical Readers (Vet School)",SUMIF(Points_Lookup!$T:$T,$B80,Points_Lookup!$U:$U),"")))</f>
        <v/>
      </c>
      <c r="R80" s="28" t="str">
        <f ca="1">IF(B80="","",IF($B$4="R&amp;T Level 5 - Clinical Lecturers (Vet School)",$C80-SUMIF(Points_Lookup!$M:$M,$B80,Points_Lookup!$O:$O),IF($B$4="R&amp;T Level 6 - Clinical Associate Professors and Clinical Readers (Vet School)",$C80-SUMIF(Points_Lookup!$T:$T,$B80,Points_Lookup!$V:$V),"")))</f>
        <v/>
      </c>
      <c r="S80" s="27" t="str">
        <f ca="1">IF(B80="","",IF($B$4="R&amp;T Level 5 - Clinical Lecturers (Vet School)",SUMIF(Points_Lookup!$M:$M,$B80,Points_Lookup!$Q:$Q),IF($B$4="R&amp;T Level 6 - Clinical Associate Professors and Clinical Readers (Vet School)",SUMIF(Points_Lookup!$T:$T,$B80,Points_Lookup!$X:$X),"")))</f>
        <v/>
      </c>
      <c r="T80" s="28" t="str">
        <f t="shared" ca="1" si="12"/>
        <v/>
      </c>
    </row>
    <row r="81" spans="2:20" x14ac:dyDescent="0.25">
      <c r="B81" s="4" t="str">
        <f ca="1">IFERROR(INDEX(Points_Lookup!$A:$A,MATCH($Y83,Points_Lookup!$AE:$AE,0)),"")</f>
        <v/>
      </c>
      <c r="C81" s="24" t="str">
        <f ca="1">IF(B81="","",IF($B$4="Apprenticeship",SUMIF(Points_Lookup!$AA:$AA,B81,Points_Lookup!$AC:$AC),IF(AND(OR($B$4="New Consultant Contract"),$B81&lt;&gt;""),INDEX(Points_Lookup!$K:$K,MATCH($B81,Points_Lookup!$J:$J,0)),IF(AND(OR($B$4="Clinical Lecturer / Medical Research Fellow",$B$4="Clinical Consultant - Old Contract (GP)"),$B81&lt;&gt;""),INDEX(Points_Lookup!$H:$H,MATCH($B81,Points_Lookup!$G:$G,0)),IF(AND(OR($B$4="APM Level 7",$B$4="R&amp;T Level 7",$B$4="APM Level 8"),B81&lt;&gt;""),INDEX(Points_Lookup!$E:$E,MATCH($Y81,Points_Lookup!$AE:$AE,0)),IF($B$4="R&amp;T Level 5 - Clinical Lecturers (Vet School)",SUMIF(Points_Lookup!$M:$M,$B81,Points_Lookup!$P:$P),IF($B$4="R&amp;T Level 6 - Clinical Associate Professors and Clinical Readers (Vet School)",SUMIF(Points_Lookup!$T:$T,$B81,Points_Lookup!$W:$W),IFERROR(INDEX(Points_Lookup!$B:$B,MATCH($Y81,Points_Lookup!$AE:$AE,0)),""))))))))</f>
        <v/>
      </c>
      <c r="D81" s="39"/>
      <c r="E81" s="24" t="str">
        <f ca="1">IF($B81="","",IF(AND($B$4="Salary Points 2 to 57",B81&lt;Thresholds_Rates!$C$16),"-",IF(SUMIF(Grades!$A:$A,$B$4,Grades!$BO:$BO)=0,"-",IF(AND($B$4="Salary Points 2 to 57",B81&gt;=Thresholds_Rates!$C$16),$C81*Thresholds_Rates!$F$15,IF(AND(OR($B$4="New Consultant Contract"),$B81&lt;&gt;""),$C81*Thresholds_Rates!$F$15,IF(AND(OR($B$4="Clinical Lecturer / Medical Research Fellow",$B$4="Clinical Consultant - Old Contract (GP)"),$B81&lt;&gt;""),$C81*Thresholds_Rates!$F$15,IF(OR($B$4="APM Level 7",$B$4="R&amp;T Level 7"),$C81*Thresholds_Rates!$F$15,IF(SUMIF(Grades!$A:$A,$B$4,Grades!$BO:$BO)=1,$C81*Thresholds_Rates!$F$15,""))))))))</f>
        <v/>
      </c>
      <c r="F81" s="24" t="str">
        <f ca="1">IF(B81="","",IF($B$4="Salary Points 1 to 57","-",IF(SUMIF(Grades!$A:$A,$B$4,Grades!$BP:$BP)=0,"-",IF(AND(OR($B$4="New Consultant Contract"),$B81&lt;&gt;""),$C81*Thresholds_Rates!$F$16,IF(AND(OR($B$4="Clinical Lecturer / Medical Research Fellow",$B$4="Clinical Consultant - Old Contract (GP)"),$B81&lt;&gt;""),$C81*Thresholds_Rates!$F$16,IF(AND(OR($B$4="APM Level 7",$B$4="R&amp;T Level 7"),E81&lt;&gt;""),$C81*Thresholds_Rates!$F$16,IF(SUMIF(Grades!$A:$A,$B$4,Grades!$BP:$BP)=1,$C81*Thresholds_Rates!$F$16,"")))))))</f>
        <v/>
      </c>
      <c r="G81" s="24" t="str">
        <f ca="1">IF(B81="","",IF(SUMIF(Grades!$A:$A,$B$4,Grades!$BQ:$BQ)=0,"-",IF(AND($B$4="Salary Points 1 to 57",B81&gt;Thresholds_Rates!$C$17),"-",IF(AND($B$4="Salary Points 1 to 57",B81&lt;=Thresholds_Rates!$C$17),$C81*Thresholds_Rates!$F$17,IF(AND(OR($B$4="New Consultant Contract"),$B81&lt;&gt;""),$C81*Thresholds_Rates!$F$17,IF(AND(OR($B$4="Clinical Lecturer / Medical Research Fellow",$B$4="Clinical Consultant - Old Contract (GP)"),$B81&lt;&gt;""),$C81*Thresholds_Rates!$F$17,IF(AND(OR($B$4="APM Level 7",$B$4="R&amp;T Level 7"),F81&lt;&gt;""),$C81*Thresholds_Rates!$F$17,IF(SUMIF(Grades!$A:$A,$B$4,Grades!$BQ:$BQ)=1,$C81*Thresholds_Rates!$F$17,""))))))))</f>
        <v/>
      </c>
      <c r="H81" s="24" t="str">
        <f ca="1">IF($B81="","",ROUND(($C81-(Thresholds_Rates!$C$5*12))*Thresholds_Rates!$C$10,0))</f>
        <v/>
      </c>
      <c r="I81" s="24" t="str">
        <f ca="1">IF(B81="","",IF(AND($B$4="Salary Points 1 to 57",B81&gt;Thresholds_Rates!$C$17),"-",IF(SUMIF(Grades!$A:$A,$B$4,Grades!$BR:$BR)=0,"-",IF(AND($B$4="Salary Points 1 to 57",B81&lt;=Thresholds_Rates!$C$17),$C81*Thresholds_Rates!$F$18,IF(AND(OR($B$4="New Consultant Contract"),$B81&lt;&gt;""),$C81*Thresholds_Rates!$F$18,IF(AND(OR($B$4="Clinical Lecturer / Medical Research Fellow",$B$4="Clinical Consultant - Old Contract (GP)"),$B81&lt;&gt;""),$C81*Thresholds_Rates!$F$18,IF(AND(OR($B$4="APM Level 7",$B$4="R&amp;T Level 7"),H81&lt;&gt;""),$C81*Thresholds_Rates!$F$18,IF(SUMIF(Grades!$A:$A,$B$4,Grades!$BQ:$BQ)=1,$C81*Thresholds_Rates!$F$18,""))))))))</f>
        <v/>
      </c>
      <c r="J81" s="4"/>
      <c r="K81" s="24" t="str">
        <f t="shared" ca="1" si="7"/>
        <v/>
      </c>
      <c r="L81" s="24" t="str">
        <f t="shared" ca="1" si="8"/>
        <v/>
      </c>
      <c r="M81" s="24" t="str">
        <f t="shared" ca="1" si="9"/>
        <v/>
      </c>
      <c r="N81" s="24" t="str">
        <f t="shared" ca="1" si="10"/>
        <v/>
      </c>
      <c r="O81" s="24" t="str">
        <f t="shared" ca="1" si="11"/>
        <v/>
      </c>
      <c r="Q81" s="27" t="str">
        <f ca="1">IF(B81="","",IF($B$4="R&amp;T Level 5 - Clinical Lecturers (Vet School)",SUMIF(Points_Lookup!$M:$M,$B81,Points_Lookup!$N:$N),IF($B$4="R&amp;T Level 6 - Clinical Associate Professors and Clinical Readers (Vet School)",SUMIF(Points_Lookup!$T:$T,$B81,Points_Lookup!$U:$U),"")))</f>
        <v/>
      </c>
      <c r="R81" s="28" t="str">
        <f ca="1">IF(B81="","",IF($B$4="R&amp;T Level 5 - Clinical Lecturers (Vet School)",$C81-SUMIF(Points_Lookup!$M:$M,$B81,Points_Lookup!$O:$O),IF($B$4="R&amp;T Level 6 - Clinical Associate Professors and Clinical Readers (Vet School)",$C81-SUMIF(Points_Lookup!$T:$T,$B81,Points_Lookup!$V:$V),"")))</f>
        <v/>
      </c>
      <c r="S81" s="27" t="str">
        <f ca="1">IF(B81="","",IF($B$4="R&amp;T Level 5 - Clinical Lecturers (Vet School)",SUMIF(Points_Lookup!$M:$M,$B81,Points_Lookup!$Q:$Q),IF($B$4="R&amp;T Level 6 - Clinical Associate Professors and Clinical Readers (Vet School)",SUMIF(Points_Lookup!$T:$T,$B81,Points_Lookup!$X:$X),"")))</f>
        <v/>
      </c>
      <c r="T81" s="28" t="str">
        <f t="shared" ca="1" si="12"/>
        <v/>
      </c>
    </row>
    <row r="82" spans="2:20" x14ac:dyDescent="0.25">
      <c r="B82" s="4" t="str">
        <f ca="1">IFERROR(INDEX(Points_Lookup!$A:$A,MATCH($Y84,Points_Lookup!$AE:$AE,0)),"")</f>
        <v/>
      </c>
      <c r="C82" s="24" t="str">
        <f ca="1">IF(B82="","",IF($B$4="Apprenticeship",SUMIF(Points_Lookup!$AA:$AA,B82,Points_Lookup!$AC:$AC),IF(AND(OR($B$4="New Consultant Contract"),$B82&lt;&gt;""),INDEX(Points_Lookup!$K:$K,MATCH($B82,Points_Lookup!$J:$J,0)),IF(AND(OR($B$4="Clinical Lecturer / Medical Research Fellow",$B$4="Clinical Consultant - Old Contract (GP)"),$B82&lt;&gt;""),INDEX(Points_Lookup!$H:$H,MATCH($B82,Points_Lookup!$G:$G,0)),IF(AND(OR($B$4="APM Level 7",$B$4="R&amp;T Level 7",$B$4="APM Level 8"),B82&lt;&gt;""),INDEX(Points_Lookup!$E:$E,MATCH($Y82,Points_Lookup!$AE:$AE,0)),IF($B$4="R&amp;T Level 5 - Clinical Lecturers (Vet School)",SUMIF(Points_Lookup!$M:$M,$B82,Points_Lookup!$P:$P),IF($B$4="R&amp;T Level 6 - Clinical Associate Professors and Clinical Readers (Vet School)",SUMIF(Points_Lookup!$T:$T,$B82,Points_Lookup!$W:$W),IFERROR(INDEX(Points_Lookup!$B:$B,MATCH($Y82,Points_Lookup!$AE:$AE,0)),""))))))))</f>
        <v/>
      </c>
      <c r="D82" s="39"/>
      <c r="E82" s="24" t="str">
        <f ca="1">IF($B82="","",IF(AND($B$4="Salary Points 2 to 57",B82&lt;Thresholds_Rates!$C$16),"-",IF(SUMIF(Grades!$A:$A,$B$4,Grades!$BO:$BO)=0,"-",IF(AND($B$4="Salary Points 2 to 57",B82&gt;=Thresholds_Rates!$C$16),$C82*Thresholds_Rates!$F$15,IF(AND(OR($B$4="New Consultant Contract"),$B82&lt;&gt;""),$C82*Thresholds_Rates!$F$15,IF(AND(OR($B$4="Clinical Lecturer / Medical Research Fellow",$B$4="Clinical Consultant - Old Contract (GP)"),$B82&lt;&gt;""),$C82*Thresholds_Rates!$F$15,IF(OR($B$4="APM Level 7",$B$4="R&amp;T Level 7"),$C82*Thresholds_Rates!$F$15,IF(SUMIF(Grades!$A:$A,$B$4,Grades!$BO:$BO)=1,$C82*Thresholds_Rates!$F$15,""))))))))</f>
        <v/>
      </c>
      <c r="F82" s="24" t="str">
        <f ca="1">IF(B82="","",IF($B$4="Salary Points 1 to 57","-",IF(SUMIF(Grades!$A:$A,$B$4,Grades!$BP:$BP)=0,"-",IF(AND(OR($B$4="New Consultant Contract"),$B82&lt;&gt;""),$C82*Thresholds_Rates!$F$16,IF(AND(OR($B$4="Clinical Lecturer / Medical Research Fellow",$B$4="Clinical Consultant - Old Contract (GP)"),$B82&lt;&gt;""),$C82*Thresholds_Rates!$F$16,IF(AND(OR($B$4="APM Level 7",$B$4="R&amp;T Level 7"),E82&lt;&gt;""),$C82*Thresholds_Rates!$F$16,IF(SUMIF(Grades!$A:$A,$B$4,Grades!$BP:$BP)=1,$C82*Thresholds_Rates!$F$16,"")))))))</f>
        <v/>
      </c>
      <c r="G82" s="24" t="str">
        <f ca="1">IF(B82="","",IF(SUMIF(Grades!$A:$A,$B$4,Grades!$BQ:$BQ)=0,"-",IF(AND($B$4="Salary Points 1 to 57",B82&gt;Thresholds_Rates!$C$17),"-",IF(AND($B$4="Salary Points 1 to 57",B82&lt;=Thresholds_Rates!$C$17),$C82*Thresholds_Rates!$F$17,IF(AND(OR($B$4="New Consultant Contract"),$B82&lt;&gt;""),$C82*Thresholds_Rates!$F$17,IF(AND(OR($B$4="Clinical Lecturer / Medical Research Fellow",$B$4="Clinical Consultant - Old Contract (GP)"),$B82&lt;&gt;""),$C82*Thresholds_Rates!$F$17,IF(AND(OR($B$4="APM Level 7",$B$4="R&amp;T Level 7"),F82&lt;&gt;""),$C82*Thresholds_Rates!$F$17,IF(SUMIF(Grades!$A:$A,$B$4,Grades!$BQ:$BQ)=1,$C82*Thresholds_Rates!$F$17,""))))))))</f>
        <v/>
      </c>
      <c r="H82" s="24" t="str">
        <f ca="1">IF($B82="","",ROUND(($C82-(Thresholds_Rates!$C$5*12))*Thresholds_Rates!$C$10,0))</f>
        <v/>
      </c>
      <c r="I82" s="24" t="str">
        <f ca="1">IF(B82="","",IF(AND($B$4="Salary Points 1 to 57",B82&gt;Thresholds_Rates!$C$17),"-",IF(SUMIF(Grades!$A:$A,$B$4,Grades!$BR:$BR)=0,"-",IF(AND($B$4="Salary Points 1 to 57",B82&lt;=Thresholds_Rates!$C$17),$C82*Thresholds_Rates!$F$18,IF(AND(OR($B$4="New Consultant Contract"),$B82&lt;&gt;""),$C82*Thresholds_Rates!$F$18,IF(AND(OR($B$4="Clinical Lecturer / Medical Research Fellow",$B$4="Clinical Consultant - Old Contract (GP)"),$B82&lt;&gt;""),$C82*Thresholds_Rates!$F$18,IF(AND(OR($B$4="APM Level 7",$B$4="R&amp;T Level 7"),H82&lt;&gt;""),$C82*Thresholds_Rates!$F$18,IF(SUMIF(Grades!$A:$A,$B$4,Grades!$BQ:$BQ)=1,$C82*Thresholds_Rates!$F$18,""))))))))</f>
        <v/>
      </c>
      <c r="J82" s="4"/>
      <c r="K82" s="24" t="str">
        <f t="shared" ca="1" si="7"/>
        <v/>
      </c>
      <c r="L82" s="24" t="str">
        <f t="shared" ca="1" si="8"/>
        <v/>
      </c>
      <c r="M82" s="24" t="str">
        <f t="shared" ca="1" si="9"/>
        <v/>
      </c>
      <c r="N82" s="24" t="str">
        <f t="shared" ca="1" si="10"/>
        <v/>
      </c>
      <c r="O82" s="24" t="str">
        <f t="shared" ca="1" si="11"/>
        <v/>
      </c>
      <c r="Q82" s="27" t="str">
        <f ca="1">IF(B82="","",IF($B$4="R&amp;T Level 5 - Clinical Lecturers (Vet School)",SUMIF(Points_Lookup!$M:$M,$B82,Points_Lookup!$N:$N),IF($B$4="R&amp;T Level 6 - Clinical Associate Professors and Clinical Readers (Vet School)",SUMIF(Points_Lookup!$T:$T,$B82,Points_Lookup!$U:$U),"")))</f>
        <v/>
      </c>
      <c r="R82" s="28" t="str">
        <f ca="1">IF(B82="","",IF($B$4="R&amp;T Level 5 - Clinical Lecturers (Vet School)",$C82-SUMIF(Points_Lookup!$M:$M,$B82,Points_Lookup!$O:$O),IF($B$4="R&amp;T Level 6 - Clinical Associate Professors and Clinical Readers (Vet School)",$C82-SUMIF(Points_Lookup!$T:$T,$B82,Points_Lookup!$V:$V),"")))</f>
        <v/>
      </c>
      <c r="S82" s="27" t="str">
        <f ca="1">IF(B82="","",IF($B$4="R&amp;T Level 5 - Clinical Lecturers (Vet School)",SUMIF(Points_Lookup!$M:$M,$B82,Points_Lookup!$Q:$Q),IF($B$4="R&amp;T Level 6 - Clinical Associate Professors and Clinical Readers (Vet School)",SUMIF(Points_Lookup!$T:$T,$B82,Points_Lookup!$X:$X),"")))</f>
        <v/>
      </c>
      <c r="T82" s="28" t="str">
        <f t="shared" ca="1" si="12"/>
        <v/>
      </c>
    </row>
    <row r="83" spans="2:20" x14ac:dyDescent="0.25">
      <c r="B83" s="4" t="str">
        <f ca="1">IFERROR(INDEX(Points_Lookup!$A:$A,MATCH($Y85,Points_Lookup!$AE:$AE,0)),"")</f>
        <v/>
      </c>
      <c r="C83" s="24" t="str">
        <f ca="1">IF(B83="","",IF($B$4="Apprenticeship",SUMIF(Points_Lookup!$AA:$AA,B83,Points_Lookup!$AC:$AC),IF(AND(OR($B$4="New Consultant Contract"),$B83&lt;&gt;""),INDEX(Points_Lookup!$K:$K,MATCH($B83,Points_Lookup!$J:$J,0)),IF(AND(OR($B$4="Clinical Lecturer / Medical Research Fellow",$B$4="Clinical Consultant - Old Contract (GP)"),$B83&lt;&gt;""),INDEX(Points_Lookup!$H:$H,MATCH($B83,Points_Lookup!$G:$G,0)),IF(AND(OR($B$4="APM Level 7",$B$4="R&amp;T Level 7",$B$4="APM Level 8"),B83&lt;&gt;""),INDEX(Points_Lookup!$E:$E,MATCH($Y83,Points_Lookup!$AE:$AE,0)),IF($B$4="R&amp;T Level 5 - Clinical Lecturers (Vet School)",SUMIF(Points_Lookup!$M:$M,$B83,Points_Lookup!$P:$P),IF($B$4="R&amp;T Level 6 - Clinical Associate Professors and Clinical Readers (Vet School)",SUMIF(Points_Lookup!$T:$T,$B83,Points_Lookup!$W:$W),IFERROR(INDEX(Points_Lookup!$B:$B,MATCH($Y83,Points_Lookup!$AE:$AE,0)),""))))))))</f>
        <v/>
      </c>
      <c r="D83" s="39"/>
      <c r="E83" s="24" t="str">
        <f ca="1">IF($B83="","",IF(AND($B$4="Salary Points 2 to 57",B83&lt;Thresholds_Rates!$C$16),"-",IF(SUMIF(Grades!$A:$A,$B$4,Grades!$BO:$BO)=0,"-",IF(AND($B$4="Salary Points 2 to 57",B83&gt;=Thresholds_Rates!$C$16),$C83*Thresholds_Rates!$F$15,IF(AND(OR($B$4="New Consultant Contract"),$B83&lt;&gt;""),$C83*Thresholds_Rates!$F$15,IF(AND(OR($B$4="Clinical Lecturer / Medical Research Fellow",$B$4="Clinical Consultant - Old Contract (GP)"),$B83&lt;&gt;""),$C83*Thresholds_Rates!$F$15,IF(OR($B$4="APM Level 7",$B$4="R&amp;T Level 7"),$C83*Thresholds_Rates!$F$15,IF(SUMIF(Grades!$A:$A,$B$4,Grades!$BO:$BO)=1,$C83*Thresholds_Rates!$F$15,""))))))))</f>
        <v/>
      </c>
      <c r="F83" s="24" t="str">
        <f ca="1">IF(B83="","",IF($B$4="Salary Points 1 to 57","-",IF(SUMIF(Grades!$A:$A,$B$4,Grades!$BP:$BP)=0,"-",IF(AND(OR($B$4="New Consultant Contract"),$B83&lt;&gt;""),$C83*Thresholds_Rates!$F$16,IF(AND(OR($B$4="Clinical Lecturer / Medical Research Fellow",$B$4="Clinical Consultant - Old Contract (GP)"),$B83&lt;&gt;""),$C83*Thresholds_Rates!$F$16,IF(AND(OR($B$4="APM Level 7",$B$4="R&amp;T Level 7"),E83&lt;&gt;""),$C83*Thresholds_Rates!$F$16,IF(SUMIF(Grades!$A:$A,$B$4,Grades!$BP:$BP)=1,$C83*Thresholds_Rates!$F$16,"")))))))</f>
        <v/>
      </c>
      <c r="G83" s="24" t="str">
        <f ca="1">IF(B83="","",IF(SUMIF(Grades!$A:$A,$B$4,Grades!$BQ:$BQ)=0,"-",IF(AND($B$4="Salary Points 1 to 57",B83&gt;Thresholds_Rates!$C$17),"-",IF(AND($B$4="Salary Points 1 to 57",B83&lt;=Thresholds_Rates!$C$17),$C83*Thresholds_Rates!$F$17,IF(AND(OR($B$4="New Consultant Contract"),$B83&lt;&gt;""),$C83*Thresholds_Rates!$F$17,IF(AND(OR($B$4="Clinical Lecturer / Medical Research Fellow",$B$4="Clinical Consultant - Old Contract (GP)"),$B83&lt;&gt;""),$C83*Thresholds_Rates!$F$17,IF(AND(OR($B$4="APM Level 7",$B$4="R&amp;T Level 7"),F83&lt;&gt;""),$C83*Thresholds_Rates!$F$17,IF(SUMIF(Grades!$A:$A,$B$4,Grades!$BQ:$BQ)=1,$C83*Thresholds_Rates!$F$17,""))))))))</f>
        <v/>
      </c>
      <c r="H83" s="24" t="str">
        <f ca="1">IF($B83="","",ROUND(($C83-(Thresholds_Rates!$C$5*12))*Thresholds_Rates!$C$10,0))</f>
        <v/>
      </c>
      <c r="I83" s="24" t="str">
        <f ca="1">IF(B83="","",IF(AND($B$4="Salary Points 1 to 57",B83&gt;Thresholds_Rates!$C$17),"-",IF(SUMIF(Grades!$A:$A,$B$4,Grades!$BR:$BR)=0,"-",IF(AND($B$4="Salary Points 1 to 57",B83&lt;=Thresholds_Rates!$C$17),$C83*Thresholds_Rates!$F$18,IF(AND(OR($B$4="New Consultant Contract"),$B83&lt;&gt;""),$C83*Thresholds_Rates!$F$18,IF(AND(OR($B$4="Clinical Lecturer / Medical Research Fellow",$B$4="Clinical Consultant - Old Contract (GP)"),$B83&lt;&gt;""),$C83*Thresholds_Rates!$F$18,IF(AND(OR($B$4="APM Level 7",$B$4="R&amp;T Level 7"),H83&lt;&gt;""),$C83*Thresholds_Rates!$F$18,IF(SUMIF(Grades!$A:$A,$B$4,Grades!$BQ:$BQ)=1,$C83*Thresholds_Rates!$F$18,""))))))))</f>
        <v/>
      </c>
      <c r="J83" s="4"/>
      <c r="K83" s="24" t="str">
        <f t="shared" ca="1" si="7"/>
        <v/>
      </c>
      <c r="L83" s="24" t="str">
        <f t="shared" ca="1" si="8"/>
        <v/>
      </c>
      <c r="M83" s="24" t="str">
        <f t="shared" ca="1" si="9"/>
        <v/>
      </c>
      <c r="N83" s="24" t="str">
        <f t="shared" ca="1" si="10"/>
        <v/>
      </c>
      <c r="O83" s="24" t="str">
        <f t="shared" ca="1" si="11"/>
        <v/>
      </c>
      <c r="Q83" s="27" t="str">
        <f ca="1">IF(B83="","",IF($B$4="R&amp;T Level 5 - Clinical Lecturers (Vet School)",SUMIF(Points_Lookup!$M:$M,$B83,Points_Lookup!$N:$N),IF($B$4="R&amp;T Level 6 - Clinical Associate Professors and Clinical Readers (Vet School)",SUMIF(Points_Lookup!$T:$T,$B83,Points_Lookup!$U:$U),"")))</f>
        <v/>
      </c>
      <c r="R83" s="28" t="str">
        <f ca="1">IF(B83="","",IF($B$4="R&amp;T Level 5 - Clinical Lecturers (Vet School)",$C83-SUMIF(Points_Lookup!$M:$M,$B83,Points_Lookup!$O:$O),IF($B$4="R&amp;T Level 6 - Clinical Associate Professors and Clinical Readers (Vet School)",$C83-SUMIF(Points_Lookup!$T:$T,$B83,Points_Lookup!$V:$V),"")))</f>
        <v/>
      </c>
      <c r="S83" s="27" t="str">
        <f ca="1">IF(B83="","",IF($B$4="R&amp;T Level 5 - Clinical Lecturers (Vet School)",SUMIF(Points_Lookup!$M:$M,$B83,Points_Lookup!$Q:$Q),IF($B$4="R&amp;T Level 6 - Clinical Associate Professors and Clinical Readers (Vet School)",SUMIF(Points_Lookup!$T:$T,$B83,Points_Lookup!$X:$X),"")))</f>
        <v/>
      </c>
      <c r="T83" s="28" t="str">
        <f t="shared" ca="1" si="12"/>
        <v/>
      </c>
    </row>
    <row r="84" spans="2:20" x14ac:dyDescent="0.25">
      <c r="B84" s="4" t="str">
        <f ca="1">IFERROR(INDEX(Points_Lookup!$A:$A,MATCH($Y86,Points_Lookup!$AE:$AE,0)),"")</f>
        <v/>
      </c>
      <c r="C84" s="24" t="str">
        <f ca="1">IF(B84="","",IF($B$4="Apprenticeship",SUMIF(Points_Lookup!$AA:$AA,B84,Points_Lookup!$AC:$AC),IF(AND(OR($B$4="New Consultant Contract"),$B84&lt;&gt;""),INDEX(Points_Lookup!$K:$K,MATCH($B84,Points_Lookup!$J:$J,0)),IF(AND(OR($B$4="Clinical Lecturer / Medical Research Fellow",$B$4="Clinical Consultant - Old Contract (GP)"),$B84&lt;&gt;""),INDEX(Points_Lookup!$H:$H,MATCH($B84,Points_Lookup!$G:$G,0)),IF(AND(OR($B$4="APM Level 7",$B$4="R&amp;T Level 7",$B$4="APM Level 8"),B84&lt;&gt;""),INDEX(Points_Lookup!$E:$E,MATCH($Y84,Points_Lookup!$AE:$AE,0)),IF($B$4="R&amp;T Level 5 - Clinical Lecturers (Vet School)",SUMIF(Points_Lookup!$M:$M,$B84,Points_Lookup!$P:$P),IF($B$4="R&amp;T Level 6 - Clinical Associate Professors and Clinical Readers (Vet School)",SUMIF(Points_Lookup!$T:$T,$B84,Points_Lookup!$W:$W),IFERROR(INDEX(Points_Lookup!$B:$B,MATCH($Y84,Points_Lookup!$AE:$AE,0)),""))))))))</f>
        <v/>
      </c>
      <c r="D84" s="39"/>
      <c r="E84" s="24" t="str">
        <f ca="1">IF($B84="","",IF(AND($B$4="Salary Points 2 to 57",B84&lt;Thresholds_Rates!$C$16),"-",IF(SUMIF(Grades!$A:$A,$B$4,Grades!$BO:$BO)=0,"-",IF(AND($B$4="Salary Points 2 to 57",B84&gt;=Thresholds_Rates!$C$16),$C84*Thresholds_Rates!$F$15,IF(AND(OR($B$4="New Consultant Contract"),$B84&lt;&gt;""),$C84*Thresholds_Rates!$F$15,IF(AND(OR($B$4="Clinical Lecturer / Medical Research Fellow",$B$4="Clinical Consultant - Old Contract (GP)"),$B84&lt;&gt;""),$C84*Thresholds_Rates!$F$15,IF(OR($B$4="APM Level 7",$B$4="R&amp;T Level 7"),$C84*Thresholds_Rates!$F$15,IF(SUMIF(Grades!$A:$A,$B$4,Grades!$BO:$BO)=1,$C84*Thresholds_Rates!$F$15,""))))))))</f>
        <v/>
      </c>
      <c r="F84" s="24" t="str">
        <f ca="1">IF(B84="","",IF($B$4="Salary Points 1 to 57","-",IF(SUMIF(Grades!$A:$A,$B$4,Grades!$BP:$BP)=0,"-",IF(AND(OR($B$4="New Consultant Contract"),$B84&lt;&gt;""),$C84*Thresholds_Rates!$F$16,IF(AND(OR($B$4="Clinical Lecturer / Medical Research Fellow",$B$4="Clinical Consultant - Old Contract (GP)"),$B84&lt;&gt;""),$C84*Thresholds_Rates!$F$16,IF(AND(OR($B$4="APM Level 7",$B$4="R&amp;T Level 7"),E84&lt;&gt;""),$C84*Thresholds_Rates!$F$16,IF(SUMIF(Grades!$A:$A,$B$4,Grades!$BP:$BP)=1,$C84*Thresholds_Rates!$F$16,"")))))))</f>
        <v/>
      </c>
      <c r="G84" s="24" t="str">
        <f ca="1">IF(B84="","",IF(SUMIF(Grades!$A:$A,$B$4,Grades!$BQ:$BQ)=0,"-",IF(AND($B$4="Salary Points 1 to 57",B84&gt;Thresholds_Rates!$C$17),"-",IF(AND($B$4="Salary Points 1 to 57",B84&lt;=Thresholds_Rates!$C$17),$C84*Thresholds_Rates!$F$17,IF(AND(OR($B$4="New Consultant Contract"),$B84&lt;&gt;""),$C84*Thresholds_Rates!$F$17,IF(AND(OR($B$4="Clinical Lecturer / Medical Research Fellow",$B$4="Clinical Consultant - Old Contract (GP)"),$B84&lt;&gt;""),$C84*Thresholds_Rates!$F$17,IF(AND(OR($B$4="APM Level 7",$B$4="R&amp;T Level 7"),F84&lt;&gt;""),$C84*Thresholds_Rates!$F$17,IF(SUMIF(Grades!$A:$A,$B$4,Grades!$BQ:$BQ)=1,$C84*Thresholds_Rates!$F$17,""))))))))</f>
        <v/>
      </c>
      <c r="H84" s="24" t="str">
        <f ca="1">IF($B84="","",ROUND(($C84-(Thresholds_Rates!$C$5*12))*Thresholds_Rates!$C$10,0))</f>
        <v/>
      </c>
      <c r="I84" s="24" t="str">
        <f ca="1">IF(B84="","",IF(AND($B$4="Salary Points 1 to 57",B84&gt;Thresholds_Rates!$C$17),"-",IF(SUMIF(Grades!$A:$A,$B$4,Grades!$BR:$BR)=0,"-",IF(AND($B$4="Salary Points 1 to 57",B84&lt;=Thresholds_Rates!$C$17),$C84*Thresholds_Rates!$F$18,IF(AND(OR($B$4="New Consultant Contract"),$B84&lt;&gt;""),$C84*Thresholds_Rates!$F$18,IF(AND(OR($B$4="Clinical Lecturer / Medical Research Fellow",$B$4="Clinical Consultant - Old Contract (GP)"),$B84&lt;&gt;""),$C84*Thresholds_Rates!$F$18,IF(AND(OR($B$4="APM Level 7",$B$4="R&amp;T Level 7"),H84&lt;&gt;""),$C84*Thresholds_Rates!$F$18,IF(SUMIF(Grades!$A:$A,$B$4,Grades!$BQ:$BQ)=1,$C84*Thresholds_Rates!$F$18,""))))))))</f>
        <v/>
      </c>
      <c r="J84" s="4"/>
      <c r="K84" s="24" t="str">
        <f t="shared" ca="1" si="7"/>
        <v/>
      </c>
      <c r="L84" s="24" t="str">
        <f t="shared" ca="1" si="8"/>
        <v/>
      </c>
      <c r="M84" s="24" t="str">
        <f t="shared" ca="1" si="9"/>
        <v/>
      </c>
      <c r="N84" s="24" t="str">
        <f t="shared" ca="1" si="10"/>
        <v/>
      </c>
      <c r="O84" s="24" t="str">
        <f t="shared" ca="1" si="11"/>
        <v/>
      </c>
      <c r="Q84" s="27" t="str">
        <f ca="1">IF(B84="","",IF($B$4="R&amp;T Level 5 - Clinical Lecturers (Vet School)",SUMIF(Points_Lookup!$M:$M,$B84,Points_Lookup!$N:$N),IF($B$4="R&amp;T Level 6 - Clinical Associate Professors and Clinical Readers (Vet School)",SUMIF(Points_Lookup!$T:$T,$B84,Points_Lookup!$U:$U),"")))</f>
        <v/>
      </c>
      <c r="R84" s="28" t="str">
        <f ca="1">IF(B84="","",IF($B$4="R&amp;T Level 5 - Clinical Lecturers (Vet School)",$C84-SUMIF(Points_Lookup!$M:$M,$B84,Points_Lookup!$O:$O),IF($B$4="R&amp;T Level 6 - Clinical Associate Professors and Clinical Readers (Vet School)",$C84-SUMIF(Points_Lookup!$T:$T,$B84,Points_Lookup!$V:$V),"")))</f>
        <v/>
      </c>
      <c r="S84" s="27" t="str">
        <f ca="1">IF(B84="","",IF($B$4="R&amp;T Level 5 - Clinical Lecturers (Vet School)",SUMIF(Points_Lookup!$M:$M,$B84,Points_Lookup!$Q:$Q),IF($B$4="R&amp;T Level 6 - Clinical Associate Professors and Clinical Readers (Vet School)",SUMIF(Points_Lookup!$T:$T,$B84,Points_Lookup!$X:$X),"")))</f>
        <v/>
      </c>
      <c r="T84" s="28" t="str">
        <f t="shared" ca="1" si="12"/>
        <v/>
      </c>
    </row>
    <row r="85" spans="2:20" x14ac:dyDescent="0.25">
      <c r="B85" s="4" t="str">
        <f ca="1">IFERROR(INDEX(Points_Lookup!$A:$A,MATCH($Y87,Points_Lookup!$AE:$AE,0)),"")</f>
        <v/>
      </c>
      <c r="C85" s="24" t="str">
        <f ca="1">IF(B85="","",IF($B$4="Apprenticeship",SUMIF(Points_Lookup!$AA:$AA,B85,Points_Lookup!$AC:$AC),IF(AND(OR($B$4="New Consultant Contract"),$B85&lt;&gt;""),INDEX(Points_Lookup!$K:$K,MATCH($B85,Points_Lookup!$J:$J,0)),IF(AND(OR($B$4="Clinical Lecturer / Medical Research Fellow",$B$4="Clinical Consultant - Old Contract (GP)"),$B85&lt;&gt;""),INDEX(Points_Lookup!$H:$H,MATCH($B85,Points_Lookup!$G:$G,0)),IF(AND(OR($B$4="APM Level 7",$B$4="R&amp;T Level 7",$B$4="APM Level 8"),B85&lt;&gt;""),INDEX(Points_Lookup!$E:$E,MATCH($Y85,Points_Lookup!$AE:$AE,0)),IF($B$4="R&amp;T Level 5 - Clinical Lecturers (Vet School)",SUMIF(Points_Lookup!$M:$M,$B85,Points_Lookup!$P:$P),IF($B$4="R&amp;T Level 6 - Clinical Associate Professors and Clinical Readers (Vet School)",SUMIF(Points_Lookup!$T:$T,$B85,Points_Lookup!$W:$W),IFERROR(INDEX(Points_Lookup!$B:$B,MATCH($Y85,Points_Lookup!$AE:$AE,0)),""))))))))</f>
        <v/>
      </c>
      <c r="D85" s="39"/>
      <c r="E85" s="24" t="str">
        <f ca="1">IF($B85="","",IF(AND($B$4="Salary Points 2 to 57",B85&lt;Thresholds_Rates!$C$16),"-",IF(SUMIF(Grades!$A:$A,$B$4,Grades!$BO:$BO)=0,"-",IF(AND($B$4="Salary Points 2 to 57",B85&gt;=Thresholds_Rates!$C$16),$C85*Thresholds_Rates!$F$15,IF(AND(OR($B$4="New Consultant Contract"),$B85&lt;&gt;""),$C85*Thresholds_Rates!$F$15,IF(AND(OR($B$4="Clinical Lecturer / Medical Research Fellow",$B$4="Clinical Consultant - Old Contract (GP)"),$B85&lt;&gt;""),$C85*Thresholds_Rates!$F$15,IF(OR($B$4="APM Level 7",$B$4="R&amp;T Level 7"),$C85*Thresholds_Rates!$F$15,IF(SUMIF(Grades!$A:$A,$B$4,Grades!$BO:$BO)=1,$C85*Thresholds_Rates!$F$15,""))))))))</f>
        <v/>
      </c>
      <c r="F85" s="24" t="str">
        <f ca="1">IF(B85="","",IF($B$4="Salary Points 1 to 57","-",IF(SUMIF(Grades!$A:$A,$B$4,Grades!$BP:$BP)=0,"-",IF(AND(OR($B$4="New Consultant Contract"),$B85&lt;&gt;""),$C85*Thresholds_Rates!$F$16,IF(AND(OR($B$4="Clinical Lecturer / Medical Research Fellow",$B$4="Clinical Consultant - Old Contract (GP)"),$B85&lt;&gt;""),$C85*Thresholds_Rates!$F$16,IF(AND(OR($B$4="APM Level 7",$B$4="R&amp;T Level 7"),E85&lt;&gt;""),$C85*Thresholds_Rates!$F$16,IF(SUMIF(Grades!$A:$A,$B$4,Grades!$BP:$BP)=1,$C85*Thresholds_Rates!$F$16,"")))))))</f>
        <v/>
      </c>
      <c r="G85" s="24" t="str">
        <f ca="1">IF(B85="","",IF(SUMIF(Grades!$A:$A,$B$4,Grades!$BQ:$BQ)=0,"-",IF(AND($B$4="Salary Points 1 to 57",B85&gt;Thresholds_Rates!$C$17),"-",IF(AND($B$4="Salary Points 1 to 57",B85&lt;=Thresholds_Rates!$C$17),$C85*Thresholds_Rates!$F$17,IF(AND(OR($B$4="New Consultant Contract"),$B85&lt;&gt;""),$C85*Thresholds_Rates!$F$17,IF(AND(OR($B$4="Clinical Lecturer / Medical Research Fellow",$B$4="Clinical Consultant - Old Contract (GP)"),$B85&lt;&gt;""),$C85*Thresholds_Rates!$F$17,IF(AND(OR($B$4="APM Level 7",$B$4="R&amp;T Level 7"),F85&lt;&gt;""),$C85*Thresholds_Rates!$F$17,IF(SUMIF(Grades!$A:$A,$B$4,Grades!$BQ:$BQ)=1,$C85*Thresholds_Rates!$F$17,""))))))))</f>
        <v/>
      </c>
      <c r="H85" s="24" t="str">
        <f ca="1">IF($B85="","",ROUND(($C85-(Thresholds_Rates!$C$5*12))*Thresholds_Rates!$C$10,0))</f>
        <v/>
      </c>
      <c r="I85" s="24" t="str">
        <f ca="1">IF(B85="","",IF(AND($B$4="Salary Points 1 to 57",B85&gt;Thresholds_Rates!$C$17),"-",IF(SUMIF(Grades!$A:$A,$B$4,Grades!$BR:$BR)=0,"-",IF(AND($B$4="Salary Points 1 to 57",B85&lt;=Thresholds_Rates!$C$17),$C85*Thresholds_Rates!$F$18,IF(AND(OR($B$4="New Consultant Contract"),$B85&lt;&gt;""),$C85*Thresholds_Rates!$F$18,IF(AND(OR($B$4="Clinical Lecturer / Medical Research Fellow",$B$4="Clinical Consultant - Old Contract (GP)"),$B85&lt;&gt;""),$C85*Thresholds_Rates!$F$18,IF(AND(OR($B$4="APM Level 7",$B$4="R&amp;T Level 7"),H85&lt;&gt;""),$C85*Thresholds_Rates!$F$18,IF(SUMIF(Grades!$A:$A,$B$4,Grades!$BQ:$BQ)=1,$C85*Thresholds_Rates!$F$18,""))))))))</f>
        <v/>
      </c>
      <c r="J85" s="4"/>
      <c r="K85" s="24" t="str">
        <f t="shared" ca="1" si="7"/>
        <v/>
      </c>
      <c r="L85" s="24" t="str">
        <f t="shared" ca="1" si="8"/>
        <v/>
      </c>
      <c r="M85" s="24" t="str">
        <f t="shared" ca="1" si="9"/>
        <v/>
      </c>
      <c r="N85" s="24" t="str">
        <f t="shared" ca="1" si="10"/>
        <v/>
      </c>
      <c r="O85" s="24" t="str">
        <f t="shared" ca="1" si="11"/>
        <v/>
      </c>
      <c r="Q85" s="27" t="str">
        <f ca="1">IF(B85="","",IF($B$4="R&amp;T Level 5 - Clinical Lecturers (Vet School)",SUMIF(Points_Lookup!$M:$M,$B85,Points_Lookup!$N:$N),IF($B$4="R&amp;T Level 6 - Clinical Associate Professors and Clinical Readers (Vet School)",SUMIF(Points_Lookup!$T:$T,$B85,Points_Lookup!$U:$U),"")))</f>
        <v/>
      </c>
      <c r="R85" s="28" t="str">
        <f ca="1">IF(B85="","",IF($B$4="R&amp;T Level 5 - Clinical Lecturers (Vet School)",$C85-SUMIF(Points_Lookup!$M:$M,$B85,Points_Lookup!$O:$O),IF($B$4="R&amp;T Level 6 - Clinical Associate Professors and Clinical Readers (Vet School)",$C85-SUMIF(Points_Lookup!$T:$T,$B85,Points_Lookup!$V:$V),"")))</f>
        <v/>
      </c>
      <c r="S85" s="27" t="str">
        <f ca="1">IF(B85="","",IF($B$4="R&amp;T Level 5 - Clinical Lecturers (Vet School)",SUMIF(Points_Lookup!$M:$M,$B85,Points_Lookup!$Q:$Q),IF($B$4="R&amp;T Level 6 - Clinical Associate Professors and Clinical Readers (Vet School)",SUMIF(Points_Lookup!$T:$T,$B85,Points_Lookup!$X:$X),"")))</f>
        <v/>
      </c>
      <c r="T85" s="28" t="str">
        <f t="shared" ca="1" si="12"/>
        <v/>
      </c>
    </row>
    <row r="86" spans="2:20" x14ac:dyDescent="0.25">
      <c r="B86" s="4" t="str">
        <f ca="1">IFERROR(INDEX(Points_Lookup!$A:$A,MATCH($Y88,Points_Lookup!$AE:$AE,0)),"")</f>
        <v/>
      </c>
      <c r="C86" s="24" t="str">
        <f ca="1">IF(B86="","",IF($B$4="Apprenticeship",SUMIF(Points_Lookup!$AA:$AA,B86,Points_Lookup!$AC:$AC),IF(AND(OR($B$4="New Consultant Contract"),$B86&lt;&gt;""),INDEX(Points_Lookup!$K:$K,MATCH($B86,Points_Lookup!$J:$J,0)),IF(AND(OR($B$4="Clinical Lecturer / Medical Research Fellow",$B$4="Clinical Consultant - Old Contract (GP)"),$B86&lt;&gt;""),INDEX(Points_Lookup!$H:$H,MATCH($B86,Points_Lookup!$G:$G,0)),IF(AND(OR($B$4="APM Level 7",$B$4="R&amp;T Level 7",$B$4="APM Level 8"),B86&lt;&gt;""),INDEX(Points_Lookup!$E:$E,MATCH($Y86,Points_Lookup!$AE:$AE,0)),IF($B$4="R&amp;T Level 5 - Clinical Lecturers (Vet School)",SUMIF(Points_Lookup!$M:$M,$B86,Points_Lookup!$P:$P),IF($B$4="R&amp;T Level 6 - Clinical Associate Professors and Clinical Readers (Vet School)",SUMIF(Points_Lookup!$T:$T,$B86,Points_Lookup!$W:$W),IFERROR(INDEX(Points_Lookup!$B:$B,MATCH($Y86,Points_Lookup!$AE:$AE,0)),""))))))))</f>
        <v/>
      </c>
      <c r="D86" s="39"/>
      <c r="E86" s="24" t="str">
        <f ca="1">IF($B86="","",IF(AND($B$4="Salary Points 2 to 57",B86&lt;Thresholds_Rates!$C$16),"-",IF(SUMIF(Grades!$A:$A,$B$4,Grades!$BO:$BO)=0,"-",IF(AND($B$4="Salary Points 2 to 57",B86&gt;=Thresholds_Rates!$C$16),$C86*Thresholds_Rates!$F$15,IF(AND(OR($B$4="New Consultant Contract"),$B86&lt;&gt;""),$C86*Thresholds_Rates!$F$15,IF(AND(OR($B$4="Clinical Lecturer / Medical Research Fellow",$B$4="Clinical Consultant - Old Contract (GP)"),$B86&lt;&gt;""),$C86*Thresholds_Rates!$F$15,IF(OR($B$4="APM Level 7",$B$4="R&amp;T Level 7"),$C86*Thresholds_Rates!$F$15,IF(SUMIF(Grades!$A:$A,$B$4,Grades!$BO:$BO)=1,$C86*Thresholds_Rates!$F$15,""))))))))</f>
        <v/>
      </c>
      <c r="F86" s="24" t="str">
        <f ca="1">IF(B86="","",IF($B$4="Salary Points 1 to 57","-",IF(SUMIF(Grades!$A:$A,$B$4,Grades!$BP:$BP)=0,"-",IF(AND(OR($B$4="New Consultant Contract"),$B86&lt;&gt;""),$C86*Thresholds_Rates!$F$16,IF(AND(OR($B$4="Clinical Lecturer / Medical Research Fellow",$B$4="Clinical Consultant - Old Contract (GP)"),$B86&lt;&gt;""),$C86*Thresholds_Rates!$F$16,IF(AND(OR($B$4="APM Level 7",$B$4="R&amp;T Level 7"),E86&lt;&gt;""),$C86*Thresholds_Rates!$F$16,IF(SUMIF(Grades!$A:$A,$B$4,Grades!$BP:$BP)=1,$C86*Thresholds_Rates!$F$16,"")))))))</f>
        <v/>
      </c>
      <c r="G86" s="24" t="str">
        <f ca="1">IF(B86="","",IF(SUMIF(Grades!$A:$A,$B$4,Grades!$BQ:$BQ)=0,"-",IF(AND($B$4="Salary Points 1 to 57",B86&gt;Thresholds_Rates!$C$17),"-",IF(AND($B$4="Salary Points 1 to 57",B86&lt;=Thresholds_Rates!$C$17),$C86*Thresholds_Rates!$F$17,IF(AND(OR($B$4="New Consultant Contract"),$B86&lt;&gt;""),$C86*Thresholds_Rates!$F$17,IF(AND(OR($B$4="Clinical Lecturer / Medical Research Fellow",$B$4="Clinical Consultant - Old Contract (GP)"),$B86&lt;&gt;""),$C86*Thresholds_Rates!$F$17,IF(AND(OR($B$4="APM Level 7",$B$4="R&amp;T Level 7"),F86&lt;&gt;""),$C86*Thresholds_Rates!$F$17,IF(SUMIF(Grades!$A:$A,$B$4,Grades!$BQ:$BQ)=1,$C86*Thresholds_Rates!$F$17,""))))))))</f>
        <v/>
      </c>
      <c r="H86" s="24" t="str">
        <f ca="1">IF($B86="","",ROUND(($C86-(Thresholds_Rates!$C$5*12))*Thresholds_Rates!$C$10,0))</f>
        <v/>
      </c>
      <c r="I86" s="24" t="str">
        <f ca="1">IF(B86="","",IF(AND($B$4="Salary Points 1 to 57",B86&gt;Thresholds_Rates!$C$17),"-",IF(SUMIF(Grades!$A:$A,$B$4,Grades!$BR:$BR)=0,"-",IF(AND($B$4="Salary Points 1 to 57",B86&lt;=Thresholds_Rates!$C$17),$C86*Thresholds_Rates!$F$18,IF(AND(OR($B$4="New Consultant Contract"),$B86&lt;&gt;""),$C86*Thresholds_Rates!$F$18,IF(AND(OR($B$4="Clinical Lecturer / Medical Research Fellow",$B$4="Clinical Consultant - Old Contract (GP)"),$B86&lt;&gt;""),$C86*Thresholds_Rates!$F$18,IF(AND(OR($B$4="APM Level 7",$B$4="R&amp;T Level 7"),H86&lt;&gt;""),$C86*Thresholds_Rates!$F$18,IF(SUMIF(Grades!$A:$A,$B$4,Grades!$BQ:$BQ)=1,$C86*Thresholds_Rates!$F$18,""))))))))</f>
        <v/>
      </c>
      <c r="J86" s="4"/>
      <c r="K86" s="24" t="str">
        <f t="shared" ca="1" si="7"/>
        <v/>
      </c>
      <c r="L86" s="24" t="str">
        <f t="shared" ca="1" si="8"/>
        <v/>
      </c>
      <c r="M86" s="24" t="str">
        <f t="shared" ca="1" si="9"/>
        <v/>
      </c>
      <c r="N86" s="24" t="str">
        <f t="shared" ca="1" si="10"/>
        <v/>
      </c>
      <c r="O86" s="24" t="str">
        <f t="shared" ca="1" si="11"/>
        <v/>
      </c>
      <c r="Q86" s="27" t="str">
        <f ca="1">IF(B86="","",IF($B$4="R&amp;T Level 5 - Clinical Lecturers (Vet School)",SUMIF(Points_Lookup!$M:$M,$B86,Points_Lookup!$N:$N),IF($B$4="R&amp;T Level 6 - Clinical Associate Professors and Clinical Readers (Vet School)",SUMIF(Points_Lookup!$T:$T,$B86,Points_Lookup!$U:$U),"")))</f>
        <v/>
      </c>
      <c r="R86" s="28" t="str">
        <f ca="1">IF(B86="","",IF($B$4="R&amp;T Level 5 - Clinical Lecturers (Vet School)",$C86-SUMIF(Points_Lookup!$M:$M,$B86,Points_Lookup!$O:$O),IF($B$4="R&amp;T Level 6 - Clinical Associate Professors and Clinical Readers (Vet School)",$C86-SUMIF(Points_Lookup!$T:$T,$B86,Points_Lookup!$V:$V),"")))</f>
        <v/>
      </c>
      <c r="S86" s="27" t="str">
        <f ca="1">IF(B86="","",IF($B$4="R&amp;T Level 5 - Clinical Lecturers (Vet School)",SUMIF(Points_Lookup!$M:$M,$B86,Points_Lookup!$Q:$Q),IF($B$4="R&amp;T Level 6 - Clinical Associate Professors and Clinical Readers (Vet School)",SUMIF(Points_Lookup!$T:$T,$B86,Points_Lookup!$X:$X),"")))</f>
        <v/>
      </c>
      <c r="T86" s="28" t="str">
        <f t="shared" ca="1" si="12"/>
        <v/>
      </c>
    </row>
    <row r="87" spans="2:20" x14ac:dyDescent="0.25">
      <c r="B87" s="4" t="str">
        <f ca="1">IFERROR(INDEX(Points_Lookup!$A:$A,MATCH($Y89,Points_Lookup!$AE:$AE,0)),"")</f>
        <v/>
      </c>
      <c r="C87" s="24" t="str">
        <f ca="1">IF(B87="","",IF($B$4="Apprenticeship",SUMIF(Points_Lookup!$AA:$AA,B87,Points_Lookup!$AC:$AC),IF(AND(OR($B$4="New Consultant Contract"),$B87&lt;&gt;""),INDEX(Points_Lookup!$K:$K,MATCH($B87,Points_Lookup!$J:$J,0)),IF(AND(OR($B$4="Clinical Lecturer / Medical Research Fellow",$B$4="Clinical Consultant - Old Contract (GP)"),$B87&lt;&gt;""),INDEX(Points_Lookup!$H:$H,MATCH($B87,Points_Lookup!$G:$G,0)),IF(AND(OR($B$4="APM Level 7",$B$4="R&amp;T Level 7",$B$4="APM Level 8"),B87&lt;&gt;""),INDEX(Points_Lookup!$E:$E,MATCH($Y87,Points_Lookup!$AE:$AE,0)),IF($B$4="R&amp;T Level 5 - Clinical Lecturers (Vet School)",SUMIF(Points_Lookup!$M:$M,$B87,Points_Lookup!$P:$P),IF($B$4="R&amp;T Level 6 - Clinical Associate Professors and Clinical Readers (Vet School)",SUMIF(Points_Lookup!$T:$T,$B87,Points_Lookup!$W:$W),IFERROR(INDEX(Points_Lookup!$B:$B,MATCH($Y87,Points_Lookup!$AE:$AE,0)),""))))))))</f>
        <v/>
      </c>
      <c r="D87" s="39"/>
      <c r="E87" s="24" t="str">
        <f ca="1">IF($B87="","",IF(AND($B$4="Salary Points 2 to 57",B87&lt;Thresholds_Rates!$C$16),"-",IF(SUMIF(Grades!$A:$A,$B$4,Grades!$BO:$BO)=0,"-",IF(AND($B$4="Salary Points 2 to 57",B87&gt;=Thresholds_Rates!$C$16),$C87*Thresholds_Rates!$F$15,IF(AND(OR($B$4="New Consultant Contract"),$B87&lt;&gt;""),$C87*Thresholds_Rates!$F$15,IF(AND(OR($B$4="Clinical Lecturer / Medical Research Fellow",$B$4="Clinical Consultant - Old Contract (GP)"),$B87&lt;&gt;""),$C87*Thresholds_Rates!$F$15,IF(OR($B$4="APM Level 7",$B$4="R&amp;T Level 7"),$C87*Thresholds_Rates!$F$15,IF(SUMIF(Grades!$A:$A,$B$4,Grades!$BO:$BO)=1,$C87*Thresholds_Rates!$F$15,""))))))))</f>
        <v/>
      </c>
      <c r="F87" s="24" t="str">
        <f ca="1">IF(B87="","",IF($B$4="Salary Points 1 to 57","-",IF(SUMIF(Grades!$A:$A,$B$4,Grades!$BP:$BP)=0,"-",IF(AND(OR($B$4="New Consultant Contract"),$B87&lt;&gt;""),$C87*Thresholds_Rates!$F$16,IF(AND(OR($B$4="Clinical Lecturer / Medical Research Fellow",$B$4="Clinical Consultant - Old Contract (GP)"),$B87&lt;&gt;""),$C87*Thresholds_Rates!$F$16,IF(AND(OR($B$4="APM Level 7",$B$4="R&amp;T Level 7"),E87&lt;&gt;""),$C87*Thresholds_Rates!$F$16,IF(SUMIF(Grades!$A:$A,$B$4,Grades!$BP:$BP)=1,$C87*Thresholds_Rates!$F$16,"")))))))</f>
        <v/>
      </c>
      <c r="G87" s="24" t="str">
        <f ca="1">IF(B87="","",IF(SUMIF(Grades!$A:$A,$B$4,Grades!$BQ:$BQ)=0,"-",IF(AND($B$4="Salary Points 1 to 57",B87&gt;Thresholds_Rates!$C$17),"-",IF(AND($B$4="Salary Points 1 to 57",B87&lt;=Thresholds_Rates!$C$17),$C87*Thresholds_Rates!$F$17,IF(AND(OR($B$4="New Consultant Contract"),$B87&lt;&gt;""),$C87*Thresholds_Rates!$F$17,IF(AND(OR($B$4="Clinical Lecturer / Medical Research Fellow",$B$4="Clinical Consultant - Old Contract (GP)"),$B87&lt;&gt;""),$C87*Thresholds_Rates!$F$17,IF(AND(OR($B$4="APM Level 7",$B$4="R&amp;T Level 7"),F87&lt;&gt;""),$C87*Thresholds_Rates!$F$17,IF(SUMIF(Grades!$A:$A,$B$4,Grades!$BQ:$BQ)=1,$C87*Thresholds_Rates!$F$17,""))))))))</f>
        <v/>
      </c>
      <c r="H87" s="24" t="str">
        <f ca="1">IF($B87="","",ROUND(($C87-(Thresholds_Rates!$C$5*12))*Thresholds_Rates!$C$10,0))</f>
        <v/>
      </c>
      <c r="I87" s="24" t="str">
        <f ca="1">IF(B87="","",IF(AND($B$4="Salary Points 1 to 57",B87&gt;Thresholds_Rates!$C$17),"-",IF(SUMIF(Grades!$A:$A,$B$4,Grades!$BR:$BR)=0,"-",IF(AND($B$4="Salary Points 1 to 57",B87&lt;=Thresholds_Rates!$C$17),$C87*Thresholds_Rates!$F$18,IF(AND(OR($B$4="New Consultant Contract"),$B87&lt;&gt;""),$C87*Thresholds_Rates!$F$18,IF(AND(OR($B$4="Clinical Lecturer / Medical Research Fellow",$B$4="Clinical Consultant - Old Contract (GP)"),$B87&lt;&gt;""),$C87*Thresholds_Rates!$F$18,IF(AND(OR($B$4="APM Level 7",$B$4="R&amp;T Level 7"),H87&lt;&gt;""),$C87*Thresholds_Rates!$F$18,IF(SUMIF(Grades!$A:$A,$B$4,Grades!$BQ:$BQ)=1,$C87*Thresholds_Rates!$F$18,""))))))))</f>
        <v/>
      </c>
      <c r="J87" s="4"/>
      <c r="K87" s="24" t="str">
        <f t="shared" ca="1" si="7"/>
        <v/>
      </c>
      <c r="L87" s="24" t="str">
        <f t="shared" ca="1" si="8"/>
        <v/>
      </c>
      <c r="M87" s="24" t="str">
        <f t="shared" ca="1" si="9"/>
        <v/>
      </c>
      <c r="N87" s="24" t="str">
        <f t="shared" ca="1" si="10"/>
        <v/>
      </c>
      <c r="O87" s="24" t="str">
        <f t="shared" ca="1" si="11"/>
        <v/>
      </c>
      <c r="Q87" s="27" t="str">
        <f ca="1">IF(B87="","",IF($B$4="R&amp;T Level 5 - Clinical Lecturers (Vet School)",SUMIF(Points_Lookup!$M:$M,$B87,Points_Lookup!$N:$N),IF($B$4="R&amp;T Level 6 - Clinical Associate Professors and Clinical Readers (Vet School)",SUMIF(Points_Lookup!$T:$T,$B87,Points_Lookup!$U:$U),"")))</f>
        <v/>
      </c>
      <c r="R87" s="28" t="str">
        <f ca="1">IF(B87="","",IF($B$4="R&amp;T Level 5 - Clinical Lecturers (Vet School)",$C87-SUMIF(Points_Lookup!$M:$M,$B87,Points_Lookup!$O:$O),IF($B$4="R&amp;T Level 6 - Clinical Associate Professors and Clinical Readers (Vet School)",$C87-SUMIF(Points_Lookup!$T:$T,$B87,Points_Lookup!$V:$V),"")))</f>
        <v/>
      </c>
      <c r="S87" s="27" t="str">
        <f ca="1">IF(B87="","",IF($B$4="R&amp;T Level 5 - Clinical Lecturers (Vet School)",SUMIF(Points_Lookup!$M:$M,$B87,Points_Lookup!$Q:$Q),IF($B$4="R&amp;T Level 6 - Clinical Associate Professors and Clinical Readers (Vet School)",SUMIF(Points_Lookup!$T:$T,$B87,Points_Lookup!$X:$X),"")))</f>
        <v/>
      </c>
      <c r="T87" s="28" t="str">
        <f t="shared" ca="1" si="12"/>
        <v/>
      </c>
    </row>
    <row r="88" spans="2:20" x14ac:dyDescent="0.25">
      <c r="B88" s="4" t="str">
        <f ca="1">IFERROR(INDEX(Points_Lookup!$A:$A,MATCH($Y90,Points_Lookup!$AE:$AE,0)),"")</f>
        <v/>
      </c>
      <c r="C88" s="24" t="str">
        <f ca="1">IF(B88="","",IF($B$4="Apprenticeship",SUMIF(Points_Lookup!$AA:$AA,B88,Points_Lookup!$AC:$AC),IF(AND(OR($B$4="New Consultant Contract"),$B88&lt;&gt;""),INDEX(Points_Lookup!$K:$K,MATCH($B88,Points_Lookup!$J:$J,0)),IF(AND(OR($B$4="Clinical Lecturer / Medical Research Fellow",$B$4="Clinical Consultant - Old Contract (GP)"),$B88&lt;&gt;""),INDEX(Points_Lookup!$H:$H,MATCH($B88,Points_Lookup!$G:$G,0)),IF(AND(OR($B$4="APM Level 7",$B$4="R&amp;T Level 7",$B$4="APM Level 8"),B88&lt;&gt;""),INDEX(Points_Lookup!$E:$E,MATCH($Y88,Points_Lookup!$AE:$AE,0)),IF($B$4="R&amp;T Level 5 - Clinical Lecturers (Vet School)",SUMIF(Points_Lookup!$M:$M,$B88,Points_Lookup!$P:$P),IF($B$4="R&amp;T Level 6 - Clinical Associate Professors and Clinical Readers (Vet School)",SUMIF(Points_Lookup!$T:$T,$B88,Points_Lookup!$W:$W),IFERROR(INDEX(Points_Lookup!$B:$B,MATCH($Y88,Points_Lookup!$AE:$AE,0)),""))))))))</f>
        <v/>
      </c>
      <c r="D88" s="39"/>
      <c r="E88" s="24" t="str">
        <f ca="1">IF($B88="","",IF(AND($B$4="Salary Points 2 to 57",B88&lt;Thresholds_Rates!$C$16),"-",IF(SUMIF(Grades!$A:$A,$B$4,Grades!$BO:$BO)=0,"-",IF(AND($B$4="Salary Points 2 to 57",B88&gt;=Thresholds_Rates!$C$16),$C88*Thresholds_Rates!$F$15,IF(AND(OR($B$4="New Consultant Contract"),$B88&lt;&gt;""),$C88*Thresholds_Rates!$F$15,IF(AND(OR($B$4="Clinical Lecturer / Medical Research Fellow",$B$4="Clinical Consultant - Old Contract (GP)"),$B88&lt;&gt;""),$C88*Thresholds_Rates!$F$15,IF(OR($B$4="APM Level 7",$B$4="R&amp;T Level 7"),$C88*Thresholds_Rates!$F$15,IF(SUMIF(Grades!$A:$A,$B$4,Grades!$BO:$BO)=1,$C88*Thresholds_Rates!$F$15,""))))))))</f>
        <v/>
      </c>
      <c r="F88" s="24" t="str">
        <f ca="1">IF(B88="","",IF($B$4="Salary Points 1 to 57","-",IF(SUMIF(Grades!$A:$A,$B$4,Grades!$BP:$BP)=0,"-",IF(AND(OR($B$4="New Consultant Contract"),$B88&lt;&gt;""),$C88*Thresholds_Rates!$F$16,IF(AND(OR($B$4="Clinical Lecturer / Medical Research Fellow",$B$4="Clinical Consultant - Old Contract (GP)"),$B88&lt;&gt;""),$C88*Thresholds_Rates!$F$16,IF(AND(OR($B$4="APM Level 7",$B$4="R&amp;T Level 7"),E88&lt;&gt;""),$C88*Thresholds_Rates!$F$16,IF(SUMIF(Grades!$A:$A,$B$4,Grades!$BP:$BP)=1,$C88*Thresholds_Rates!$F$16,"")))))))</f>
        <v/>
      </c>
      <c r="G88" s="24" t="str">
        <f ca="1">IF(B88="","",IF(SUMIF(Grades!$A:$A,$B$4,Grades!$BQ:$BQ)=0,"-",IF(AND($B$4="Salary Points 1 to 57",B88&gt;Thresholds_Rates!$C$17),"-",IF(AND($B$4="Salary Points 1 to 57",B88&lt;=Thresholds_Rates!$C$17),$C88*Thresholds_Rates!$F$17,IF(AND(OR($B$4="New Consultant Contract"),$B88&lt;&gt;""),$C88*Thresholds_Rates!$F$17,IF(AND(OR($B$4="Clinical Lecturer / Medical Research Fellow",$B$4="Clinical Consultant - Old Contract (GP)"),$B88&lt;&gt;""),$C88*Thresholds_Rates!$F$17,IF(AND(OR($B$4="APM Level 7",$B$4="R&amp;T Level 7"),F88&lt;&gt;""),$C88*Thresholds_Rates!$F$17,IF(SUMIF(Grades!$A:$A,$B$4,Grades!$BQ:$BQ)=1,$C88*Thresholds_Rates!$F$17,""))))))))</f>
        <v/>
      </c>
      <c r="H88" s="24" t="str">
        <f ca="1">IF($B88="","",ROUND(($C88-(Thresholds_Rates!$C$5*12))*Thresholds_Rates!$C$10,0))</f>
        <v/>
      </c>
      <c r="I88" s="24" t="str">
        <f ca="1">IF(B88="","",IF(AND($B$4="Salary Points 1 to 57",B88&gt;Thresholds_Rates!$C$17),"-",IF(SUMIF(Grades!$A:$A,$B$4,Grades!$BR:$BR)=0,"-",IF(AND($B$4="Salary Points 1 to 57",B88&lt;=Thresholds_Rates!$C$17),$C88*Thresholds_Rates!$F$18,IF(AND(OR($B$4="New Consultant Contract"),$B88&lt;&gt;""),$C88*Thresholds_Rates!$F$18,IF(AND(OR($B$4="Clinical Lecturer / Medical Research Fellow",$B$4="Clinical Consultant - Old Contract (GP)"),$B88&lt;&gt;""),$C88*Thresholds_Rates!$F$18,IF(AND(OR($B$4="APM Level 7",$B$4="R&amp;T Level 7"),H88&lt;&gt;""),$C88*Thresholds_Rates!$F$18,IF(SUMIF(Grades!$A:$A,$B$4,Grades!$BQ:$BQ)=1,$C88*Thresholds_Rates!$F$18,""))))))))</f>
        <v/>
      </c>
      <c r="J88" s="4"/>
      <c r="K88" s="24" t="str">
        <f t="shared" ca="1" si="7"/>
        <v/>
      </c>
      <c r="L88" s="24" t="str">
        <f t="shared" ca="1" si="8"/>
        <v/>
      </c>
      <c r="M88" s="24" t="str">
        <f t="shared" ca="1" si="9"/>
        <v/>
      </c>
      <c r="N88" s="24" t="str">
        <f t="shared" ca="1" si="10"/>
        <v/>
      </c>
      <c r="O88" s="24" t="str">
        <f t="shared" ca="1" si="11"/>
        <v/>
      </c>
      <c r="Q88" s="27" t="str">
        <f ca="1">IF(B88="","",IF($B$4="R&amp;T Level 5 - Clinical Lecturers (Vet School)",SUMIF(Points_Lookup!$M:$M,$B88,Points_Lookup!$N:$N),IF($B$4="R&amp;T Level 6 - Clinical Associate Professors and Clinical Readers (Vet School)",SUMIF(Points_Lookup!$T:$T,$B88,Points_Lookup!$U:$U),"")))</f>
        <v/>
      </c>
      <c r="R88" s="28" t="str">
        <f ca="1">IF(B88="","",IF($B$4="R&amp;T Level 5 - Clinical Lecturers (Vet School)",$C88-SUMIF(Points_Lookup!$M:$M,$B88,Points_Lookup!$O:$O),IF($B$4="R&amp;T Level 6 - Clinical Associate Professors and Clinical Readers (Vet School)",$C88-SUMIF(Points_Lookup!$T:$T,$B88,Points_Lookup!$V:$V),"")))</f>
        <v/>
      </c>
      <c r="S88" s="27" t="str">
        <f ca="1">IF(B88="","",IF($B$4="R&amp;T Level 5 - Clinical Lecturers (Vet School)",SUMIF(Points_Lookup!$M:$M,$B88,Points_Lookup!$Q:$Q),IF($B$4="R&amp;T Level 6 - Clinical Associate Professors and Clinical Readers (Vet School)",SUMIF(Points_Lookup!$T:$T,$B88,Points_Lookup!$X:$X),"")))</f>
        <v/>
      </c>
      <c r="T88" s="28" t="str">
        <f t="shared" ca="1" si="12"/>
        <v/>
      </c>
    </row>
    <row r="89" spans="2:20" x14ac:dyDescent="0.25">
      <c r="B89" s="4" t="str">
        <f ca="1">IFERROR(INDEX(Points_Lookup!$A:$A,MATCH($Y91,Points_Lookup!$AE:$AE,0)),"")</f>
        <v/>
      </c>
      <c r="C89" s="24" t="str">
        <f ca="1">IF(B89="","",IF($B$4="Apprenticeship",SUMIF(Points_Lookup!$AA:$AA,B89,Points_Lookup!$AC:$AC),IF(AND(OR($B$4="New Consultant Contract"),$B89&lt;&gt;""),INDEX(Points_Lookup!$K:$K,MATCH($B89,Points_Lookup!$J:$J,0)),IF(AND(OR($B$4="Clinical Lecturer / Medical Research Fellow",$B$4="Clinical Consultant - Old Contract (GP)"),$B89&lt;&gt;""),INDEX(Points_Lookup!$H:$H,MATCH($B89,Points_Lookup!$G:$G,0)),IF(AND(OR($B$4="APM Level 7",$B$4="R&amp;T Level 7",$B$4="APM Level 8"),B89&lt;&gt;""),INDEX(Points_Lookup!$E:$E,MATCH($Y89,Points_Lookup!$AE:$AE,0)),IF($B$4="R&amp;T Level 5 - Clinical Lecturers (Vet School)",SUMIF(Points_Lookup!$M:$M,$B89,Points_Lookup!$P:$P),IF($B$4="R&amp;T Level 6 - Clinical Associate Professors and Clinical Readers (Vet School)",SUMIF(Points_Lookup!$T:$T,$B89,Points_Lookup!$W:$W),IFERROR(INDEX(Points_Lookup!$B:$B,MATCH($Y89,Points_Lookup!$AE:$AE,0)),""))))))))</f>
        <v/>
      </c>
      <c r="D89" s="39"/>
      <c r="E89" s="24" t="str">
        <f ca="1">IF($B89="","",IF(AND($B$4="Salary Points 2 to 57",B89&lt;Thresholds_Rates!$C$16),"-",IF(SUMIF(Grades!$A:$A,$B$4,Grades!$BO:$BO)=0,"-",IF(AND($B$4="Salary Points 2 to 57",B89&gt;=Thresholds_Rates!$C$16),$C89*Thresholds_Rates!$F$15,IF(AND(OR($B$4="New Consultant Contract"),$B89&lt;&gt;""),$C89*Thresholds_Rates!$F$15,IF(AND(OR($B$4="Clinical Lecturer / Medical Research Fellow",$B$4="Clinical Consultant - Old Contract (GP)"),$B89&lt;&gt;""),$C89*Thresholds_Rates!$F$15,IF(OR($B$4="APM Level 7",$B$4="R&amp;T Level 7"),$C89*Thresholds_Rates!$F$15,IF(SUMIF(Grades!$A:$A,$B$4,Grades!$BO:$BO)=1,$C89*Thresholds_Rates!$F$15,""))))))))</f>
        <v/>
      </c>
      <c r="F89" s="24" t="str">
        <f ca="1">IF(B89="","",IF($B$4="Salary Points 1 to 57","-",IF(SUMIF(Grades!$A:$A,$B$4,Grades!$BP:$BP)=0,"-",IF(AND(OR($B$4="New Consultant Contract"),$B89&lt;&gt;""),$C89*Thresholds_Rates!$F$16,IF(AND(OR($B$4="Clinical Lecturer / Medical Research Fellow",$B$4="Clinical Consultant - Old Contract (GP)"),$B89&lt;&gt;""),$C89*Thresholds_Rates!$F$16,IF(AND(OR($B$4="APM Level 7",$B$4="R&amp;T Level 7"),E89&lt;&gt;""),$C89*Thresholds_Rates!$F$16,IF(SUMIF(Grades!$A:$A,$B$4,Grades!$BP:$BP)=1,$C89*Thresholds_Rates!$F$16,"")))))))</f>
        <v/>
      </c>
      <c r="G89" s="24" t="str">
        <f ca="1">IF(B89="","",IF(SUMIF(Grades!$A:$A,$B$4,Grades!$BQ:$BQ)=0,"-",IF(AND($B$4="Salary Points 1 to 57",B89&gt;Thresholds_Rates!$C$17),"-",IF(AND($B$4="Salary Points 1 to 57",B89&lt;=Thresholds_Rates!$C$17),$C89*Thresholds_Rates!$F$17,IF(AND(OR($B$4="New Consultant Contract"),$B89&lt;&gt;""),$C89*Thresholds_Rates!$F$17,IF(AND(OR($B$4="Clinical Lecturer / Medical Research Fellow",$B$4="Clinical Consultant - Old Contract (GP)"),$B89&lt;&gt;""),$C89*Thresholds_Rates!$F$17,IF(AND(OR($B$4="APM Level 7",$B$4="R&amp;T Level 7"),F89&lt;&gt;""),$C89*Thresholds_Rates!$F$17,IF(SUMIF(Grades!$A:$A,$B$4,Grades!$BQ:$BQ)=1,$C89*Thresholds_Rates!$F$17,""))))))))</f>
        <v/>
      </c>
      <c r="H89" s="24" t="str">
        <f ca="1">IF($B89="","",ROUND(($C89-(Thresholds_Rates!$C$5*12))*Thresholds_Rates!$C$10,0))</f>
        <v/>
      </c>
      <c r="I89" s="24" t="str">
        <f ca="1">IF(B89="","",IF(AND($B$4="Salary Points 1 to 57",B89&gt;Thresholds_Rates!$C$17),"-",IF(SUMIF(Grades!$A:$A,$B$4,Grades!$BR:$BR)=0,"-",IF(AND($B$4="Salary Points 1 to 57",B89&lt;=Thresholds_Rates!$C$17),$C89*Thresholds_Rates!$F$18,IF(AND(OR($B$4="New Consultant Contract"),$B89&lt;&gt;""),$C89*Thresholds_Rates!$F$18,IF(AND(OR($B$4="Clinical Lecturer / Medical Research Fellow",$B$4="Clinical Consultant - Old Contract (GP)"),$B89&lt;&gt;""),$C89*Thresholds_Rates!$F$18,IF(AND(OR($B$4="APM Level 7",$B$4="R&amp;T Level 7"),H89&lt;&gt;""),$C89*Thresholds_Rates!$F$18,IF(SUMIF(Grades!$A:$A,$B$4,Grades!$BQ:$BQ)=1,$C89*Thresholds_Rates!$F$18,""))))))))</f>
        <v/>
      </c>
      <c r="J89" s="4"/>
      <c r="K89" s="24" t="str">
        <f t="shared" ca="1" si="7"/>
        <v/>
      </c>
      <c r="L89" s="24" t="str">
        <f t="shared" ca="1" si="8"/>
        <v/>
      </c>
      <c r="M89" s="24" t="str">
        <f t="shared" ca="1" si="9"/>
        <v/>
      </c>
      <c r="N89" s="24" t="str">
        <f t="shared" ca="1" si="10"/>
        <v/>
      </c>
      <c r="O89" s="24" t="str">
        <f t="shared" ca="1" si="11"/>
        <v/>
      </c>
      <c r="Q89" s="27" t="str">
        <f ca="1">IF(B89="","",IF($B$4="R&amp;T Level 5 - Clinical Lecturers (Vet School)",SUMIF(Points_Lookup!$M:$M,$B89,Points_Lookup!$N:$N),IF($B$4="R&amp;T Level 6 - Clinical Associate Professors and Clinical Readers (Vet School)",SUMIF(Points_Lookup!$T:$T,$B89,Points_Lookup!$U:$U),"")))</f>
        <v/>
      </c>
      <c r="R89" s="28" t="str">
        <f ca="1">IF(B89="","",IF($B$4="R&amp;T Level 5 - Clinical Lecturers (Vet School)",$C89-SUMIF(Points_Lookup!$M:$M,$B89,Points_Lookup!$O:$O),IF($B$4="R&amp;T Level 6 - Clinical Associate Professors and Clinical Readers (Vet School)",$C89-SUMIF(Points_Lookup!$T:$T,$B89,Points_Lookup!$V:$V),"")))</f>
        <v/>
      </c>
      <c r="S89" s="27" t="str">
        <f ca="1">IF(B89="","",IF($B$4="R&amp;T Level 5 - Clinical Lecturers (Vet School)",SUMIF(Points_Lookup!$M:$M,$B89,Points_Lookup!$Q:$Q),IF($B$4="R&amp;T Level 6 - Clinical Associate Professors and Clinical Readers (Vet School)",SUMIF(Points_Lookup!$T:$T,$B89,Points_Lookup!$X:$X),"")))</f>
        <v/>
      </c>
      <c r="T89" s="28" t="str">
        <f t="shared" ca="1" si="12"/>
        <v/>
      </c>
    </row>
    <row r="90" spans="2:20" x14ac:dyDescent="0.25">
      <c r="B90" s="4" t="str">
        <f ca="1">IFERROR(INDEX(Points_Lookup!$A:$A,MATCH($Y92,Points_Lookup!$AE:$AE,0)),"")</f>
        <v/>
      </c>
      <c r="C90" s="24" t="str">
        <f ca="1">IF(B90="","",IF($B$4="Apprenticeship",SUMIF(Points_Lookup!$AA:$AA,B90,Points_Lookup!$AC:$AC),IF(AND(OR($B$4="New Consultant Contract"),$B90&lt;&gt;""),INDEX(Points_Lookup!$K:$K,MATCH($B90,Points_Lookup!$J:$J,0)),IF(AND(OR($B$4="Clinical Lecturer / Medical Research Fellow",$B$4="Clinical Consultant - Old Contract (GP)"),$B90&lt;&gt;""),INDEX(Points_Lookup!$H:$H,MATCH($B90,Points_Lookup!$G:$G,0)),IF(AND(OR($B$4="APM Level 7",$B$4="R&amp;T Level 7",$B$4="APM Level 8"),B90&lt;&gt;""),INDEX(Points_Lookup!$E:$E,MATCH($Y90,Points_Lookup!$AE:$AE,0)),IF($B$4="R&amp;T Level 5 - Clinical Lecturers (Vet School)",SUMIF(Points_Lookup!$M:$M,$B90,Points_Lookup!$P:$P),IF($B$4="R&amp;T Level 6 - Clinical Associate Professors and Clinical Readers (Vet School)",SUMIF(Points_Lookup!$T:$T,$B90,Points_Lookup!$W:$W),IFERROR(INDEX(Points_Lookup!$B:$B,MATCH($Y90,Points_Lookup!$AE:$AE,0)),""))))))))</f>
        <v/>
      </c>
      <c r="D90" s="39"/>
      <c r="E90" s="24" t="str">
        <f ca="1">IF($B90="","",IF(AND($B$4="Salary Points 2 to 57",B90&lt;Thresholds_Rates!$C$16),"-",IF(SUMIF(Grades!$A:$A,$B$4,Grades!$BO:$BO)=0,"-",IF(AND($B$4="Salary Points 2 to 57",B90&gt;=Thresholds_Rates!$C$16),$C90*Thresholds_Rates!$F$15,IF(AND(OR($B$4="New Consultant Contract"),$B90&lt;&gt;""),$C90*Thresholds_Rates!$F$15,IF(AND(OR($B$4="Clinical Lecturer / Medical Research Fellow",$B$4="Clinical Consultant - Old Contract (GP)"),$B90&lt;&gt;""),$C90*Thresholds_Rates!$F$15,IF(OR($B$4="APM Level 7",$B$4="R&amp;T Level 7"),$C90*Thresholds_Rates!$F$15,IF(SUMIF(Grades!$A:$A,$B$4,Grades!$BO:$BO)=1,$C90*Thresholds_Rates!$F$15,""))))))))</f>
        <v/>
      </c>
      <c r="F90" s="24" t="str">
        <f ca="1">IF(B90="","",IF($B$4="Salary Points 1 to 57","-",IF(SUMIF(Grades!$A:$A,$B$4,Grades!$BP:$BP)=0,"-",IF(AND(OR($B$4="New Consultant Contract"),$B90&lt;&gt;""),$C90*Thresholds_Rates!$F$16,IF(AND(OR($B$4="Clinical Lecturer / Medical Research Fellow",$B$4="Clinical Consultant - Old Contract (GP)"),$B90&lt;&gt;""),$C90*Thresholds_Rates!$F$16,IF(AND(OR($B$4="APM Level 7",$B$4="R&amp;T Level 7"),E90&lt;&gt;""),$C90*Thresholds_Rates!$F$16,IF(SUMIF(Grades!$A:$A,$B$4,Grades!$BP:$BP)=1,$C90*Thresholds_Rates!$F$16,"")))))))</f>
        <v/>
      </c>
      <c r="G90" s="24" t="str">
        <f ca="1">IF(B90="","",IF(SUMIF(Grades!$A:$A,$B$4,Grades!$BQ:$BQ)=0,"-",IF(AND($B$4="Salary Points 1 to 57",B90&gt;Thresholds_Rates!$C$17),"-",IF(AND($B$4="Salary Points 1 to 57",B90&lt;=Thresholds_Rates!$C$17),$C90*Thresholds_Rates!$F$17,IF(AND(OR($B$4="New Consultant Contract"),$B90&lt;&gt;""),$C90*Thresholds_Rates!$F$17,IF(AND(OR($B$4="Clinical Lecturer / Medical Research Fellow",$B$4="Clinical Consultant - Old Contract (GP)"),$B90&lt;&gt;""),$C90*Thresholds_Rates!$F$17,IF(AND(OR($B$4="APM Level 7",$B$4="R&amp;T Level 7"),F90&lt;&gt;""),$C90*Thresholds_Rates!$F$17,IF(SUMIF(Grades!$A:$A,$B$4,Grades!$BQ:$BQ)=1,$C90*Thresholds_Rates!$F$17,""))))))))</f>
        <v/>
      </c>
      <c r="H90" s="24" t="str">
        <f ca="1">IF($B90="","",ROUND(($C90-(Thresholds_Rates!$C$5*12))*Thresholds_Rates!$C$10,0))</f>
        <v/>
      </c>
      <c r="I90" s="24" t="str">
        <f ca="1">IF(B90="","",IF(AND($B$4="Salary Points 1 to 57",B90&gt;Thresholds_Rates!$C$17),"-",IF(SUMIF(Grades!$A:$A,$B$4,Grades!$BR:$BR)=0,"-",IF(AND($B$4="Salary Points 1 to 57",B90&lt;=Thresholds_Rates!$C$17),$C90*Thresholds_Rates!$F$18,IF(AND(OR($B$4="New Consultant Contract"),$B90&lt;&gt;""),$C90*Thresholds_Rates!$F$18,IF(AND(OR($B$4="Clinical Lecturer / Medical Research Fellow",$B$4="Clinical Consultant - Old Contract (GP)"),$B90&lt;&gt;""),$C90*Thresholds_Rates!$F$18,IF(AND(OR($B$4="APM Level 7",$B$4="R&amp;T Level 7"),H90&lt;&gt;""),$C90*Thresholds_Rates!$F$18,IF(SUMIF(Grades!$A:$A,$B$4,Grades!$BQ:$BQ)=1,$C90*Thresholds_Rates!$F$18,""))))))))</f>
        <v/>
      </c>
      <c r="J90" s="4"/>
      <c r="K90" s="24" t="str">
        <f t="shared" ca="1" si="7"/>
        <v/>
      </c>
      <c r="L90" s="24" t="str">
        <f t="shared" ca="1" si="8"/>
        <v/>
      </c>
      <c r="M90" s="24" t="str">
        <f t="shared" ca="1" si="9"/>
        <v/>
      </c>
      <c r="N90" s="24" t="str">
        <f t="shared" ca="1" si="10"/>
        <v/>
      </c>
      <c r="O90" s="24" t="str">
        <f t="shared" ca="1" si="11"/>
        <v/>
      </c>
      <c r="Q90" s="27" t="str">
        <f ca="1">IF(B90="","",IF($B$4="R&amp;T Level 5 - Clinical Lecturers (Vet School)",SUMIF(Points_Lookup!$M:$M,$B90,Points_Lookup!$N:$N),IF($B$4="R&amp;T Level 6 - Clinical Associate Professors and Clinical Readers (Vet School)",SUMIF(Points_Lookup!$T:$T,$B90,Points_Lookup!$U:$U),"")))</f>
        <v/>
      </c>
      <c r="R90" s="28" t="str">
        <f ca="1">IF(B90="","",IF($B$4="R&amp;T Level 5 - Clinical Lecturers (Vet School)",$C90-SUMIF(Points_Lookup!$M:$M,$B90,Points_Lookup!$O:$O),IF($B$4="R&amp;T Level 6 - Clinical Associate Professors and Clinical Readers (Vet School)",$C90-SUMIF(Points_Lookup!$T:$T,$B90,Points_Lookup!$V:$V),"")))</f>
        <v/>
      </c>
      <c r="S90" s="27" t="str">
        <f ca="1">IF(B90="","",IF($B$4="R&amp;T Level 5 - Clinical Lecturers (Vet School)",SUMIF(Points_Lookup!$M:$M,$B90,Points_Lookup!$Q:$Q),IF($B$4="R&amp;T Level 6 - Clinical Associate Professors and Clinical Readers (Vet School)",SUMIF(Points_Lookup!$T:$T,$B90,Points_Lookup!$X:$X),"")))</f>
        <v/>
      </c>
      <c r="T90" s="28" t="str">
        <f t="shared" ca="1" si="12"/>
        <v/>
      </c>
    </row>
    <row r="91" spans="2:20" x14ac:dyDescent="0.25">
      <c r="B91" s="4" t="str">
        <f ca="1">IFERROR(INDEX(Points_Lookup!$A:$A,MATCH($Y93,Points_Lookup!$AE:$AE,0)),"")</f>
        <v/>
      </c>
      <c r="C91" s="24" t="str">
        <f ca="1">IF(B91="","",IF($B$4="Apprenticeship",SUMIF(Points_Lookup!$AA:$AA,B91,Points_Lookup!$AC:$AC),IF(AND(OR($B$4="New Consultant Contract"),$B91&lt;&gt;""),INDEX(Points_Lookup!$K:$K,MATCH($B91,Points_Lookup!$J:$J,0)),IF(AND(OR($B$4="Clinical Lecturer / Medical Research Fellow",$B$4="Clinical Consultant - Old Contract (GP)"),$B91&lt;&gt;""),INDEX(Points_Lookup!$H:$H,MATCH($B91,Points_Lookup!$G:$G,0)),IF(AND(OR($B$4="APM Level 7",$B$4="R&amp;T Level 7",$B$4="APM Level 8"),B91&lt;&gt;""),INDEX(Points_Lookup!$E:$E,MATCH($Y91,Points_Lookup!$AE:$AE,0)),IF($B$4="R&amp;T Level 5 - Clinical Lecturers (Vet School)",SUMIF(Points_Lookup!$M:$M,$B91,Points_Lookup!$P:$P),IF($B$4="R&amp;T Level 6 - Clinical Associate Professors and Clinical Readers (Vet School)",SUMIF(Points_Lookup!$T:$T,$B91,Points_Lookup!$W:$W),IFERROR(INDEX(Points_Lookup!$B:$B,MATCH($Y91,Points_Lookup!$AE:$AE,0)),""))))))))</f>
        <v/>
      </c>
      <c r="D91" s="39"/>
      <c r="E91" s="24" t="str">
        <f ca="1">IF($B91="","",IF(AND($B$4="Salary Points 2 to 57",B91&lt;Thresholds_Rates!$C$16),"-",IF(SUMIF(Grades!$A:$A,$B$4,Grades!$BO:$BO)=0,"-",IF(AND($B$4="Salary Points 2 to 57",B91&gt;=Thresholds_Rates!$C$16),$C91*Thresholds_Rates!$F$15,IF(AND(OR($B$4="New Consultant Contract"),$B91&lt;&gt;""),$C91*Thresholds_Rates!$F$15,IF(AND(OR($B$4="Clinical Lecturer / Medical Research Fellow",$B$4="Clinical Consultant - Old Contract (GP)"),$B91&lt;&gt;""),$C91*Thresholds_Rates!$F$15,IF(OR($B$4="APM Level 7",$B$4="R&amp;T Level 7"),$C91*Thresholds_Rates!$F$15,IF(SUMIF(Grades!$A:$A,$B$4,Grades!$BO:$BO)=1,$C91*Thresholds_Rates!$F$15,""))))))))</f>
        <v/>
      </c>
      <c r="F91" s="24" t="str">
        <f ca="1">IF(B91="","",IF($B$4="Salary Points 1 to 57","-",IF(SUMIF(Grades!$A:$A,$B$4,Grades!$BP:$BP)=0,"-",IF(AND(OR($B$4="New Consultant Contract"),$B91&lt;&gt;""),$C91*Thresholds_Rates!$F$16,IF(AND(OR($B$4="Clinical Lecturer / Medical Research Fellow",$B$4="Clinical Consultant - Old Contract (GP)"),$B91&lt;&gt;""),$C91*Thresholds_Rates!$F$16,IF(AND(OR($B$4="APM Level 7",$B$4="R&amp;T Level 7"),E91&lt;&gt;""),$C91*Thresholds_Rates!$F$16,IF(SUMIF(Grades!$A:$A,$B$4,Grades!$BP:$BP)=1,$C91*Thresholds_Rates!$F$16,"")))))))</f>
        <v/>
      </c>
      <c r="G91" s="24" t="str">
        <f ca="1">IF(B91="","",IF(SUMIF(Grades!$A:$A,$B$4,Grades!$BQ:$BQ)=0,"-",IF(AND($B$4="Salary Points 1 to 57",B91&gt;Thresholds_Rates!$C$17),"-",IF(AND($B$4="Salary Points 1 to 57",B91&lt;=Thresholds_Rates!$C$17),$C91*Thresholds_Rates!$F$17,IF(AND(OR($B$4="New Consultant Contract"),$B91&lt;&gt;""),$C91*Thresholds_Rates!$F$17,IF(AND(OR($B$4="Clinical Lecturer / Medical Research Fellow",$B$4="Clinical Consultant - Old Contract (GP)"),$B91&lt;&gt;""),$C91*Thresholds_Rates!$F$17,IF(AND(OR($B$4="APM Level 7",$B$4="R&amp;T Level 7"),F91&lt;&gt;""),$C91*Thresholds_Rates!$F$17,IF(SUMIF(Grades!$A:$A,$B$4,Grades!$BQ:$BQ)=1,$C91*Thresholds_Rates!$F$17,""))))))))</f>
        <v/>
      </c>
      <c r="H91" s="24" t="str">
        <f ca="1">IF($B91="","",ROUND(($C91-(Thresholds_Rates!$C$5*12))*Thresholds_Rates!$C$10,0))</f>
        <v/>
      </c>
      <c r="I91" s="24" t="str">
        <f ca="1">IF(B91="","",IF(AND($B$4="Salary Points 1 to 57",B91&gt;Thresholds_Rates!$C$17),"-",IF(SUMIF(Grades!$A:$A,$B$4,Grades!$BR:$BR)=0,"-",IF(AND($B$4="Salary Points 1 to 57",B91&lt;=Thresholds_Rates!$C$17),$C91*Thresholds_Rates!$F$18,IF(AND(OR($B$4="New Consultant Contract"),$B91&lt;&gt;""),$C91*Thresholds_Rates!$F$18,IF(AND(OR($B$4="Clinical Lecturer / Medical Research Fellow",$B$4="Clinical Consultant - Old Contract (GP)"),$B91&lt;&gt;""),$C91*Thresholds_Rates!$F$18,IF(AND(OR($B$4="APM Level 7",$B$4="R&amp;T Level 7"),H91&lt;&gt;""),$C91*Thresholds_Rates!$F$18,IF(SUMIF(Grades!$A:$A,$B$4,Grades!$BQ:$BQ)=1,$C91*Thresholds_Rates!$F$18,""))))))))</f>
        <v/>
      </c>
      <c r="J91" s="4"/>
      <c r="K91" s="24" t="str">
        <f t="shared" ca="1" si="7"/>
        <v/>
      </c>
      <c r="L91" s="24" t="str">
        <f t="shared" ca="1" si="8"/>
        <v/>
      </c>
      <c r="M91" s="24" t="str">
        <f t="shared" ca="1" si="9"/>
        <v/>
      </c>
      <c r="N91" s="24" t="str">
        <f t="shared" ca="1" si="10"/>
        <v/>
      </c>
      <c r="O91" s="24" t="str">
        <f t="shared" ca="1" si="11"/>
        <v/>
      </c>
      <c r="Q91" s="27" t="str">
        <f ca="1">IF(B91="","",IF($B$4="R&amp;T Level 5 - Clinical Lecturers (Vet School)",SUMIF(Points_Lookup!$M:$M,$B91,Points_Lookup!$N:$N),IF($B$4="R&amp;T Level 6 - Clinical Associate Professors and Clinical Readers (Vet School)",SUMIF(Points_Lookup!$T:$T,$B91,Points_Lookup!$U:$U),"")))</f>
        <v/>
      </c>
      <c r="R91" s="28" t="str">
        <f ca="1">IF(B91="","",IF($B$4="R&amp;T Level 5 - Clinical Lecturers (Vet School)",$C91-SUMIF(Points_Lookup!$M:$M,$B91,Points_Lookup!$O:$O),IF($B$4="R&amp;T Level 6 - Clinical Associate Professors and Clinical Readers (Vet School)",$C91-SUMIF(Points_Lookup!$T:$T,$B91,Points_Lookup!$V:$V),"")))</f>
        <v/>
      </c>
      <c r="S91" s="27" t="str">
        <f ca="1">IF(B91="","",IF($B$4="R&amp;T Level 5 - Clinical Lecturers (Vet School)",SUMIF(Points_Lookup!$M:$M,$B91,Points_Lookup!$Q:$Q),IF($B$4="R&amp;T Level 6 - Clinical Associate Professors and Clinical Readers (Vet School)",SUMIF(Points_Lookup!$T:$T,$B91,Points_Lookup!$X:$X),"")))</f>
        <v/>
      </c>
      <c r="T91" s="28" t="str">
        <f t="shared" ca="1" si="12"/>
        <v/>
      </c>
    </row>
    <row r="92" spans="2:20" x14ac:dyDescent="0.25">
      <c r="B92" s="4" t="str">
        <f ca="1">IFERROR(INDEX(Points_Lookup!$A:$A,MATCH($Y94,Points_Lookup!$AE:$AE,0)),"")</f>
        <v/>
      </c>
      <c r="C92" s="24" t="str">
        <f ca="1">IF(B92="","",IF($B$4="Apprenticeship",SUMIF(Points_Lookup!$AA:$AA,B92,Points_Lookup!$AC:$AC),IF(AND(OR($B$4="New Consultant Contract"),$B92&lt;&gt;""),INDEX(Points_Lookup!$K:$K,MATCH($B92,Points_Lookup!$J:$J,0)),IF(AND(OR($B$4="Clinical Lecturer / Medical Research Fellow",$B$4="Clinical Consultant - Old Contract (GP)"),$B92&lt;&gt;""),INDEX(Points_Lookup!$H:$H,MATCH($B92,Points_Lookup!$G:$G,0)),IF(AND(OR($B$4="APM Level 7",$B$4="R&amp;T Level 7",$B$4="APM Level 8"),B92&lt;&gt;""),INDEX(Points_Lookup!$E:$E,MATCH($Y92,Points_Lookup!$AE:$AE,0)),IF($B$4="R&amp;T Level 5 - Clinical Lecturers (Vet School)",SUMIF(Points_Lookup!$M:$M,$B92,Points_Lookup!$P:$P),IF($B$4="R&amp;T Level 6 - Clinical Associate Professors and Clinical Readers (Vet School)",SUMIF(Points_Lookup!$T:$T,$B92,Points_Lookup!$W:$W),IFERROR(INDEX(Points_Lookup!$B:$B,MATCH($Y92,Points_Lookup!$AE:$AE,0)),""))))))))</f>
        <v/>
      </c>
      <c r="D92" s="39"/>
      <c r="E92" s="24" t="str">
        <f ca="1">IF($B92="","",IF(AND($B$4="Salary Points 2 to 57",B92&lt;Thresholds_Rates!$C$16),"-",IF(SUMIF(Grades!$A:$A,$B$4,Grades!$BO:$BO)=0,"-",IF(AND($B$4="Salary Points 2 to 57",B92&gt;=Thresholds_Rates!$C$16),$C92*Thresholds_Rates!$F$15,IF(AND(OR($B$4="New Consultant Contract"),$B92&lt;&gt;""),$C92*Thresholds_Rates!$F$15,IF(AND(OR($B$4="Clinical Lecturer / Medical Research Fellow",$B$4="Clinical Consultant - Old Contract (GP)"),$B92&lt;&gt;""),$C92*Thresholds_Rates!$F$15,IF(OR($B$4="APM Level 7",$B$4="R&amp;T Level 7"),$C92*Thresholds_Rates!$F$15,IF(SUMIF(Grades!$A:$A,$B$4,Grades!$BO:$BO)=1,$C92*Thresholds_Rates!$F$15,""))))))))</f>
        <v/>
      </c>
      <c r="F92" s="24" t="str">
        <f ca="1">IF(B92="","",IF($B$4="Salary Points 1 to 57","-",IF(SUMIF(Grades!$A:$A,$B$4,Grades!$BP:$BP)=0,"-",IF(AND(OR($B$4="New Consultant Contract"),$B92&lt;&gt;""),$C92*Thresholds_Rates!$F$16,IF(AND(OR($B$4="Clinical Lecturer / Medical Research Fellow",$B$4="Clinical Consultant - Old Contract (GP)"),$B92&lt;&gt;""),$C92*Thresholds_Rates!$F$16,IF(AND(OR($B$4="APM Level 7",$B$4="R&amp;T Level 7"),E92&lt;&gt;""),$C92*Thresholds_Rates!$F$16,IF(SUMIF(Grades!$A:$A,$B$4,Grades!$BP:$BP)=1,$C92*Thresholds_Rates!$F$16,"")))))))</f>
        <v/>
      </c>
      <c r="G92" s="24" t="str">
        <f ca="1">IF(B92="","",IF(SUMIF(Grades!$A:$A,$B$4,Grades!$BQ:$BQ)=0,"-",IF(AND($B$4="Salary Points 1 to 57",B92&gt;Thresholds_Rates!$C$17),"-",IF(AND($B$4="Salary Points 1 to 57",B92&lt;=Thresholds_Rates!$C$17),$C92*Thresholds_Rates!$F$17,IF(AND(OR($B$4="New Consultant Contract"),$B92&lt;&gt;""),$C92*Thresholds_Rates!$F$17,IF(AND(OR($B$4="Clinical Lecturer / Medical Research Fellow",$B$4="Clinical Consultant - Old Contract (GP)"),$B92&lt;&gt;""),$C92*Thresholds_Rates!$F$17,IF(AND(OR($B$4="APM Level 7",$B$4="R&amp;T Level 7"),F92&lt;&gt;""),$C92*Thresholds_Rates!$F$17,IF(SUMIF(Grades!$A:$A,$B$4,Grades!$BQ:$BQ)=1,$C92*Thresholds_Rates!$F$17,""))))))))</f>
        <v/>
      </c>
      <c r="H92" s="24" t="str">
        <f ca="1">IF($B92="","",ROUND(($C92-(Thresholds_Rates!$C$5*12))*Thresholds_Rates!$C$10,0))</f>
        <v/>
      </c>
      <c r="I92" s="24" t="str">
        <f ca="1">IF(B92="","",IF(AND($B$4="Salary Points 1 to 57",B92&gt;Thresholds_Rates!$C$17),"-",IF(SUMIF(Grades!$A:$A,$B$4,Grades!$BR:$BR)=0,"-",IF(AND($B$4="Salary Points 1 to 57",B92&lt;=Thresholds_Rates!$C$17),$C92*Thresholds_Rates!$F$18,IF(AND(OR($B$4="New Consultant Contract"),$B92&lt;&gt;""),$C92*Thresholds_Rates!$F$18,IF(AND(OR($B$4="Clinical Lecturer / Medical Research Fellow",$B$4="Clinical Consultant - Old Contract (GP)"),$B92&lt;&gt;""),$C92*Thresholds_Rates!$F$18,IF(AND(OR($B$4="APM Level 7",$B$4="R&amp;T Level 7"),H92&lt;&gt;""),$C92*Thresholds_Rates!$F$18,IF(SUMIF(Grades!$A:$A,$B$4,Grades!$BQ:$BQ)=1,$C92*Thresholds_Rates!$F$18,""))))))))</f>
        <v/>
      </c>
      <c r="J92" s="4"/>
      <c r="K92" s="24" t="str">
        <f t="shared" ca="1" si="7"/>
        <v/>
      </c>
      <c r="L92" s="24" t="str">
        <f t="shared" ca="1" si="8"/>
        <v/>
      </c>
      <c r="M92" s="24" t="str">
        <f t="shared" ca="1" si="9"/>
        <v/>
      </c>
      <c r="N92" s="24" t="str">
        <f t="shared" ca="1" si="10"/>
        <v/>
      </c>
      <c r="O92" s="24" t="str">
        <f t="shared" ca="1" si="11"/>
        <v/>
      </c>
      <c r="Q92" s="27" t="str">
        <f ca="1">IF(B92="","",IF($B$4="R&amp;T Level 5 - Clinical Lecturers (Vet School)",SUMIF(Points_Lookup!$M:$M,$B92,Points_Lookup!$N:$N),IF($B$4="R&amp;T Level 6 - Clinical Associate Professors and Clinical Readers (Vet School)",SUMIF(Points_Lookup!$T:$T,$B92,Points_Lookup!$U:$U),"")))</f>
        <v/>
      </c>
      <c r="R92" s="28" t="str">
        <f ca="1">IF(B92="","",IF($B$4="R&amp;T Level 5 - Clinical Lecturers (Vet School)",$C92-SUMIF(Points_Lookup!$M:$M,$B92,Points_Lookup!$O:$O),IF($B$4="R&amp;T Level 6 - Clinical Associate Professors and Clinical Readers (Vet School)",$C92-SUMIF(Points_Lookup!$T:$T,$B92,Points_Lookup!$V:$V),"")))</f>
        <v/>
      </c>
      <c r="S92" s="27" t="str">
        <f ca="1">IF(B92="","",IF($B$4="R&amp;T Level 5 - Clinical Lecturers (Vet School)",SUMIF(Points_Lookup!$M:$M,$B92,Points_Lookup!$Q:$Q),IF($B$4="R&amp;T Level 6 - Clinical Associate Professors and Clinical Readers (Vet School)",SUMIF(Points_Lookup!$T:$T,$B92,Points_Lookup!$X:$X),"")))</f>
        <v/>
      </c>
      <c r="T92" s="28" t="str">
        <f t="shared" ca="1" si="12"/>
        <v/>
      </c>
    </row>
    <row r="93" spans="2:20" x14ac:dyDescent="0.25">
      <c r="B93" s="4" t="str">
        <f ca="1">IFERROR(INDEX(Points_Lookup!$A:$A,MATCH($Y95,Points_Lookup!$AE:$AE,0)),"")</f>
        <v/>
      </c>
      <c r="C93" s="24" t="str">
        <f ca="1">IF(B93="","",IF($B$4="Apprenticeship",SUMIF(Points_Lookup!$AA:$AA,B93,Points_Lookup!$AC:$AC),IF(AND(OR($B$4="New Consultant Contract"),$B93&lt;&gt;""),INDEX(Points_Lookup!$K:$K,MATCH($B93,Points_Lookup!$J:$J,0)),IF(AND(OR($B$4="Clinical Lecturer / Medical Research Fellow",$B$4="Clinical Consultant - Old Contract (GP)"),$B93&lt;&gt;""),INDEX(Points_Lookup!$H:$H,MATCH($B93,Points_Lookup!$G:$G,0)),IF(AND(OR($B$4="APM Level 7",$B$4="R&amp;T Level 7",$B$4="APM Level 8"),B93&lt;&gt;""),INDEX(Points_Lookup!$E:$E,MATCH($Y93,Points_Lookup!$AE:$AE,0)),IF($B$4="R&amp;T Level 5 - Clinical Lecturers (Vet School)",SUMIF(Points_Lookup!$M:$M,$B93,Points_Lookup!$P:$P),IF($B$4="R&amp;T Level 6 - Clinical Associate Professors and Clinical Readers (Vet School)",SUMIF(Points_Lookup!$T:$T,$B93,Points_Lookup!$W:$W),IFERROR(INDEX(Points_Lookup!$B:$B,MATCH($Y93,Points_Lookup!$AE:$AE,0)),""))))))))</f>
        <v/>
      </c>
      <c r="D93" s="39"/>
      <c r="E93" s="24" t="str">
        <f ca="1">IF($B93="","",IF(AND($B$4="Salary Points 2 to 57",B93&lt;Thresholds_Rates!$C$16),"-",IF(SUMIF(Grades!$A:$A,$B$4,Grades!$BO:$BO)=0,"-",IF(AND($B$4="Salary Points 2 to 57",B93&gt;=Thresholds_Rates!$C$16),$C93*Thresholds_Rates!$F$15,IF(AND(OR($B$4="New Consultant Contract"),$B93&lt;&gt;""),$C93*Thresholds_Rates!$F$15,IF(AND(OR($B$4="Clinical Lecturer / Medical Research Fellow",$B$4="Clinical Consultant - Old Contract (GP)"),$B93&lt;&gt;""),$C93*Thresholds_Rates!$F$15,IF(OR($B$4="APM Level 7",$B$4="R&amp;T Level 7"),$C93*Thresholds_Rates!$F$15,IF(SUMIF(Grades!$A:$A,$B$4,Grades!$BO:$BO)=1,$C93*Thresholds_Rates!$F$15,""))))))))</f>
        <v/>
      </c>
      <c r="F93" s="24" t="str">
        <f ca="1">IF(B93="","",IF($B$4="Salary Points 1 to 57","-",IF(SUMIF(Grades!$A:$A,$B$4,Grades!$BP:$BP)=0,"-",IF(AND(OR($B$4="New Consultant Contract"),$B93&lt;&gt;""),$C93*Thresholds_Rates!$F$16,IF(AND(OR($B$4="Clinical Lecturer / Medical Research Fellow",$B$4="Clinical Consultant - Old Contract (GP)"),$B93&lt;&gt;""),$C93*Thresholds_Rates!$F$16,IF(AND(OR($B$4="APM Level 7",$B$4="R&amp;T Level 7"),E93&lt;&gt;""),$C93*Thresholds_Rates!$F$16,IF(SUMIF(Grades!$A:$A,$B$4,Grades!$BP:$BP)=1,$C93*Thresholds_Rates!$F$16,"")))))))</f>
        <v/>
      </c>
      <c r="G93" s="24" t="str">
        <f ca="1">IF(B93="","",IF(SUMIF(Grades!$A:$A,$B$4,Grades!$BQ:$BQ)=0,"-",IF(AND($B$4="Salary Points 1 to 57",B93&gt;Thresholds_Rates!$C$17),"-",IF(AND($B$4="Salary Points 1 to 57",B93&lt;=Thresholds_Rates!$C$17),$C93*Thresholds_Rates!$F$17,IF(AND(OR($B$4="New Consultant Contract"),$B93&lt;&gt;""),$C93*Thresholds_Rates!$F$17,IF(AND(OR($B$4="Clinical Lecturer / Medical Research Fellow",$B$4="Clinical Consultant - Old Contract (GP)"),$B93&lt;&gt;""),$C93*Thresholds_Rates!$F$17,IF(AND(OR($B$4="APM Level 7",$B$4="R&amp;T Level 7"),F93&lt;&gt;""),$C93*Thresholds_Rates!$F$17,IF(SUMIF(Grades!$A:$A,$B$4,Grades!$BQ:$BQ)=1,$C93*Thresholds_Rates!$F$17,""))))))))</f>
        <v/>
      </c>
      <c r="H93" s="24" t="str">
        <f ca="1">IF($B93="","",ROUND(($C93-(Thresholds_Rates!$C$5*12))*Thresholds_Rates!$C$10,0))</f>
        <v/>
      </c>
      <c r="I93" s="24" t="str">
        <f ca="1">IF(B93="","",IF(AND($B$4="Salary Points 1 to 57",B93&gt;Thresholds_Rates!$C$17),"-",IF(SUMIF(Grades!$A:$A,$B$4,Grades!$BR:$BR)=0,"-",IF(AND($B$4="Salary Points 1 to 57",B93&lt;=Thresholds_Rates!$C$17),$C93*Thresholds_Rates!$F$18,IF(AND(OR($B$4="New Consultant Contract"),$B93&lt;&gt;""),$C93*Thresholds_Rates!$F$18,IF(AND(OR($B$4="Clinical Lecturer / Medical Research Fellow",$B$4="Clinical Consultant - Old Contract (GP)"),$B93&lt;&gt;""),$C93*Thresholds_Rates!$F$18,IF(AND(OR($B$4="APM Level 7",$B$4="R&amp;T Level 7"),H93&lt;&gt;""),$C93*Thresholds_Rates!$F$18,IF(SUMIF(Grades!$A:$A,$B$4,Grades!$BQ:$BQ)=1,$C93*Thresholds_Rates!$F$18,""))))))))</f>
        <v/>
      </c>
      <c r="J93" s="4"/>
      <c r="K93" s="24" t="str">
        <f t="shared" ca="1" si="7"/>
        <v/>
      </c>
      <c r="L93" s="24" t="str">
        <f t="shared" ca="1" si="8"/>
        <v/>
      </c>
      <c r="M93" s="24" t="str">
        <f t="shared" ca="1" si="9"/>
        <v/>
      </c>
      <c r="N93" s="24" t="str">
        <f t="shared" ca="1" si="10"/>
        <v/>
      </c>
      <c r="O93" s="24" t="str">
        <f t="shared" ca="1" si="11"/>
        <v/>
      </c>
      <c r="Q93" s="27" t="str">
        <f ca="1">IF(B93="","",IF($B$4="R&amp;T Level 5 - Clinical Lecturers (Vet School)",SUMIF(Points_Lookup!$M:$M,$B93,Points_Lookup!$N:$N),IF($B$4="R&amp;T Level 6 - Clinical Associate Professors and Clinical Readers (Vet School)",SUMIF(Points_Lookup!$T:$T,$B93,Points_Lookup!$U:$U),"")))</f>
        <v/>
      </c>
      <c r="R93" s="28" t="str">
        <f ca="1">IF(B93="","",IF($B$4="R&amp;T Level 5 - Clinical Lecturers (Vet School)",$C93-SUMIF(Points_Lookup!$M:$M,$B93,Points_Lookup!$O:$O),IF($B$4="R&amp;T Level 6 - Clinical Associate Professors and Clinical Readers (Vet School)",$C93-SUMIF(Points_Lookup!$T:$T,$B93,Points_Lookup!$V:$V),"")))</f>
        <v/>
      </c>
      <c r="S93" s="27" t="str">
        <f ca="1">IF(B93="","",IF($B$4="R&amp;T Level 5 - Clinical Lecturers (Vet School)",SUMIF(Points_Lookup!$M:$M,$B93,Points_Lookup!$Q:$Q),IF($B$4="R&amp;T Level 6 - Clinical Associate Professors and Clinical Readers (Vet School)",SUMIF(Points_Lookup!$T:$T,$B93,Points_Lookup!$X:$X),"")))</f>
        <v/>
      </c>
      <c r="T93" s="28" t="str">
        <f t="shared" ca="1" si="12"/>
        <v/>
      </c>
    </row>
    <row r="94" spans="2:20" x14ac:dyDescent="0.25">
      <c r="B94" s="4" t="str">
        <f ca="1">IFERROR(INDEX(Points_Lookup!$A:$A,MATCH($Y96,Points_Lookup!$AE:$AE,0)),"")</f>
        <v/>
      </c>
      <c r="C94" s="24" t="str">
        <f ca="1">IF(B94="","",IF($B$4="Apprenticeship",SUMIF(Points_Lookup!$AA:$AA,B94,Points_Lookup!$AC:$AC),IF(AND(OR($B$4="New Consultant Contract"),$B94&lt;&gt;""),INDEX(Points_Lookup!$K:$K,MATCH($B94,Points_Lookup!$J:$J,0)),IF(AND(OR($B$4="Clinical Lecturer / Medical Research Fellow",$B$4="Clinical Consultant - Old Contract (GP)"),$B94&lt;&gt;""),INDEX(Points_Lookup!$H:$H,MATCH($B94,Points_Lookup!$G:$G,0)),IF(AND(OR($B$4="APM Level 7",$B$4="R&amp;T Level 7",$B$4="APM Level 8"),B94&lt;&gt;""),INDEX(Points_Lookup!$E:$E,MATCH($Y94,Points_Lookup!$AE:$AE,0)),IF($B$4="R&amp;T Level 5 - Clinical Lecturers (Vet School)",SUMIF(Points_Lookup!$M:$M,$B94,Points_Lookup!$P:$P),IF($B$4="R&amp;T Level 6 - Clinical Associate Professors and Clinical Readers (Vet School)",SUMIF(Points_Lookup!$T:$T,$B94,Points_Lookup!$W:$W),IFERROR(INDEX(Points_Lookup!$B:$B,MATCH($Y94,Points_Lookup!$AE:$AE,0)),""))))))))</f>
        <v/>
      </c>
      <c r="D94" s="39"/>
      <c r="E94" s="24" t="str">
        <f ca="1">IF($B94="","",IF(AND($B$4="Salary Points 2 to 57",B94&lt;Thresholds_Rates!$C$16),"-",IF(SUMIF(Grades!$A:$A,$B$4,Grades!$BO:$BO)=0,"-",IF(AND($B$4="Salary Points 2 to 57",B94&gt;=Thresholds_Rates!$C$16),$C94*Thresholds_Rates!$F$15,IF(AND(OR($B$4="New Consultant Contract"),$B94&lt;&gt;""),$C94*Thresholds_Rates!$F$15,IF(AND(OR($B$4="Clinical Lecturer / Medical Research Fellow",$B$4="Clinical Consultant - Old Contract (GP)"),$B94&lt;&gt;""),$C94*Thresholds_Rates!$F$15,IF(OR($B$4="APM Level 7",$B$4="R&amp;T Level 7"),$C94*Thresholds_Rates!$F$15,IF(SUMIF(Grades!$A:$A,$B$4,Grades!$BO:$BO)=1,$C94*Thresholds_Rates!$F$15,""))))))))</f>
        <v/>
      </c>
      <c r="F94" s="24" t="str">
        <f ca="1">IF(B94="","",IF($B$4="Salary Points 1 to 57","-",IF(SUMIF(Grades!$A:$A,$B$4,Grades!$BP:$BP)=0,"-",IF(AND(OR($B$4="New Consultant Contract"),$B94&lt;&gt;""),$C94*Thresholds_Rates!$F$16,IF(AND(OR($B$4="Clinical Lecturer / Medical Research Fellow",$B$4="Clinical Consultant - Old Contract (GP)"),$B94&lt;&gt;""),$C94*Thresholds_Rates!$F$16,IF(AND(OR($B$4="APM Level 7",$B$4="R&amp;T Level 7"),E94&lt;&gt;""),$C94*Thresholds_Rates!$F$16,IF(SUMIF(Grades!$A:$A,$B$4,Grades!$BP:$BP)=1,$C94*Thresholds_Rates!$F$16,"")))))))</f>
        <v/>
      </c>
      <c r="G94" s="24" t="str">
        <f ca="1">IF(B94="","",IF(SUMIF(Grades!$A:$A,$B$4,Grades!$BQ:$BQ)=0,"-",IF(AND($B$4="Salary Points 1 to 57",B94&gt;Thresholds_Rates!$C$17),"-",IF(AND($B$4="Salary Points 1 to 57",B94&lt;=Thresholds_Rates!$C$17),$C94*Thresholds_Rates!$F$17,IF(AND(OR($B$4="New Consultant Contract"),$B94&lt;&gt;""),$C94*Thresholds_Rates!$F$17,IF(AND(OR($B$4="Clinical Lecturer / Medical Research Fellow",$B$4="Clinical Consultant - Old Contract (GP)"),$B94&lt;&gt;""),$C94*Thresholds_Rates!$F$17,IF(AND(OR($B$4="APM Level 7",$B$4="R&amp;T Level 7"),F94&lt;&gt;""),$C94*Thresholds_Rates!$F$17,IF(SUMIF(Grades!$A:$A,$B$4,Grades!$BQ:$BQ)=1,$C94*Thresholds_Rates!$F$17,""))))))))</f>
        <v/>
      </c>
      <c r="H94" s="24" t="str">
        <f ca="1">IF($B94="","",ROUND(($C94-(Thresholds_Rates!$C$5*12))*Thresholds_Rates!$C$10,0))</f>
        <v/>
      </c>
      <c r="I94" s="24" t="str">
        <f ca="1">IF(B94="","",IF(AND($B$4="Salary Points 1 to 57",B94&gt;Thresholds_Rates!$C$17),"-",IF(SUMIF(Grades!$A:$A,$B$4,Grades!$BR:$BR)=0,"-",IF(AND($B$4="Salary Points 1 to 57",B94&lt;=Thresholds_Rates!$C$17),$C94*Thresholds_Rates!$F$18,IF(AND(OR($B$4="New Consultant Contract"),$B94&lt;&gt;""),$C94*Thresholds_Rates!$F$18,IF(AND(OR($B$4="Clinical Lecturer / Medical Research Fellow",$B$4="Clinical Consultant - Old Contract (GP)"),$B94&lt;&gt;""),$C94*Thresholds_Rates!$F$18,IF(AND(OR($B$4="APM Level 7",$B$4="R&amp;T Level 7"),H94&lt;&gt;""),$C94*Thresholds_Rates!$F$18,IF(SUMIF(Grades!$A:$A,$B$4,Grades!$BQ:$BQ)=1,$C94*Thresholds_Rates!$F$18,""))))))))</f>
        <v/>
      </c>
      <c r="J94" s="4"/>
      <c r="K94" s="24" t="str">
        <f t="shared" ca="1" si="7"/>
        <v/>
      </c>
      <c r="L94" s="24" t="str">
        <f t="shared" ca="1" si="8"/>
        <v/>
      </c>
      <c r="M94" s="24" t="str">
        <f t="shared" ca="1" si="9"/>
        <v/>
      </c>
      <c r="N94" s="24" t="str">
        <f t="shared" ca="1" si="10"/>
        <v/>
      </c>
      <c r="O94" s="24" t="str">
        <f t="shared" ca="1" si="11"/>
        <v/>
      </c>
      <c r="Q94" s="27" t="str">
        <f ca="1">IF(B94="","",IF($B$4="R&amp;T Level 5 - Clinical Lecturers (Vet School)",SUMIF(Points_Lookup!$M:$M,$B94,Points_Lookup!$N:$N),IF($B$4="R&amp;T Level 6 - Clinical Associate Professors and Clinical Readers (Vet School)",SUMIF(Points_Lookup!$T:$T,$B94,Points_Lookup!$U:$U),"")))</f>
        <v/>
      </c>
      <c r="R94" s="28" t="str">
        <f ca="1">IF(B94="","",IF($B$4="R&amp;T Level 5 - Clinical Lecturers (Vet School)",$C94-SUMIF(Points_Lookup!$M:$M,$B94,Points_Lookup!$O:$O),IF($B$4="R&amp;T Level 6 - Clinical Associate Professors and Clinical Readers (Vet School)",$C94-SUMIF(Points_Lookup!$T:$T,$B94,Points_Lookup!$V:$V),"")))</f>
        <v/>
      </c>
      <c r="S94" s="27" t="str">
        <f ca="1">IF(B94="","",IF($B$4="R&amp;T Level 5 - Clinical Lecturers (Vet School)",SUMIF(Points_Lookup!$M:$M,$B94,Points_Lookup!$Q:$Q),IF($B$4="R&amp;T Level 6 - Clinical Associate Professors and Clinical Readers (Vet School)",SUMIF(Points_Lookup!$T:$T,$B94,Points_Lookup!$X:$X),"")))</f>
        <v/>
      </c>
      <c r="T94" s="28" t="str">
        <f t="shared" ca="1" si="12"/>
        <v/>
      </c>
    </row>
    <row r="95" spans="2:20" x14ac:dyDescent="0.25">
      <c r="B95" s="4" t="str">
        <f ca="1">IFERROR(INDEX(Points_Lookup!$A:$A,MATCH($Y97,Points_Lookup!$AE:$AE,0)),"")</f>
        <v/>
      </c>
      <c r="C95" s="24" t="str">
        <f ca="1">IF(B95="","",IF($B$4="Apprenticeship",SUMIF(Points_Lookup!$AA:$AA,B95,Points_Lookup!$AC:$AC),IF(AND(OR($B$4="New Consultant Contract"),$B95&lt;&gt;""),INDEX(Points_Lookup!$K:$K,MATCH($B95,Points_Lookup!$J:$J,0)),IF(AND(OR($B$4="Clinical Lecturer / Medical Research Fellow",$B$4="Clinical Consultant - Old Contract (GP)"),$B95&lt;&gt;""),INDEX(Points_Lookup!$H:$H,MATCH($B95,Points_Lookup!$G:$G,0)),IF(AND(OR($B$4="APM Level 7",$B$4="R&amp;T Level 7",$B$4="APM Level 8"),B95&lt;&gt;""),INDEX(Points_Lookup!$E:$E,MATCH($Y95,Points_Lookup!$AE:$AE,0)),IF($B$4="R&amp;T Level 5 - Clinical Lecturers (Vet School)",SUMIF(Points_Lookup!$M:$M,$B95,Points_Lookup!$P:$P),IF($B$4="R&amp;T Level 6 - Clinical Associate Professors and Clinical Readers (Vet School)",SUMIF(Points_Lookup!$T:$T,$B95,Points_Lookup!$W:$W),IFERROR(INDEX(Points_Lookup!$B:$B,MATCH($Y95,Points_Lookup!$AE:$AE,0)),""))))))))</f>
        <v/>
      </c>
      <c r="D95" s="39"/>
      <c r="E95" s="24" t="str">
        <f ca="1">IF($B95="","",IF(AND($B$4="Salary Points 2 to 57",B95&lt;Thresholds_Rates!$C$16),"-",IF(SUMIF(Grades!$A:$A,$B$4,Grades!$BO:$BO)=0,"-",IF(AND($B$4="Salary Points 2 to 57",B95&gt;=Thresholds_Rates!$C$16),$C95*Thresholds_Rates!$F$15,IF(AND(OR($B$4="New Consultant Contract"),$B95&lt;&gt;""),$C95*Thresholds_Rates!$F$15,IF(AND(OR($B$4="Clinical Lecturer / Medical Research Fellow",$B$4="Clinical Consultant - Old Contract (GP)"),$B95&lt;&gt;""),$C95*Thresholds_Rates!$F$15,IF(OR($B$4="APM Level 7",$B$4="R&amp;T Level 7"),$C95*Thresholds_Rates!$F$15,IF(SUMIF(Grades!$A:$A,$B$4,Grades!$BO:$BO)=1,$C95*Thresholds_Rates!$F$15,""))))))))</f>
        <v/>
      </c>
      <c r="F95" s="24" t="str">
        <f ca="1">IF(B95="","",IF($B$4="Salary Points 1 to 57","-",IF(SUMIF(Grades!$A:$A,$B$4,Grades!$BP:$BP)=0,"-",IF(AND(OR($B$4="New Consultant Contract"),$B95&lt;&gt;""),$C95*Thresholds_Rates!$F$16,IF(AND(OR($B$4="Clinical Lecturer / Medical Research Fellow",$B$4="Clinical Consultant - Old Contract (GP)"),$B95&lt;&gt;""),$C95*Thresholds_Rates!$F$16,IF(AND(OR($B$4="APM Level 7",$B$4="R&amp;T Level 7"),E95&lt;&gt;""),$C95*Thresholds_Rates!$F$16,IF(SUMIF(Grades!$A:$A,$B$4,Grades!$BP:$BP)=1,$C95*Thresholds_Rates!$F$16,"")))))))</f>
        <v/>
      </c>
      <c r="G95" s="24" t="str">
        <f ca="1">IF(B95="","",IF(SUMIF(Grades!$A:$A,$B$4,Grades!$BQ:$BQ)=0,"-",IF(AND($B$4="Salary Points 1 to 57",B95&gt;Thresholds_Rates!$C$17),"-",IF(AND($B$4="Salary Points 1 to 57",B95&lt;=Thresholds_Rates!$C$17),$C95*Thresholds_Rates!$F$17,IF(AND(OR($B$4="New Consultant Contract"),$B95&lt;&gt;""),$C95*Thresholds_Rates!$F$17,IF(AND(OR($B$4="Clinical Lecturer / Medical Research Fellow",$B$4="Clinical Consultant - Old Contract (GP)"),$B95&lt;&gt;""),$C95*Thresholds_Rates!$F$17,IF(AND(OR($B$4="APM Level 7",$B$4="R&amp;T Level 7"),F95&lt;&gt;""),$C95*Thresholds_Rates!$F$17,IF(SUMIF(Grades!$A:$A,$B$4,Grades!$BQ:$BQ)=1,$C95*Thresholds_Rates!$F$17,""))))))))</f>
        <v/>
      </c>
      <c r="H95" s="24" t="str">
        <f ca="1">IF($B95="","",ROUND(($C95-(Thresholds_Rates!$C$5*12))*Thresholds_Rates!$C$10,0))</f>
        <v/>
      </c>
      <c r="I95" s="24" t="str">
        <f ca="1">IF(B95="","",IF(AND($B$4="Salary Points 1 to 57",B95&gt;Thresholds_Rates!$C$17),"-",IF(SUMIF(Grades!$A:$A,$B$4,Grades!$BR:$BR)=0,"-",IF(AND($B$4="Salary Points 1 to 57",B95&lt;=Thresholds_Rates!$C$17),$C95*Thresholds_Rates!$F$18,IF(AND(OR($B$4="New Consultant Contract"),$B95&lt;&gt;""),$C95*Thresholds_Rates!$F$18,IF(AND(OR($B$4="Clinical Lecturer / Medical Research Fellow",$B$4="Clinical Consultant - Old Contract (GP)"),$B95&lt;&gt;""),$C95*Thresholds_Rates!$F$18,IF(AND(OR($B$4="APM Level 7",$B$4="R&amp;T Level 7"),H95&lt;&gt;""),$C95*Thresholds_Rates!$F$18,IF(SUMIF(Grades!$A:$A,$B$4,Grades!$BQ:$BQ)=1,$C95*Thresholds_Rates!$F$18,""))))))))</f>
        <v/>
      </c>
      <c r="J95" s="4"/>
      <c r="K95" s="24" t="str">
        <f t="shared" ca="1" si="7"/>
        <v/>
      </c>
      <c r="L95" s="24" t="str">
        <f t="shared" ca="1" si="8"/>
        <v/>
      </c>
      <c r="M95" s="24" t="str">
        <f t="shared" ca="1" si="9"/>
        <v/>
      </c>
      <c r="N95" s="24" t="str">
        <f t="shared" ca="1" si="10"/>
        <v/>
      </c>
      <c r="O95" s="24" t="str">
        <f t="shared" ca="1" si="11"/>
        <v/>
      </c>
      <c r="Q95" s="27" t="str">
        <f ca="1">IF(B95="","",IF($B$4="R&amp;T Level 5 - Clinical Lecturers (Vet School)",SUMIF(Points_Lookup!$M:$M,$B95,Points_Lookup!$N:$N),IF($B$4="R&amp;T Level 6 - Clinical Associate Professors and Clinical Readers (Vet School)",SUMIF(Points_Lookup!$T:$T,$B95,Points_Lookup!$U:$U),"")))</f>
        <v/>
      </c>
      <c r="R95" s="28" t="str">
        <f ca="1">IF(B95="","",IF($B$4="R&amp;T Level 5 - Clinical Lecturers (Vet School)",$C95-SUMIF(Points_Lookup!$M:$M,$B95,Points_Lookup!$O:$O),IF($B$4="R&amp;T Level 6 - Clinical Associate Professors and Clinical Readers (Vet School)",$C95-SUMIF(Points_Lookup!$T:$T,$B95,Points_Lookup!$V:$V),"")))</f>
        <v/>
      </c>
      <c r="S95" s="27" t="str">
        <f ca="1">IF(B95="","",IF($B$4="R&amp;T Level 5 - Clinical Lecturers (Vet School)",SUMIF(Points_Lookup!$M:$M,$B95,Points_Lookup!$Q:$Q),IF($B$4="R&amp;T Level 6 - Clinical Associate Professors and Clinical Readers (Vet School)",SUMIF(Points_Lookup!$T:$T,$B95,Points_Lookup!$X:$X),"")))</f>
        <v/>
      </c>
      <c r="T95" s="28" t="str">
        <f t="shared" ca="1" si="12"/>
        <v/>
      </c>
    </row>
    <row r="96" spans="2:20" x14ac:dyDescent="0.25">
      <c r="B96" s="4" t="str">
        <f ca="1">IFERROR(INDEX(Points_Lookup!$A:$A,MATCH($Y98,Points_Lookup!$AE:$AE,0)),"")</f>
        <v/>
      </c>
      <c r="C96" s="24" t="str">
        <f ca="1">IF(B96="","",IF($B$4="Apprenticeship",SUMIF(Points_Lookup!$AA:$AA,B96,Points_Lookup!$AC:$AC),IF(AND(OR($B$4="New Consultant Contract"),$B96&lt;&gt;""),INDEX(Points_Lookup!$K:$K,MATCH($B96,Points_Lookup!$J:$J,0)),IF(AND(OR($B$4="Clinical Lecturer / Medical Research Fellow",$B$4="Clinical Consultant - Old Contract (GP)"),$B96&lt;&gt;""),INDEX(Points_Lookup!$H:$H,MATCH($B96,Points_Lookup!$G:$G,0)),IF(AND(OR($B$4="APM Level 7",$B$4="R&amp;T Level 7",$B$4="APM Level 8"),B96&lt;&gt;""),INDEX(Points_Lookup!$E:$E,MATCH($Y96,Points_Lookup!$AE:$AE,0)),IF($B$4="R&amp;T Level 5 - Clinical Lecturers (Vet School)",SUMIF(Points_Lookup!$M:$M,$B96,Points_Lookup!$P:$P),IF($B$4="R&amp;T Level 6 - Clinical Associate Professors and Clinical Readers (Vet School)",SUMIF(Points_Lookup!$T:$T,$B96,Points_Lookup!$W:$W),IFERROR(INDEX(Points_Lookup!$B:$B,MATCH($Y96,Points_Lookup!$AE:$AE,0)),""))))))))</f>
        <v/>
      </c>
      <c r="D96" s="39"/>
      <c r="E96" s="24" t="str">
        <f ca="1">IF($B96="","",IF(AND($B$4="Salary Points 2 to 57",B96&lt;Thresholds_Rates!$C$16),"-",IF(SUMIF(Grades!$A:$A,$B$4,Grades!$BO:$BO)=0,"-",IF(AND($B$4="Salary Points 2 to 57",B96&gt;=Thresholds_Rates!$C$16),$C96*Thresholds_Rates!$F$15,IF(AND(OR($B$4="New Consultant Contract"),$B96&lt;&gt;""),$C96*Thresholds_Rates!$F$15,IF(AND(OR($B$4="Clinical Lecturer / Medical Research Fellow",$B$4="Clinical Consultant - Old Contract (GP)"),$B96&lt;&gt;""),$C96*Thresholds_Rates!$F$15,IF(OR($B$4="APM Level 7",$B$4="R&amp;T Level 7"),$C96*Thresholds_Rates!$F$15,IF(SUMIF(Grades!$A:$A,$B$4,Grades!$BO:$BO)=1,$C96*Thresholds_Rates!$F$15,""))))))))</f>
        <v/>
      </c>
      <c r="F96" s="24" t="str">
        <f ca="1">IF(B96="","",IF($B$4="Salary Points 1 to 57","-",IF(SUMIF(Grades!$A:$A,$B$4,Grades!$BP:$BP)=0,"-",IF(AND(OR($B$4="New Consultant Contract"),$B96&lt;&gt;""),$C96*Thresholds_Rates!$F$16,IF(AND(OR($B$4="Clinical Lecturer / Medical Research Fellow",$B$4="Clinical Consultant - Old Contract (GP)"),$B96&lt;&gt;""),$C96*Thresholds_Rates!$F$16,IF(AND(OR($B$4="APM Level 7",$B$4="R&amp;T Level 7"),E96&lt;&gt;""),$C96*Thresholds_Rates!$F$16,IF(SUMIF(Grades!$A:$A,$B$4,Grades!$BP:$BP)=1,$C96*Thresholds_Rates!$F$16,"")))))))</f>
        <v/>
      </c>
      <c r="G96" s="24" t="str">
        <f ca="1">IF(B96="","",IF(SUMIF(Grades!$A:$A,$B$4,Grades!$BQ:$BQ)=0,"-",IF(AND($B$4="Salary Points 1 to 57",B96&gt;Thresholds_Rates!$C$17),"-",IF(AND($B$4="Salary Points 1 to 57",B96&lt;=Thresholds_Rates!$C$17),$C96*Thresholds_Rates!$F$17,IF(AND(OR($B$4="New Consultant Contract"),$B96&lt;&gt;""),$C96*Thresholds_Rates!$F$17,IF(AND(OR($B$4="Clinical Lecturer / Medical Research Fellow",$B$4="Clinical Consultant - Old Contract (GP)"),$B96&lt;&gt;""),$C96*Thresholds_Rates!$F$17,IF(AND(OR($B$4="APM Level 7",$B$4="R&amp;T Level 7"),F96&lt;&gt;""),$C96*Thresholds_Rates!$F$17,IF(SUMIF(Grades!$A:$A,$B$4,Grades!$BQ:$BQ)=1,$C96*Thresholds_Rates!$F$17,""))))))))</f>
        <v/>
      </c>
      <c r="H96" s="24" t="str">
        <f ca="1">IF($B96="","",ROUND(($C96-(Thresholds_Rates!$C$5*12))*Thresholds_Rates!$C$10,0))</f>
        <v/>
      </c>
      <c r="I96" s="24" t="str">
        <f ca="1">IF(B96="","",IF(AND($B$4="Salary Points 1 to 57",B96&gt;Thresholds_Rates!$C$17),"-",IF(SUMIF(Grades!$A:$A,$B$4,Grades!$BR:$BR)=0,"-",IF(AND($B$4="Salary Points 1 to 57",B96&lt;=Thresholds_Rates!$C$17),$C96*Thresholds_Rates!$F$18,IF(AND(OR($B$4="New Consultant Contract"),$B96&lt;&gt;""),$C96*Thresholds_Rates!$F$18,IF(AND(OR($B$4="Clinical Lecturer / Medical Research Fellow",$B$4="Clinical Consultant - Old Contract (GP)"),$B96&lt;&gt;""),$C96*Thresholds_Rates!$F$18,IF(AND(OR($B$4="APM Level 7",$B$4="R&amp;T Level 7"),H96&lt;&gt;""),$C96*Thresholds_Rates!$F$18,IF(SUMIF(Grades!$A:$A,$B$4,Grades!$BQ:$BQ)=1,$C96*Thresholds_Rates!$F$18,""))))))))</f>
        <v/>
      </c>
      <c r="J96" s="4"/>
      <c r="K96" s="24" t="str">
        <f t="shared" ca="1" si="7"/>
        <v/>
      </c>
      <c r="L96" s="24" t="str">
        <f t="shared" ca="1" si="8"/>
        <v/>
      </c>
      <c r="M96" s="24" t="str">
        <f t="shared" ca="1" si="9"/>
        <v/>
      </c>
      <c r="N96" s="24" t="str">
        <f t="shared" ca="1" si="10"/>
        <v/>
      </c>
      <c r="O96" s="24" t="str">
        <f t="shared" ca="1" si="11"/>
        <v/>
      </c>
      <c r="Q96" s="27" t="str">
        <f ca="1">IF(B96="","",IF($B$4="R&amp;T Level 5 - Clinical Lecturers (Vet School)",SUMIF(Points_Lookup!$M:$M,$B96,Points_Lookup!$N:$N),IF($B$4="R&amp;T Level 6 - Clinical Associate Professors and Clinical Readers (Vet School)",SUMIF(Points_Lookup!$T:$T,$B96,Points_Lookup!$U:$U),"")))</f>
        <v/>
      </c>
      <c r="R96" s="28" t="str">
        <f ca="1">IF(B96="","",IF($B$4="R&amp;T Level 5 - Clinical Lecturers (Vet School)",$C96-SUMIF(Points_Lookup!$M:$M,$B96,Points_Lookup!$O:$O),IF($B$4="R&amp;T Level 6 - Clinical Associate Professors and Clinical Readers (Vet School)",$C96-SUMIF(Points_Lookup!$T:$T,$B96,Points_Lookup!$V:$V),"")))</f>
        <v/>
      </c>
      <c r="S96" s="27" t="str">
        <f ca="1">IF(B96="","",IF($B$4="R&amp;T Level 5 - Clinical Lecturers (Vet School)",SUMIF(Points_Lookup!$M:$M,$B96,Points_Lookup!$Q:$Q),IF($B$4="R&amp;T Level 6 - Clinical Associate Professors and Clinical Readers (Vet School)",SUMIF(Points_Lookup!$T:$T,$B96,Points_Lookup!$X:$X),"")))</f>
        <v/>
      </c>
      <c r="T96" s="28" t="str">
        <f t="shared" ca="1" si="12"/>
        <v/>
      </c>
    </row>
    <row r="97" spans="2:20" x14ac:dyDescent="0.25">
      <c r="B97" s="4" t="str">
        <f ca="1">IFERROR(INDEX(Points_Lookup!$A:$A,MATCH($Y99,Points_Lookup!$AE:$AE,0)),"")</f>
        <v/>
      </c>
      <c r="C97" s="24" t="str">
        <f ca="1">IF(B97="","",IF($B$4="Apprenticeship",SUMIF(Points_Lookup!$AA:$AA,B97,Points_Lookup!$AC:$AC),IF(AND(OR($B$4="New Consultant Contract"),$B97&lt;&gt;""),INDEX(Points_Lookup!$K:$K,MATCH($B97,Points_Lookup!$J:$J,0)),IF(AND(OR($B$4="Clinical Lecturer / Medical Research Fellow",$B$4="Clinical Consultant - Old Contract (GP)"),$B97&lt;&gt;""),INDEX(Points_Lookup!$H:$H,MATCH($B97,Points_Lookup!$G:$G,0)),IF(AND(OR($B$4="APM Level 7",$B$4="R&amp;T Level 7",$B$4="APM Level 8"),B97&lt;&gt;""),INDEX(Points_Lookup!$E:$E,MATCH($Y97,Points_Lookup!$AE:$AE,0)),IF($B$4="R&amp;T Level 5 - Clinical Lecturers (Vet School)",SUMIF(Points_Lookup!$M:$M,$B97,Points_Lookup!$P:$P),IF($B$4="R&amp;T Level 6 - Clinical Associate Professors and Clinical Readers (Vet School)",SUMIF(Points_Lookup!$T:$T,$B97,Points_Lookup!$W:$W),IFERROR(INDEX(Points_Lookup!$B:$B,MATCH($Y97,Points_Lookup!$AE:$AE,0)),""))))))))</f>
        <v/>
      </c>
      <c r="D97" s="39"/>
      <c r="E97" s="24" t="str">
        <f ca="1">IF($B97="","",IF(AND($B$4="Salary Points 2 to 57",B97&lt;Thresholds_Rates!$C$16),"-",IF(SUMIF(Grades!$A:$A,$B$4,Grades!$BO:$BO)=0,"-",IF(AND($B$4="Salary Points 2 to 57",B97&gt;=Thresholds_Rates!$C$16),$C97*Thresholds_Rates!$F$15,IF(AND(OR($B$4="New Consultant Contract"),$B97&lt;&gt;""),$C97*Thresholds_Rates!$F$15,IF(AND(OR($B$4="Clinical Lecturer / Medical Research Fellow",$B$4="Clinical Consultant - Old Contract (GP)"),$B97&lt;&gt;""),$C97*Thresholds_Rates!$F$15,IF(OR($B$4="APM Level 7",$B$4="R&amp;T Level 7"),$C97*Thresholds_Rates!$F$15,IF(SUMIF(Grades!$A:$A,$B$4,Grades!$BO:$BO)=1,$C97*Thresholds_Rates!$F$15,""))))))))</f>
        <v/>
      </c>
      <c r="F97" s="24" t="str">
        <f ca="1">IF(B97="","",IF($B$4="Salary Points 1 to 57","-",IF(SUMIF(Grades!$A:$A,$B$4,Grades!$BP:$BP)=0,"-",IF(AND(OR($B$4="New Consultant Contract"),$B97&lt;&gt;""),$C97*Thresholds_Rates!$F$16,IF(AND(OR($B$4="Clinical Lecturer / Medical Research Fellow",$B$4="Clinical Consultant - Old Contract (GP)"),$B97&lt;&gt;""),$C97*Thresholds_Rates!$F$16,IF(AND(OR($B$4="APM Level 7",$B$4="R&amp;T Level 7"),E97&lt;&gt;""),$C97*Thresholds_Rates!$F$16,IF(SUMIF(Grades!$A:$A,$B$4,Grades!$BP:$BP)=1,$C97*Thresholds_Rates!$F$16,"")))))))</f>
        <v/>
      </c>
      <c r="G97" s="24" t="str">
        <f ca="1">IF(B97="","",IF(SUMIF(Grades!$A:$A,$B$4,Grades!$BQ:$BQ)=0,"-",IF(AND($B$4="Salary Points 1 to 57",B97&gt;Thresholds_Rates!$C$17),"-",IF(AND($B$4="Salary Points 1 to 57",B97&lt;=Thresholds_Rates!$C$17),$C97*Thresholds_Rates!$F$17,IF(AND(OR($B$4="New Consultant Contract"),$B97&lt;&gt;""),$C97*Thresholds_Rates!$F$17,IF(AND(OR($B$4="Clinical Lecturer / Medical Research Fellow",$B$4="Clinical Consultant - Old Contract (GP)"),$B97&lt;&gt;""),$C97*Thresholds_Rates!$F$17,IF(AND(OR($B$4="APM Level 7",$B$4="R&amp;T Level 7"),F97&lt;&gt;""),$C97*Thresholds_Rates!$F$17,IF(SUMIF(Grades!$A:$A,$B$4,Grades!$BQ:$BQ)=1,$C97*Thresholds_Rates!$F$17,""))))))))</f>
        <v/>
      </c>
      <c r="H97" s="24" t="str">
        <f ca="1">IF($B97="","",ROUND(($C97-(Thresholds_Rates!$C$5*12))*Thresholds_Rates!$C$10,0))</f>
        <v/>
      </c>
      <c r="I97" s="24" t="str">
        <f ca="1">IF(B97="","",IF(AND($B$4="Salary Points 1 to 57",B97&gt;Thresholds_Rates!$C$17),"-",IF(SUMIF(Grades!$A:$A,$B$4,Grades!$BR:$BR)=0,"-",IF(AND($B$4="Salary Points 1 to 57",B97&lt;=Thresholds_Rates!$C$17),$C97*Thresholds_Rates!$F$18,IF(AND(OR($B$4="New Consultant Contract"),$B97&lt;&gt;""),$C97*Thresholds_Rates!$F$18,IF(AND(OR($B$4="Clinical Lecturer / Medical Research Fellow",$B$4="Clinical Consultant - Old Contract (GP)"),$B97&lt;&gt;""),$C97*Thresholds_Rates!$F$18,IF(AND(OR($B$4="APM Level 7",$B$4="R&amp;T Level 7"),H97&lt;&gt;""),$C97*Thresholds_Rates!$F$18,IF(SUMIF(Grades!$A:$A,$B$4,Grades!$BQ:$BQ)=1,$C97*Thresholds_Rates!$F$18,""))))))))</f>
        <v/>
      </c>
      <c r="J97" s="4"/>
      <c r="K97" s="24" t="str">
        <f t="shared" ca="1" si="7"/>
        <v/>
      </c>
      <c r="L97" s="24" t="str">
        <f t="shared" ca="1" si="8"/>
        <v/>
      </c>
      <c r="M97" s="24" t="str">
        <f t="shared" ca="1" si="9"/>
        <v/>
      </c>
      <c r="N97" s="24" t="str">
        <f t="shared" ca="1" si="10"/>
        <v/>
      </c>
      <c r="O97" s="24" t="str">
        <f t="shared" ca="1" si="11"/>
        <v/>
      </c>
      <c r="Q97" s="27" t="str">
        <f ca="1">IF(B97="","",IF($B$4="R&amp;T Level 5 - Clinical Lecturers (Vet School)",SUMIF(Points_Lookup!$M:$M,$B97,Points_Lookup!$N:$N),IF($B$4="R&amp;T Level 6 - Clinical Associate Professors and Clinical Readers (Vet School)",SUMIF(Points_Lookup!$T:$T,$B97,Points_Lookup!$U:$U),"")))</f>
        <v/>
      </c>
      <c r="R97" s="28" t="str">
        <f ca="1">IF(B97="","",IF($B$4="R&amp;T Level 5 - Clinical Lecturers (Vet School)",$C97-SUMIF(Points_Lookup!$M:$M,$B97,Points_Lookup!$O:$O),IF($B$4="R&amp;T Level 6 - Clinical Associate Professors and Clinical Readers (Vet School)",$C97-SUMIF(Points_Lookup!$T:$T,$B97,Points_Lookup!$V:$V),"")))</f>
        <v/>
      </c>
      <c r="S97" s="27" t="str">
        <f ca="1">IF(B97="","",IF($B$4="R&amp;T Level 5 - Clinical Lecturers (Vet School)",SUMIF(Points_Lookup!$M:$M,$B97,Points_Lookup!$Q:$Q),IF($B$4="R&amp;T Level 6 - Clinical Associate Professors and Clinical Readers (Vet School)",SUMIF(Points_Lookup!$T:$T,$B97,Points_Lookup!$X:$X),"")))</f>
        <v/>
      </c>
      <c r="T97" s="28" t="str">
        <f t="shared" ca="1" si="12"/>
        <v/>
      </c>
    </row>
    <row r="98" spans="2:20" x14ac:dyDescent="0.25">
      <c r="B98" s="4" t="str">
        <f ca="1">IFERROR(INDEX(Points_Lookup!$A:$A,MATCH($Y100,Points_Lookup!$AE:$AE,0)),"")</f>
        <v/>
      </c>
      <c r="C98" s="24" t="str">
        <f ca="1">IF(B98="","",IF($B$4="Apprenticeship",SUMIF(Points_Lookup!$AA:$AA,B98,Points_Lookup!$AC:$AC),IF(AND(OR($B$4="New Consultant Contract"),$B98&lt;&gt;""),INDEX(Points_Lookup!$K:$K,MATCH($B98,Points_Lookup!$J:$J,0)),IF(AND(OR($B$4="Clinical Lecturer / Medical Research Fellow",$B$4="Clinical Consultant - Old Contract (GP)"),$B98&lt;&gt;""),INDEX(Points_Lookup!$H:$H,MATCH($B98,Points_Lookup!$G:$G,0)),IF(AND(OR($B$4="APM Level 7",$B$4="R&amp;T Level 7",$B$4="APM Level 8"),B98&lt;&gt;""),INDEX(Points_Lookup!$E:$E,MATCH($Y98,Points_Lookup!$AE:$AE,0)),IF($B$4="R&amp;T Level 5 - Clinical Lecturers (Vet School)",SUMIF(Points_Lookup!$M:$M,$B98,Points_Lookup!$P:$P),IF($B$4="R&amp;T Level 6 - Clinical Associate Professors and Clinical Readers (Vet School)",SUMIF(Points_Lookup!$T:$T,$B98,Points_Lookup!$W:$W),IFERROR(INDEX(Points_Lookup!$B:$B,MATCH($Y98,Points_Lookup!$AE:$AE,0)),""))))))))</f>
        <v/>
      </c>
      <c r="D98" s="39"/>
      <c r="E98" s="24" t="str">
        <f ca="1">IF($B98="","",IF(AND($B$4="Salary Points 2 to 57",B98&lt;Thresholds_Rates!$C$16),"-",IF(SUMIF(Grades!$A:$A,$B$4,Grades!$BO:$BO)=0,"-",IF(AND($B$4="Salary Points 2 to 57",B98&gt;=Thresholds_Rates!$C$16),$C98*Thresholds_Rates!$F$15,IF(AND(OR($B$4="New Consultant Contract"),$B98&lt;&gt;""),$C98*Thresholds_Rates!$F$15,IF(AND(OR($B$4="Clinical Lecturer / Medical Research Fellow",$B$4="Clinical Consultant - Old Contract (GP)"),$B98&lt;&gt;""),$C98*Thresholds_Rates!$F$15,IF(OR($B$4="APM Level 7",$B$4="R&amp;T Level 7"),$C98*Thresholds_Rates!$F$15,IF(SUMIF(Grades!$A:$A,$B$4,Grades!$BO:$BO)=1,$C98*Thresholds_Rates!$F$15,""))))))))</f>
        <v/>
      </c>
      <c r="F98" s="24" t="str">
        <f ca="1">IF(B98="","",IF($B$4="Salary Points 1 to 57","-",IF(SUMIF(Grades!$A:$A,$B$4,Grades!$BP:$BP)=0,"-",IF(AND(OR($B$4="New Consultant Contract"),$B98&lt;&gt;""),$C98*Thresholds_Rates!$F$16,IF(AND(OR($B$4="Clinical Lecturer / Medical Research Fellow",$B$4="Clinical Consultant - Old Contract (GP)"),$B98&lt;&gt;""),$C98*Thresholds_Rates!$F$16,IF(AND(OR($B$4="APM Level 7",$B$4="R&amp;T Level 7"),E98&lt;&gt;""),$C98*Thresholds_Rates!$F$16,IF(SUMIF(Grades!$A:$A,$B$4,Grades!$BP:$BP)=1,$C98*Thresholds_Rates!$F$16,"")))))))</f>
        <v/>
      </c>
      <c r="G98" s="24" t="str">
        <f ca="1">IF(B98="","",IF(SUMIF(Grades!$A:$A,$B$4,Grades!$BQ:$BQ)=0,"-",IF(AND($B$4="Salary Points 1 to 57",B98&gt;Thresholds_Rates!$C$17),"-",IF(AND($B$4="Salary Points 1 to 57",B98&lt;=Thresholds_Rates!$C$17),$C98*Thresholds_Rates!$F$17,IF(AND(OR($B$4="New Consultant Contract"),$B98&lt;&gt;""),$C98*Thresholds_Rates!$F$17,IF(AND(OR($B$4="Clinical Lecturer / Medical Research Fellow",$B$4="Clinical Consultant - Old Contract (GP)"),$B98&lt;&gt;""),$C98*Thresholds_Rates!$F$17,IF(AND(OR($B$4="APM Level 7",$B$4="R&amp;T Level 7"),F98&lt;&gt;""),$C98*Thresholds_Rates!$F$17,IF(SUMIF(Grades!$A:$A,$B$4,Grades!$BQ:$BQ)=1,$C98*Thresholds_Rates!$F$17,""))))))))</f>
        <v/>
      </c>
      <c r="H98" s="24" t="str">
        <f ca="1">IF($B98="","",ROUND(($C98-(Thresholds_Rates!$C$5*12))*Thresholds_Rates!$C$10,0))</f>
        <v/>
      </c>
      <c r="I98" s="24" t="str">
        <f ca="1">IF(B98="","",IF(AND($B$4="Salary Points 1 to 57",B98&gt;Thresholds_Rates!$C$17),"-",IF(SUMIF(Grades!$A:$A,$B$4,Grades!$BR:$BR)=0,"-",IF(AND($B$4="Salary Points 1 to 57",B98&lt;=Thresholds_Rates!$C$17),$C98*Thresholds_Rates!$F$18,IF(AND(OR($B$4="New Consultant Contract"),$B98&lt;&gt;""),$C98*Thresholds_Rates!$F$18,IF(AND(OR($B$4="Clinical Lecturer / Medical Research Fellow",$B$4="Clinical Consultant - Old Contract (GP)"),$B98&lt;&gt;""),$C98*Thresholds_Rates!$F$18,IF(AND(OR($B$4="APM Level 7",$B$4="R&amp;T Level 7"),H98&lt;&gt;""),$C98*Thresholds_Rates!$F$18,IF(SUMIF(Grades!$A:$A,$B$4,Grades!$BQ:$BQ)=1,$C98*Thresholds_Rates!$F$18,""))))))))</f>
        <v/>
      </c>
      <c r="J98" s="4"/>
      <c r="K98" s="24" t="str">
        <f t="shared" ca="1" si="7"/>
        <v/>
      </c>
      <c r="L98" s="24" t="str">
        <f t="shared" ca="1" si="8"/>
        <v/>
      </c>
      <c r="M98" s="24" t="str">
        <f t="shared" ca="1" si="9"/>
        <v/>
      </c>
      <c r="N98" s="24" t="str">
        <f t="shared" ca="1" si="10"/>
        <v/>
      </c>
      <c r="O98" s="24" t="str">
        <f t="shared" ca="1" si="11"/>
        <v/>
      </c>
      <c r="Q98" s="27" t="str">
        <f ca="1">IF(B98="","",IF($B$4="R&amp;T Level 5 - Clinical Lecturers (Vet School)",SUMIF(Points_Lookup!$M:$M,$B98,Points_Lookup!$N:$N),IF($B$4="R&amp;T Level 6 - Clinical Associate Professors and Clinical Readers (Vet School)",SUMIF(Points_Lookup!$T:$T,$B98,Points_Lookup!$U:$U),"")))</f>
        <v/>
      </c>
      <c r="R98" s="28" t="str">
        <f ca="1">IF(B98="","",IF($B$4="R&amp;T Level 5 - Clinical Lecturers (Vet School)",$C98-SUMIF(Points_Lookup!$M:$M,$B98,Points_Lookup!$O:$O),IF($B$4="R&amp;T Level 6 - Clinical Associate Professors and Clinical Readers (Vet School)",$C98-SUMIF(Points_Lookup!$T:$T,$B98,Points_Lookup!$V:$V),"")))</f>
        <v/>
      </c>
      <c r="S98" s="27" t="str">
        <f ca="1">IF(B98="","",IF($B$4="R&amp;T Level 5 - Clinical Lecturers (Vet School)",SUMIF(Points_Lookup!$M:$M,$B98,Points_Lookup!$Q:$Q),IF($B$4="R&amp;T Level 6 - Clinical Associate Professors and Clinical Readers (Vet School)",SUMIF(Points_Lookup!$T:$T,$B98,Points_Lookup!$X:$X),"")))</f>
        <v/>
      </c>
      <c r="T98" s="28" t="str">
        <f t="shared" ca="1" si="12"/>
        <v/>
      </c>
    </row>
    <row r="99" spans="2:20" x14ac:dyDescent="0.25">
      <c r="B99" s="4" t="str">
        <f ca="1">IFERROR(INDEX(Points_Lookup!$A:$A,MATCH($Y101,Points_Lookup!$AE:$AE,0)),"")</f>
        <v/>
      </c>
      <c r="C99" s="24" t="str">
        <f ca="1">IF(B99="","",IF($B$4="Apprenticeship",SUMIF(Points_Lookup!$AA:$AA,B99,Points_Lookup!$AC:$AC),IF(AND(OR($B$4="New Consultant Contract"),$B99&lt;&gt;""),INDEX(Points_Lookup!$K:$K,MATCH($B99,Points_Lookup!$J:$J,0)),IF(AND(OR($B$4="Clinical Lecturer / Medical Research Fellow",$B$4="Clinical Consultant - Old Contract (GP)"),$B99&lt;&gt;""),INDEX(Points_Lookup!$H:$H,MATCH($B99,Points_Lookup!$G:$G,0)),IF(AND(OR($B$4="APM Level 7",$B$4="R&amp;T Level 7",$B$4="APM Level 8"),B99&lt;&gt;""),INDEX(Points_Lookup!$E:$E,MATCH($Y99,Points_Lookup!$AE:$AE,0)),IF($B$4="R&amp;T Level 5 - Clinical Lecturers (Vet School)",SUMIF(Points_Lookup!$M:$M,$B99,Points_Lookup!$P:$P),IF($B$4="R&amp;T Level 6 - Clinical Associate Professors and Clinical Readers (Vet School)",SUMIF(Points_Lookup!$T:$T,$B99,Points_Lookup!$W:$W),IFERROR(INDEX(Points_Lookup!$B:$B,MATCH($Y99,Points_Lookup!$AE:$AE,0)),""))))))))</f>
        <v/>
      </c>
      <c r="D99" s="39"/>
      <c r="E99" s="24" t="str">
        <f ca="1">IF($B99="","",IF(AND($B$4="Salary Points 2 to 57",B99&lt;Thresholds_Rates!$C$16),"-",IF(SUMIF(Grades!$A:$A,$B$4,Grades!$BO:$BO)=0,"-",IF(AND($B$4="Salary Points 2 to 57",B99&gt;=Thresholds_Rates!$C$16),$C99*Thresholds_Rates!$F$15,IF(AND(OR($B$4="New Consultant Contract"),$B99&lt;&gt;""),$C99*Thresholds_Rates!$F$15,IF(AND(OR($B$4="Clinical Lecturer / Medical Research Fellow",$B$4="Clinical Consultant - Old Contract (GP)"),$B99&lt;&gt;""),$C99*Thresholds_Rates!$F$15,IF(OR($B$4="APM Level 7",$B$4="R&amp;T Level 7"),$C99*Thresholds_Rates!$F$15,IF(SUMIF(Grades!$A:$A,$B$4,Grades!$BO:$BO)=1,$C99*Thresholds_Rates!$F$15,""))))))))</f>
        <v/>
      </c>
      <c r="F99" s="24" t="str">
        <f ca="1">IF(B99="","",IF($B$4="Salary Points 1 to 57","-",IF(SUMIF(Grades!$A:$A,$B$4,Grades!$BP:$BP)=0,"-",IF(AND(OR($B$4="New Consultant Contract"),$B99&lt;&gt;""),$C99*Thresholds_Rates!$F$16,IF(AND(OR($B$4="Clinical Lecturer / Medical Research Fellow",$B$4="Clinical Consultant - Old Contract (GP)"),$B99&lt;&gt;""),$C99*Thresholds_Rates!$F$16,IF(AND(OR($B$4="APM Level 7",$B$4="R&amp;T Level 7"),E99&lt;&gt;""),$C99*Thresholds_Rates!$F$16,IF(SUMIF(Grades!$A:$A,$B$4,Grades!$BP:$BP)=1,$C99*Thresholds_Rates!$F$16,"")))))))</f>
        <v/>
      </c>
      <c r="G99" s="24" t="str">
        <f ca="1">IF(B99="","",IF(SUMIF(Grades!$A:$A,$B$4,Grades!$BQ:$BQ)=0,"-",IF(AND($B$4="Salary Points 1 to 57",B99&gt;Thresholds_Rates!$C$17),"-",IF(AND($B$4="Salary Points 1 to 57",B99&lt;=Thresholds_Rates!$C$17),$C99*Thresholds_Rates!$F$17,IF(AND(OR($B$4="New Consultant Contract"),$B99&lt;&gt;""),$C99*Thresholds_Rates!$F$17,IF(AND(OR($B$4="Clinical Lecturer / Medical Research Fellow",$B$4="Clinical Consultant - Old Contract (GP)"),$B99&lt;&gt;""),$C99*Thresholds_Rates!$F$17,IF(AND(OR($B$4="APM Level 7",$B$4="R&amp;T Level 7"),F99&lt;&gt;""),$C99*Thresholds_Rates!$F$17,IF(SUMIF(Grades!$A:$A,$B$4,Grades!$BQ:$BQ)=1,$C99*Thresholds_Rates!$F$17,""))))))))</f>
        <v/>
      </c>
      <c r="H99" s="24" t="str">
        <f ca="1">IF($B99="","",ROUND(($C99-(Thresholds_Rates!$C$5*12))*Thresholds_Rates!$C$10,0))</f>
        <v/>
      </c>
      <c r="I99" s="24" t="str">
        <f ca="1">IF(B99="","",IF(AND($B$4="Salary Points 1 to 57",B99&gt;Thresholds_Rates!$C$17),"-",IF(SUMIF(Grades!$A:$A,$B$4,Grades!$BR:$BR)=0,"-",IF(AND($B$4="Salary Points 1 to 57",B99&lt;=Thresholds_Rates!$C$17),$C99*Thresholds_Rates!$F$18,IF(AND(OR($B$4="New Consultant Contract"),$B99&lt;&gt;""),$C99*Thresholds_Rates!$F$18,IF(AND(OR($B$4="Clinical Lecturer / Medical Research Fellow",$B$4="Clinical Consultant - Old Contract (GP)"),$B99&lt;&gt;""),$C99*Thresholds_Rates!$F$18,IF(AND(OR($B$4="APM Level 7",$B$4="R&amp;T Level 7"),H99&lt;&gt;""),$C99*Thresholds_Rates!$F$18,IF(SUMIF(Grades!$A:$A,$B$4,Grades!$BQ:$BQ)=1,$C99*Thresholds_Rates!$F$18,""))))))))</f>
        <v/>
      </c>
      <c r="J99" s="4"/>
      <c r="K99" s="24" t="str">
        <f t="shared" ca="1" si="7"/>
        <v/>
      </c>
      <c r="L99" s="24" t="str">
        <f t="shared" ca="1" si="8"/>
        <v/>
      </c>
      <c r="M99" s="24" t="str">
        <f t="shared" ca="1" si="9"/>
        <v/>
      </c>
      <c r="N99" s="24" t="str">
        <f t="shared" ca="1" si="10"/>
        <v/>
      </c>
      <c r="O99" s="24" t="str">
        <f t="shared" ca="1" si="11"/>
        <v/>
      </c>
      <c r="Q99" s="27" t="str">
        <f ca="1">IF(B99="","",IF($B$4="R&amp;T Level 5 - Clinical Lecturers (Vet School)",SUMIF(Points_Lookup!$M:$M,$B99,Points_Lookup!$N:$N),IF($B$4="R&amp;T Level 6 - Clinical Associate Professors and Clinical Readers (Vet School)",SUMIF(Points_Lookup!$T:$T,$B99,Points_Lookup!$U:$U),"")))</f>
        <v/>
      </c>
      <c r="R99" s="28" t="str">
        <f ca="1">IF(B99="","",IF($B$4="R&amp;T Level 5 - Clinical Lecturers (Vet School)",$C99-SUMIF(Points_Lookup!$M:$M,$B99,Points_Lookup!$O:$O),IF($B$4="R&amp;T Level 6 - Clinical Associate Professors and Clinical Readers (Vet School)",$C99-SUMIF(Points_Lookup!$T:$T,$B99,Points_Lookup!$V:$V),"")))</f>
        <v/>
      </c>
      <c r="S99" s="27" t="str">
        <f ca="1">IF(B99="","",IF($B$4="R&amp;T Level 5 - Clinical Lecturers (Vet School)",SUMIF(Points_Lookup!$M:$M,$B99,Points_Lookup!$Q:$Q),IF($B$4="R&amp;T Level 6 - Clinical Associate Professors and Clinical Readers (Vet School)",SUMIF(Points_Lookup!$T:$T,$B99,Points_Lookup!$X:$X),"")))</f>
        <v/>
      </c>
      <c r="T99" s="28" t="str">
        <f t="shared" ca="1" si="12"/>
        <v/>
      </c>
    </row>
    <row r="100" spans="2:20" x14ac:dyDescent="0.25">
      <c r="B100" s="4" t="str">
        <f ca="1">IFERROR(INDEX(Points_Lookup!$A:$A,MATCH($Y102,Points_Lookup!$AE:$AE,0)),"")</f>
        <v/>
      </c>
      <c r="C100" s="24" t="str">
        <f ca="1">IF(B100="","",IF($B$4="Apprenticeship",SUMIF(Points_Lookup!$AA:$AA,B100,Points_Lookup!$AC:$AC),IF(AND(OR($B$4="New Consultant Contract"),$B100&lt;&gt;""),INDEX(Points_Lookup!$K:$K,MATCH($B100,Points_Lookup!$J:$J,0)),IF(AND(OR($B$4="Clinical Lecturer / Medical Research Fellow",$B$4="Clinical Consultant - Old Contract (GP)"),$B100&lt;&gt;""),INDEX(Points_Lookup!$H:$H,MATCH($B100,Points_Lookup!$G:$G,0)),IF(AND(OR($B$4="APM Level 7",$B$4="R&amp;T Level 7",$B$4="APM Level 8"),B100&lt;&gt;""),INDEX(Points_Lookup!$E:$E,MATCH($Y100,Points_Lookup!$AE:$AE,0)),IF($B$4="R&amp;T Level 5 - Clinical Lecturers (Vet School)",SUMIF(Points_Lookup!$M:$M,$B100,Points_Lookup!$P:$P),IF($B$4="R&amp;T Level 6 - Clinical Associate Professors and Clinical Readers (Vet School)",SUMIF(Points_Lookup!$T:$T,$B100,Points_Lookup!$W:$W),IFERROR(INDEX(Points_Lookup!$B:$B,MATCH($Y100,Points_Lookup!$AE:$AE,0)),""))))))))</f>
        <v/>
      </c>
      <c r="D100" s="39"/>
      <c r="E100" s="24" t="str">
        <f ca="1">IF($B100="","",IF(AND($B$4="Salary Points 2 to 57",B100&lt;Thresholds_Rates!$C$16),"-",IF(SUMIF(Grades!$A:$A,$B$4,Grades!$BO:$BO)=0,"-",IF(AND($B$4="Salary Points 2 to 57",B100&gt;=Thresholds_Rates!$C$16),$C100*Thresholds_Rates!$F$15,IF(AND(OR($B$4="New Consultant Contract"),$B100&lt;&gt;""),$C100*Thresholds_Rates!$F$15,IF(AND(OR($B$4="Clinical Lecturer / Medical Research Fellow",$B$4="Clinical Consultant - Old Contract (GP)"),$B100&lt;&gt;""),$C100*Thresholds_Rates!$F$15,IF(OR($B$4="APM Level 7",$B$4="R&amp;T Level 7"),$C100*Thresholds_Rates!$F$15,IF(SUMIF(Grades!$A:$A,$B$4,Grades!$BO:$BO)=1,$C100*Thresholds_Rates!$F$15,""))))))))</f>
        <v/>
      </c>
      <c r="F100" s="24" t="str">
        <f ca="1">IF(B100="","",IF($B$4="Salary Points 1 to 57","-",IF(SUMIF(Grades!$A:$A,$B$4,Grades!$BP:$BP)=0,"-",IF(AND(OR($B$4="New Consultant Contract"),$B100&lt;&gt;""),$C100*Thresholds_Rates!$F$16,IF(AND(OR($B$4="Clinical Lecturer / Medical Research Fellow",$B$4="Clinical Consultant - Old Contract (GP)"),$B100&lt;&gt;""),$C100*Thresholds_Rates!$F$16,IF(AND(OR($B$4="APM Level 7",$B$4="R&amp;T Level 7"),E100&lt;&gt;""),$C100*Thresholds_Rates!$F$16,IF(SUMIF(Grades!$A:$A,$B$4,Grades!$BP:$BP)=1,$C100*Thresholds_Rates!$F$16,"")))))))</f>
        <v/>
      </c>
      <c r="G100" s="24" t="str">
        <f ca="1">IF(B100="","",IF(SUMIF(Grades!$A:$A,$B$4,Grades!$BQ:$BQ)=0,"-",IF(AND($B$4="Salary Points 1 to 57",B100&gt;Thresholds_Rates!$C$17),"-",IF(AND($B$4="Salary Points 1 to 57",B100&lt;=Thresholds_Rates!$C$17),$C100*Thresholds_Rates!$F$17,IF(AND(OR($B$4="New Consultant Contract"),$B100&lt;&gt;""),$C100*Thresholds_Rates!$F$17,IF(AND(OR($B$4="Clinical Lecturer / Medical Research Fellow",$B$4="Clinical Consultant - Old Contract (GP)"),$B100&lt;&gt;""),$C100*Thresholds_Rates!$F$17,IF(AND(OR($B$4="APM Level 7",$B$4="R&amp;T Level 7"),F100&lt;&gt;""),$C100*Thresholds_Rates!$F$17,IF(SUMIF(Grades!$A:$A,$B$4,Grades!$BQ:$BQ)=1,$C100*Thresholds_Rates!$F$17,""))))))))</f>
        <v/>
      </c>
      <c r="H100" s="24" t="str">
        <f ca="1">IF($B100="","",ROUND(($C100-(Thresholds_Rates!$C$5*12))*Thresholds_Rates!$C$10,0))</f>
        <v/>
      </c>
      <c r="I100" s="24" t="str">
        <f ca="1">IF(B100="","",IF(AND($B$4="Salary Points 1 to 57",B100&gt;Thresholds_Rates!$C$17),"-",IF(SUMIF(Grades!$A:$A,$B$4,Grades!$BR:$BR)=0,"-",IF(AND($B$4="Salary Points 1 to 57",B100&lt;=Thresholds_Rates!$C$17),$C100*Thresholds_Rates!$F$18,IF(AND(OR($B$4="New Consultant Contract"),$B100&lt;&gt;""),$C100*Thresholds_Rates!$F$18,IF(AND(OR($B$4="Clinical Lecturer / Medical Research Fellow",$B$4="Clinical Consultant - Old Contract (GP)"),$B100&lt;&gt;""),$C100*Thresholds_Rates!$F$18,IF(AND(OR($B$4="APM Level 7",$B$4="R&amp;T Level 7"),H100&lt;&gt;""),$C100*Thresholds_Rates!$F$18,IF(SUMIF(Grades!$A:$A,$B$4,Grades!$BQ:$BQ)=1,$C100*Thresholds_Rates!$F$18,""))))))))</f>
        <v/>
      </c>
      <c r="J100" s="4"/>
      <c r="K100" s="24" t="str">
        <f t="shared" ca="1" si="7"/>
        <v/>
      </c>
      <c r="L100" s="24" t="str">
        <f t="shared" ca="1" si="8"/>
        <v/>
      </c>
      <c r="M100" s="24" t="str">
        <f t="shared" ca="1" si="9"/>
        <v/>
      </c>
      <c r="N100" s="24" t="str">
        <f t="shared" ca="1" si="10"/>
        <v/>
      </c>
      <c r="O100" s="24" t="str">
        <f t="shared" ca="1" si="11"/>
        <v/>
      </c>
      <c r="Q100" s="27" t="str">
        <f ca="1">IF(B100="","",IF($B$4="R&amp;T Level 5 - Clinical Lecturers (Vet School)",SUMIF(Points_Lookup!$M:$M,$B100,Points_Lookup!$N:$N),IF($B$4="R&amp;T Level 6 - Clinical Associate Professors and Clinical Readers (Vet School)",SUMIF(Points_Lookup!$T:$T,$B100,Points_Lookup!$U:$U),"")))</f>
        <v/>
      </c>
      <c r="R100" s="28" t="str">
        <f ca="1">IF(B100="","",IF($B$4="R&amp;T Level 5 - Clinical Lecturers (Vet School)",$C100-SUMIF(Points_Lookup!$M:$M,$B100,Points_Lookup!$O:$O),IF($B$4="R&amp;T Level 6 - Clinical Associate Professors and Clinical Readers (Vet School)",$C100-SUMIF(Points_Lookup!$T:$T,$B100,Points_Lookup!$V:$V),"")))</f>
        <v/>
      </c>
      <c r="S100" s="27" t="str">
        <f ca="1">IF(B100="","",IF($B$4="R&amp;T Level 5 - Clinical Lecturers (Vet School)",SUMIF(Points_Lookup!$M:$M,$B100,Points_Lookup!$Q:$Q),IF($B$4="R&amp;T Level 6 - Clinical Associate Professors and Clinical Readers (Vet School)",SUMIF(Points_Lookup!$T:$T,$B100,Points_Lookup!$X:$X),"")))</f>
        <v/>
      </c>
      <c r="T100" s="28" t="str">
        <f t="shared" ca="1" si="12"/>
        <v/>
      </c>
    </row>
    <row r="101" spans="2:20" x14ac:dyDescent="0.25">
      <c r="B101" s="4" t="str">
        <f ca="1">IFERROR(INDEX(Points_Lookup!$A:$A,MATCH($Y103,Points_Lookup!$AE:$AE,0)),"")</f>
        <v/>
      </c>
      <c r="C101" s="24" t="str">
        <f ca="1">IF(B101="","",IF($B$4="Apprenticeship",SUMIF(Points_Lookup!$AA:$AA,B101,Points_Lookup!$AC:$AC),IF(AND(OR($B$4="New Consultant Contract"),$B101&lt;&gt;""),INDEX(Points_Lookup!$K:$K,MATCH($B101,Points_Lookup!$J:$J,0)),IF(AND(OR($B$4="Clinical Lecturer / Medical Research Fellow",$B$4="Clinical Consultant - Old Contract (GP)"),$B101&lt;&gt;""),INDEX(Points_Lookup!$H:$H,MATCH($B101,Points_Lookup!$G:$G,0)),IF(AND(OR($B$4="APM Level 7",$B$4="R&amp;T Level 7",$B$4="APM Level 8"),B101&lt;&gt;""),INDEX(Points_Lookup!$E:$E,MATCH($Y101,Points_Lookup!$AE:$AE,0)),IF($B$4="R&amp;T Level 5 - Clinical Lecturers (Vet School)",SUMIF(Points_Lookup!$M:$M,$B101,Points_Lookup!$P:$P),IF($B$4="R&amp;T Level 6 - Clinical Associate Professors and Clinical Readers (Vet School)",SUMIF(Points_Lookup!$T:$T,$B101,Points_Lookup!$W:$W),IFERROR(INDEX(Points_Lookup!$B:$B,MATCH($Y101,Points_Lookup!$AE:$AE,0)),""))))))))</f>
        <v/>
      </c>
      <c r="D101" s="39"/>
      <c r="E101" s="24" t="str">
        <f ca="1">IF($B101="","",IF(AND($B$4="Salary Points 2 to 57",B101&lt;Thresholds_Rates!$C$16),"-",IF(SUMIF(Grades!$A:$A,$B$4,Grades!$BO:$BO)=0,"-",IF(AND($B$4="Salary Points 2 to 57",B101&gt;=Thresholds_Rates!$C$16),$C101*Thresholds_Rates!$F$15,IF(AND(OR($B$4="New Consultant Contract"),$B101&lt;&gt;""),$C101*Thresholds_Rates!$F$15,IF(AND(OR($B$4="Clinical Lecturer / Medical Research Fellow",$B$4="Clinical Consultant - Old Contract (GP)"),$B101&lt;&gt;""),$C101*Thresholds_Rates!$F$15,IF(OR($B$4="APM Level 7",$B$4="R&amp;T Level 7"),$C101*Thresholds_Rates!$F$15,IF(SUMIF(Grades!$A:$A,$B$4,Grades!$BO:$BO)=1,$C101*Thresholds_Rates!$F$15,""))))))))</f>
        <v/>
      </c>
      <c r="F101" s="24" t="str">
        <f ca="1">IF(B101="","",IF($B$4="Salary Points 1 to 57","-",IF(SUMIF(Grades!$A:$A,$B$4,Grades!$BP:$BP)=0,"-",IF(AND(OR($B$4="New Consultant Contract"),$B101&lt;&gt;""),$C101*Thresholds_Rates!$F$16,IF(AND(OR($B$4="Clinical Lecturer / Medical Research Fellow",$B$4="Clinical Consultant - Old Contract (GP)"),$B101&lt;&gt;""),$C101*Thresholds_Rates!$F$16,IF(AND(OR($B$4="APM Level 7",$B$4="R&amp;T Level 7"),E101&lt;&gt;""),$C101*Thresholds_Rates!$F$16,IF(SUMIF(Grades!$A:$A,$B$4,Grades!$BP:$BP)=1,$C101*Thresholds_Rates!$F$16,"")))))))</f>
        <v/>
      </c>
      <c r="G101" s="24" t="str">
        <f ca="1">IF(B101="","",IF(SUMIF(Grades!$A:$A,$B$4,Grades!$BQ:$BQ)=0,"-",IF(AND($B$4="Salary Points 1 to 57",B101&gt;Thresholds_Rates!$C$17),"-",IF(AND($B$4="Salary Points 1 to 57",B101&lt;=Thresholds_Rates!$C$17),$C101*Thresholds_Rates!$F$17,IF(AND(OR($B$4="New Consultant Contract"),$B101&lt;&gt;""),$C101*Thresholds_Rates!$F$17,IF(AND(OR($B$4="Clinical Lecturer / Medical Research Fellow",$B$4="Clinical Consultant - Old Contract (GP)"),$B101&lt;&gt;""),$C101*Thresholds_Rates!$F$17,IF(AND(OR($B$4="APM Level 7",$B$4="R&amp;T Level 7"),F101&lt;&gt;""),$C101*Thresholds_Rates!$F$17,IF(SUMIF(Grades!$A:$A,$B$4,Grades!$BQ:$BQ)=1,$C101*Thresholds_Rates!$F$17,""))))))))</f>
        <v/>
      </c>
      <c r="H101" s="24" t="str">
        <f ca="1">IF($B101="","",ROUND(($C101-(Thresholds_Rates!$C$5*12))*Thresholds_Rates!$C$10,0))</f>
        <v/>
      </c>
      <c r="I101" s="24" t="str">
        <f ca="1">IF(B101="","",IF(AND($B$4="Salary Points 1 to 57",B101&gt;Thresholds_Rates!$C$17),"-",IF(SUMIF(Grades!$A:$A,$B$4,Grades!$BR:$BR)=0,"-",IF(AND($B$4="Salary Points 1 to 57",B101&lt;=Thresholds_Rates!$C$17),$C101*Thresholds_Rates!$F$18,IF(AND(OR($B$4="New Consultant Contract"),$B101&lt;&gt;""),$C101*Thresholds_Rates!$F$18,IF(AND(OR($B$4="Clinical Lecturer / Medical Research Fellow",$B$4="Clinical Consultant - Old Contract (GP)"),$B101&lt;&gt;""),$C101*Thresholds_Rates!$F$18,IF(AND(OR($B$4="APM Level 7",$B$4="R&amp;T Level 7"),H101&lt;&gt;""),$C101*Thresholds_Rates!$F$18,IF(SUMIF(Grades!$A:$A,$B$4,Grades!$BQ:$BQ)=1,$C101*Thresholds_Rates!$F$18,""))))))))</f>
        <v/>
      </c>
      <c r="J101" s="4"/>
      <c r="K101" s="24" t="str">
        <f t="shared" ca="1" si="7"/>
        <v/>
      </c>
      <c r="L101" s="24" t="str">
        <f t="shared" ca="1" si="8"/>
        <v/>
      </c>
      <c r="M101" s="24" t="str">
        <f t="shared" ca="1" si="9"/>
        <v/>
      </c>
      <c r="N101" s="24" t="str">
        <f t="shared" ca="1" si="10"/>
        <v/>
      </c>
      <c r="O101" s="24" t="str">
        <f t="shared" ca="1" si="11"/>
        <v/>
      </c>
      <c r="Q101" s="27" t="str">
        <f ca="1">IF(B101="","",IF($B$4="R&amp;T Level 5 - Clinical Lecturers (Vet School)",SUMIF(Points_Lookup!$M:$M,$B101,Points_Lookup!$N:$N),IF($B$4="R&amp;T Level 6 - Clinical Associate Professors and Clinical Readers (Vet School)",SUMIF(Points_Lookup!$T:$T,$B101,Points_Lookup!$U:$U),"")))</f>
        <v/>
      </c>
      <c r="R101" s="28" t="str">
        <f ca="1">IF(B101="","",IF($B$4="R&amp;T Level 5 - Clinical Lecturers (Vet School)",$C101-SUMIF(Points_Lookup!$M:$M,$B101,Points_Lookup!$O:$O),IF($B$4="R&amp;T Level 6 - Clinical Associate Professors and Clinical Readers (Vet School)",$C101-SUMIF(Points_Lookup!$T:$T,$B101,Points_Lookup!$V:$V),"")))</f>
        <v/>
      </c>
      <c r="S101" s="27" t="str">
        <f ca="1">IF(B101="","",IF($B$4="R&amp;T Level 5 - Clinical Lecturers (Vet School)",SUMIF(Points_Lookup!$M:$M,$B101,Points_Lookup!$Q:$Q),IF($B$4="R&amp;T Level 6 - Clinical Associate Professors and Clinical Readers (Vet School)",SUMIF(Points_Lookup!$T:$T,$B101,Points_Lookup!$X:$X),"")))</f>
        <v/>
      </c>
      <c r="T101" s="28" t="str">
        <f t="shared" ca="1" si="12"/>
        <v/>
      </c>
    </row>
    <row r="102" spans="2:20" x14ac:dyDescent="0.25">
      <c r="B102" s="4" t="str">
        <f ca="1">IFERROR(INDEX(Points_Lookup!$A:$A,MATCH($Y104,Points_Lookup!$AE:$AE,0)),"")</f>
        <v/>
      </c>
      <c r="C102" s="24" t="str">
        <f ca="1">IF(B102="","",IF($B$4="Apprenticeship",SUMIF(Points_Lookup!$AA:$AA,B102,Points_Lookup!$AC:$AC),IF(AND(OR($B$4="New Consultant Contract"),$B102&lt;&gt;""),INDEX(Points_Lookup!$K:$K,MATCH($B102,Points_Lookup!$J:$J,0)),IF(AND(OR($B$4="Clinical Lecturer / Medical Research Fellow",$B$4="Clinical Consultant - Old Contract (GP)"),$B102&lt;&gt;""),INDEX(Points_Lookup!$H:$H,MATCH($B102,Points_Lookup!$G:$G,0)),IF(AND(OR($B$4="APM Level 7",$B$4="R&amp;T Level 7",$B$4="APM Level 8"),B102&lt;&gt;""),INDEX(Points_Lookup!$E:$E,MATCH($Y102,Points_Lookup!$AE:$AE,0)),IF($B$4="R&amp;T Level 5 - Clinical Lecturers (Vet School)",SUMIF(Points_Lookup!$M:$M,$B102,Points_Lookup!$P:$P),IF($B$4="R&amp;T Level 6 - Clinical Associate Professors and Clinical Readers (Vet School)",SUMIF(Points_Lookup!$T:$T,$B102,Points_Lookup!$W:$W),IFERROR(INDEX(Points_Lookup!$B:$B,MATCH($Y102,Points_Lookup!$AE:$AE,0)),""))))))))</f>
        <v/>
      </c>
      <c r="D102" s="39"/>
      <c r="E102" s="24" t="str">
        <f ca="1">IF($B102="","",IF(AND($B$4="Salary Points 2 to 57",B102&lt;Thresholds_Rates!$C$16),"-",IF(SUMIF(Grades!$A:$A,$B$4,Grades!$BO:$BO)=0,"-",IF(AND($B$4="Salary Points 2 to 57",B102&gt;=Thresholds_Rates!$C$16),$C102*Thresholds_Rates!$F$15,IF(AND(OR($B$4="New Consultant Contract"),$B102&lt;&gt;""),$C102*Thresholds_Rates!$F$15,IF(AND(OR($B$4="Clinical Lecturer / Medical Research Fellow",$B$4="Clinical Consultant - Old Contract (GP)"),$B102&lt;&gt;""),$C102*Thresholds_Rates!$F$15,IF(OR($B$4="APM Level 7",$B$4="R&amp;T Level 7"),$C102*Thresholds_Rates!$F$15,IF(SUMIF(Grades!$A:$A,$B$4,Grades!$BO:$BO)=1,$C102*Thresholds_Rates!$F$15,""))))))))</f>
        <v/>
      </c>
      <c r="F102" s="24" t="str">
        <f ca="1">IF(B102="","",IF($B$4="Salary Points 1 to 57","-",IF(SUMIF(Grades!$A:$A,$B$4,Grades!$BP:$BP)=0,"-",IF(AND(OR($B$4="New Consultant Contract"),$B102&lt;&gt;""),$C102*Thresholds_Rates!$F$16,IF(AND(OR($B$4="Clinical Lecturer / Medical Research Fellow",$B$4="Clinical Consultant - Old Contract (GP)"),$B102&lt;&gt;""),$C102*Thresholds_Rates!$F$16,IF(AND(OR($B$4="APM Level 7",$B$4="R&amp;T Level 7"),E102&lt;&gt;""),$C102*Thresholds_Rates!$F$16,IF(SUMIF(Grades!$A:$A,$B$4,Grades!$BP:$BP)=1,$C102*Thresholds_Rates!$F$16,"")))))))</f>
        <v/>
      </c>
      <c r="G102" s="24" t="str">
        <f ca="1">IF(B102="","",IF(SUMIF(Grades!$A:$A,$B$4,Grades!$BQ:$BQ)=0,"-",IF(AND($B$4="Salary Points 1 to 57",B102&gt;Thresholds_Rates!$C$17),"-",IF(AND($B$4="Salary Points 1 to 57",B102&lt;=Thresholds_Rates!$C$17),$C102*Thresholds_Rates!$F$17,IF(AND(OR($B$4="New Consultant Contract"),$B102&lt;&gt;""),$C102*Thresholds_Rates!$F$17,IF(AND(OR($B$4="Clinical Lecturer / Medical Research Fellow",$B$4="Clinical Consultant - Old Contract (GP)"),$B102&lt;&gt;""),$C102*Thresholds_Rates!$F$17,IF(AND(OR($B$4="APM Level 7",$B$4="R&amp;T Level 7"),F102&lt;&gt;""),$C102*Thresholds_Rates!$F$17,IF(SUMIF(Grades!$A:$A,$B$4,Grades!$BQ:$BQ)=1,$C102*Thresholds_Rates!$F$17,""))))))))</f>
        <v/>
      </c>
      <c r="H102" s="24" t="str">
        <f ca="1">IF($B102="","",ROUND(($C102-(Thresholds_Rates!$C$5*12))*Thresholds_Rates!$C$10,0))</f>
        <v/>
      </c>
      <c r="I102" s="24" t="str">
        <f ca="1">IF(B102="","",IF(AND($B$4="Salary Points 1 to 57",B102&gt;Thresholds_Rates!$C$17),"-",IF(SUMIF(Grades!$A:$A,$B$4,Grades!$BR:$BR)=0,"-",IF(AND($B$4="Salary Points 1 to 57",B102&lt;=Thresholds_Rates!$C$17),$C102*Thresholds_Rates!$F$18,IF(AND(OR($B$4="New Consultant Contract"),$B102&lt;&gt;""),$C102*Thresholds_Rates!$F$18,IF(AND(OR($B$4="Clinical Lecturer / Medical Research Fellow",$B$4="Clinical Consultant - Old Contract (GP)"),$B102&lt;&gt;""),$C102*Thresholds_Rates!$F$18,IF(AND(OR($B$4="APM Level 7",$B$4="R&amp;T Level 7"),H102&lt;&gt;""),$C102*Thresholds_Rates!$F$18,IF(SUMIF(Grades!$A:$A,$B$4,Grades!$BQ:$BQ)=1,$C102*Thresholds_Rates!$F$18,""))))))))</f>
        <v/>
      </c>
      <c r="J102" s="4"/>
      <c r="K102" s="24" t="str">
        <f t="shared" ca="1" si="7"/>
        <v/>
      </c>
      <c r="L102" s="24" t="str">
        <f t="shared" ca="1" si="8"/>
        <v/>
      </c>
      <c r="M102" s="24" t="str">
        <f t="shared" ca="1" si="9"/>
        <v/>
      </c>
      <c r="N102" s="24" t="str">
        <f t="shared" ca="1" si="10"/>
        <v/>
      </c>
      <c r="O102" s="24" t="str">
        <f t="shared" ca="1" si="11"/>
        <v/>
      </c>
      <c r="Q102" s="27" t="str">
        <f ca="1">IF(B102="","",IF($B$4="R&amp;T Level 5 - Clinical Lecturers (Vet School)",SUMIF(Points_Lookup!$M:$M,$B102,Points_Lookup!$N:$N),IF($B$4="R&amp;T Level 6 - Clinical Associate Professors and Clinical Readers (Vet School)",SUMIF(Points_Lookup!$T:$T,$B102,Points_Lookup!$U:$U),"")))</f>
        <v/>
      </c>
      <c r="R102" s="28" t="str">
        <f ca="1">IF(B102="","",IF($B$4="R&amp;T Level 5 - Clinical Lecturers (Vet School)",$C102-SUMIF(Points_Lookup!$M:$M,$B102,Points_Lookup!$O:$O),IF($B$4="R&amp;T Level 6 - Clinical Associate Professors and Clinical Readers (Vet School)",$C102-SUMIF(Points_Lookup!$T:$T,$B102,Points_Lookup!$V:$V),"")))</f>
        <v/>
      </c>
      <c r="S102" s="27" t="str">
        <f ca="1">IF(B102="","",IF($B$4="R&amp;T Level 5 - Clinical Lecturers (Vet School)",SUMIF(Points_Lookup!$M:$M,$B102,Points_Lookup!$Q:$Q),IF($B$4="R&amp;T Level 6 - Clinical Associate Professors and Clinical Readers (Vet School)",SUMIF(Points_Lookup!$T:$T,$B102,Points_Lookup!$X:$X),"")))</f>
        <v/>
      </c>
      <c r="T102" s="28" t="str">
        <f t="shared" ca="1" si="12"/>
        <v/>
      </c>
    </row>
    <row r="103" spans="2:20" x14ac:dyDescent="0.25">
      <c r="B103" s="4" t="str">
        <f ca="1">IFERROR(INDEX(Points_Lookup!$A:$A,MATCH($Y105,Points_Lookup!$AE:$AE,0)),"")</f>
        <v/>
      </c>
      <c r="C103" s="24" t="str">
        <f ca="1">IF(B103="","",IF($B$4="Apprenticeship",SUMIF(Points_Lookup!$AA:$AA,B103,Points_Lookup!$AC:$AC),IF(AND(OR($B$4="New Consultant Contract"),$B103&lt;&gt;""),INDEX(Points_Lookup!$K:$K,MATCH($B103,Points_Lookup!$J:$J,0)),IF(AND(OR($B$4="Clinical Lecturer / Medical Research Fellow",$B$4="Clinical Consultant - Old Contract (GP)"),$B103&lt;&gt;""),INDEX(Points_Lookup!$H:$H,MATCH($B103,Points_Lookup!$G:$G,0)),IF(AND(OR($B$4="APM Level 7",$B$4="R&amp;T Level 7",$B$4="APM Level 8"),B103&lt;&gt;""),INDEX(Points_Lookup!$E:$E,MATCH($Y103,Points_Lookup!$AE:$AE,0)),IF($B$4="R&amp;T Level 5 - Clinical Lecturers (Vet School)",SUMIF(Points_Lookup!$M:$M,$B103,Points_Lookup!$P:$P),IF($B$4="R&amp;T Level 6 - Clinical Associate Professors and Clinical Readers (Vet School)",SUMIF(Points_Lookup!$T:$T,$B103,Points_Lookup!$W:$W),IFERROR(INDEX(Points_Lookup!$B:$B,MATCH($Y103,Points_Lookup!$AE:$AE,0)),""))))))))</f>
        <v/>
      </c>
      <c r="D103" s="39"/>
      <c r="E103" s="24" t="str">
        <f ca="1">IF($B103="","",IF(AND($B$4="Salary Points 2 to 57",B103&lt;Thresholds_Rates!$C$16),"-",IF(SUMIF(Grades!$A:$A,$B$4,Grades!$BO:$BO)=0,"-",IF(AND($B$4="Salary Points 2 to 57",B103&gt;=Thresholds_Rates!$C$16),$C103*Thresholds_Rates!$F$15,IF(AND(OR($B$4="New Consultant Contract"),$B103&lt;&gt;""),$C103*Thresholds_Rates!$F$15,IF(AND(OR($B$4="Clinical Lecturer / Medical Research Fellow",$B$4="Clinical Consultant - Old Contract (GP)"),$B103&lt;&gt;""),$C103*Thresholds_Rates!$F$15,IF(OR($B$4="APM Level 7",$B$4="R&amp;T Level 7"),$C103*Thresholds_Rates!$F$15,IF(SUMIF(Grades!$A:$A,$B$4,Grades!$BO:$BO)=1,$C103*Thresholds_Rates!$F$15,""))))))))</f>
        <v/>
      </c>
      <c r="F103" s="24" t="str">
        <f ca="1">IF(B103="","",IF($B$4="Salary Points 1 to 57","-",IF(SUMIF(Grades!$A:$A,$B$4,Grades!$BP:$BP)=0,"-",IF(AND(OR($B$4="New Consultant Contract"),$B103&lt;&gt;""),$C103*Thresholds_Rates!$F$16,IF(AND(OR($B$4="Clinical Lecturer / Medical Research Fellow",$B$4="Clinical Consultant - Old Contract (GP)"),$B103&lt;&gt;""),$C103*Thresholds_Rates!$F$16,IF(AND(OR($B$4="APM Level 7",$B$4="R&amp;T Level 7"),E103&lt;&gt;""),$C103*Thresholds_Rates!$F$16,IF(SUMIF(Grades!$A:$A,$B$4,Grades!$BP:$BP)=1,$C103*Thresholds_Rates!$F$16,"")))))))</f>
        <v/>
      </c>
      <c r="G103" s="24" t="str">
        <f ca="1">IF(B103="","",IF(SUMIF(Grades!$A:$A,$B$4,Grades!$BQ:$BQ)=0,"-",IF(AND($B$4="Salary Points 1 to 57",B103&gt;Thresholds_Rates!$C$17),"-",IF(AND($B$4="Salary Points 1 to 57",B103&lt;=Thresholds_Rates!$C$17),$C103*Thresholds_Rates!$F$17,IF(AND(OR($B$4="New Consultant Contract"),$B103&lt;&gt;""),$C103*Thresholds_Rates!$F$17,IF(AND(OR($B$4="Clinical Lecturer / Medical Research Fellow",$B$4="Clinical Consultant - Old Contract (GP)"),$B103&lt;&gt;""),$C103*Thresholds_Rates!$F$17,IF(AND(OR($B$4="APM Level 7",$B$4="R&amp;T Level 7"),F103&lt;&gt;""),$C103*Thresholds_Rates!$F$17,IF(SUMIF(Grades!$A:$A,$B$4,Grades!$BQ:$BQ)=1,$C103*Thresholds_Rates!$F$17,""))))))))</f>
        <v/>
      </c>
      <c r="H103" s="24" t="str">
        <f ca="1">IF($B103="","",ROUND(($C103-(Thresholds_Rates!$C$5*12))*Thresholds_Rates!$C$10,0))</f>
        <v/>
      </c>
      <c r="I103" s="24" t="str">
        <f ca="1">IF(B103="","",IF(AND($B$4="Salary Points 1 to 57",B103&gt;Thresholds_Rates!$C$17),"-",IF(SUMIF(Grades!$A:$A,$B$4,Grades!$BR:$BR)=0,"-",IF(AND($B$4="Salary Points 1 to 57",B103&lt;=Thresholds_Rates!$C$17),$C103*Thresholds_Rates!$F$18,IF(AND(OR($B$4="New Consultant Contract"),$B103&lt;&gt;""),$C103*Thresholds_Rates!$F$18,IF(AND(OR($B$4="Clinical Lecturer / Medical Research Fellow",$B$4="Clinical Consultant - Old Contract (GP)"),$B103&lt;&gt;""),$C103*Thresholds_Rates!$F$18,IF(AND(OR($B$4="APM Level 7",$B$4="R&amp;T Level 7"),H103&lt;&gt;""),$C103*Thresholds_Rates!$F$18,IF(SUMIF(Grades!$A:$A,$B$4,Grades!$BQ:$BQ)=1,$C103*Thresholds_Rates!$F$18,""))))))))</f>
        <v/>
      </c>
      <c r="J103" s="4"/>
      <c r="K103" s="24" t="str">
        <f t="shared" ca="1" si="7"/>
        <v/>
      </c>
      <c r="L103" s="24" t="str">
        <f t="shared" ca="1" si="8"/>
        <v/>
      </c>
      <c r="M103" s="24" t="str">
        <f t="shared" ca="1" si="9"/>
        <v/>
      </c>
      <c r="N103" s="24" t="str">
        <f t="shared" ca="1" si="10"/>
        <v/>
      </c>
      <c r="O103" s="24" t="str">
        <f t="shared" ca="1" si="11"/>
        <v/>
      </c>
      <c r="Q103" s="27" t="str">
        <f ca="1">IF(B103="","",IF($B$4="R&amp;T Level 5 - Clinical Lecturers (Vet School)",SUMIF(Points_Lookup!$M:$M,$B103,Points_Lookup!$N:$N),IF($B$4="R&amp;T Level 6 - Clinical Associate Professors and Clinical Readers (Vet School)",SUMIF(Points_Lookup!$T:$T,$B103,Points_Lookup!$U:$U),"")))</f>
        <v/>
      </c>
      <c r="R103" s="28" t="str">
        <f ca="1">IF(B103="","",IF($B$4="R&amp;T Level 5 - Clinical Lecturers (Vet School)",$C103-SUMIF(Points_Lookup!$M:$M,$B103,Points_Lookup!$O:$O),IF($B$4="R&amp;T Level 6 - Clinical Associate Professors and Clinical Readers (Vet School)",$C103-SUMIF(Points_Lookup!$T:$T,$B103,Points_Lookup!$V:$V),"")))</f>
        <v/>
      </c>
      <c r="S103" s="27" t="str">
        <f ca="1">IF(B103="","",IF($B$4="R&amp;T Level 5 - Clinical Lecturers (Vet School)",SUMIF(Points_Lookup!$M:$M,$B103,Points_Lookup!$Q:$Q),IF($B$4="R&amp;T Level 6 - Clinical Associate Professors and Clinical Readers (Vet School)",SUMIF(Points_Lookup!$T:$T,$B103,Points_Lookup!$X:$X),"")))</f>
        <v/>
      </c>
      <c r="T103" s="28" t="str">
        <f t="shared" ca="1" si="12"/>
        <v/>
      </c>
    </row>
    <row r="104" spans="2:20" x14ac:dyDescent="0.25">
      <c r="B104" s="4" t="str">
        <f ca="1">IFERROR(INDEX(Points_Lookup!$A:$A,MATCH($Y106,Points_Lookup!$AE:$AE,0)),"")</f>
        <v/>
      </c>
      <c r="C104" s="24" t="str">
        <f ca="1">IF(B104="","",IF($B$4="Apprenticeship",SUMIF(Points_Lookup!$AA:$AA,B104,Points_Lookup!$AC:$AC),IF(AND(OR($B$4="New Consultant Contract"),$B104&lt;&gt;""),INDEX(Points_Lookup!$K:$K,MATCH($B104,Points_Lookup!$J:$J,0)),IF(AND(OR($B$4="Clinical Lecturer / Medical Research Fellow",$B$4="Clinical Consultant - Old Contract (GP)"),$B104&lt;&gt;""),INDEX(Points_Lookup!$H:$H,MATCH($B104,Points_Lookup!$G:$G,0)),IF(AND(OR($B$4="APM Level 7",$B$4="R&amp;T Level 7",$B$4="APM Level 8"),B104&lt;&gt;""),INDEX(Points_Lookup!$E:$E,MATCH($Y104,Points_Lookup!$AE:$AE,0)),IF($B$4="R&amp;T Level 5 - Clinical Lecturers (Vet School)",SUMIF(Points_Lookup!$M:$M,$B104,Points_Lookup!$P:$P),IF($B$4="R&amp;T Level 6 - Clinical Associate Professors and Clinical Readers (Vet School)",SUMIF(Points_Lookup!$T:$T,$B104,Points_Lookup!$W:$W),IFERROR(INDEX(Points_Lookup!$B:$B,MATCH($Y104,Points_Lookup!$AE:$AE,0)),""))))))))</f>
        <v/>
      </c>
      <c r="D104" s="39"/>
      <c r="E104" s="24" t="str">
        <f ca="1">IF($B104="","",IF(AND($B$4="Salary Points 2 to 57",B104&lt;Thresholds_Rates!$C$16),"-",IF(SUMIF(Grades!$A:$A,$B$4,Grades!$BO:$BO)=0,"-",IF(AND($B$4="Salary Points 2 to 57",B104&gt;=Thresholds_Rates!$C$16),$C104*Thresholds_Rates!$F$15,IF(AND(OR($B$4="New Consultant Contract"),$B104&lt;&gt;""),$C104*Thresholds_Rates!$F$15,IF(AND(OR($B$4="Clinical Lecturer / Medical Research Fellow",$B$4="Clinical Consultant - Old Contract (GP)"),$B104&lt;&gt;""),$C104*Thresholds_Rates!$F$15,IF(OR($B$4="APM Level 7",$B$4="R&amp;T Level 7"),$C104*Thresholds_Rates!$F$15,IF(SUMIF(Grades!$A:$A,$B$4,Grades!$BO:$BO)=1,$C104*Thresholds_Rates!$F$15,""))))))))</f>
        <v/>
      </c>
      <c r="F104" s="24" t="str">
        <f ca="1">IF(B104="","",IF($B$4="Salary Points 1 to 57","-",IF(SUMIF(Grades!$A:$A,$B$4,Grades!$BP:$BP)=0,"-",IF(AND(OR($B$4="New Consultant Contract"),$B104&lt;&gt;""),$C104*Thresholds_Rates!$F$16,IF(AND(OR($B$4="Clinical Lecturer / Medical Research Fellow",$B$4="Clinical Consultant - Old Contract (GP)"),$B104&lt;&gt;""),$C104*Thresholds_Rates!$F$16,IF(AND(OR($B$4="APM Level 7",$B$4="R&amp;T Level 7"),E104&lt;&gt;""),$C104*Thresholds_Rates!$F$16,IF(SUMIF(Grades!$A:$A,$B$4,Grades!$BP:$BP)=1,$C104*Thresholds_Rates!$F$16,"")))))))</f>
        <v/>
      </c>
      <c r="G104" s="24" t="str">
        <f ca="1">IF(B104="","",IF(SUMIF(Grades!$A:$A,$B$4,Grades!$BQ:$BQ)=0,"-",IF(AND($B$4="Salary Points 1 to 57",B104&gt;Thresholds_Rates!$C$17),"-",IF(AND($B$4="Salary Points 1 to 57",B104&lt;=Thresholds_Rates!$C$17),$C104*Thresholds_Rates!$F$17,IF(AND(OR($B$4="New Consultant Contract"),$B104&lt;&gt;""),$C104*Thresholds_Rates!$F$17,IF(AND(OR($B$4="Clinical Lecturer / Medical Research Fellow",$B$4="Clinical Consultant - Old Contract (GP)"),$B104&lt;&gt;""),$C104*Thresholds_Rates!$F$17,IF(AND(OR($B$4="APM Level 7",$B$4="R&amp;T Level 7"),F104&lt;&gt;""),$C104*Thresholds_Rates!$F$17,IF(SUMIF(Grades!$A:$A,$B$4,Grades!$BQ:$BQ)=1,$C104*Thresholds_Rates!$F$17,""))))))))</f>
        <v/>
      </c>
      <c r="H104" s="24"/>
      <c r="I104" s="24"/>
      <c r="J104" s="4"/>
      <c r="K104" s="24" t="str">
        <f t="shared" ca="1" si="7"/>
        <v/>
      </c>
      <c r="L104" s="24" t="str">
        <f t="shared" ca="1" si="8"/>
        <v/>
      </c>
      <c r="M104" s="24" t="str">
        <f t="shared" ca="1" si="9"/>
        <v/>
      </c>
      <c r="N104" s="24" t="str">
        <f t="shared" ca="1" si="10"/>
        <v/>
      </c>
      <c r="O104" s="24" t="str">
        <f t="shared" ca="1" si="11"/>
        <v/>
      </c>
      <c r="Q104" s="27"/>
      <c r="R104" s="28"/>
      <c r="S104" s="27"/>
      <c r="T104" s="28"/>
    </row>
    <row r="105" spans="2:20" x14ac:dyDescent="0.25">
      <c r="B105" s="4" t="str">
        <f ca="1">IFERROR(INDEX(Points_Lookup!$A:$A,MATCH($Y107,Points_Lookup!$AE:$AE,0)),"")</f>
        <v/>
      </c>
      <c r="C105" s="24" t="str">
        <f ca="1">IF(B105="","",IF($B$4="Apprenticeship",SUMIF(Points_Lookup!$AA:$AA,B105,Points_Lookup!$AC:$AC),IF(AND(OR($B$4="New Consultant Contract"),$B105&lt;&gt;""),INDEX(Points_Lookup!$K:$K,MATCH($B105,Points_Lookup!$J:$J,0)),IF(AND(OR($B$4="Clinical Lecturer / Medical Research Fellow",$B$4="Clinical Consultant - Old Contract (GP)"),$B105&lt;&gt;""),INDEX(Points_Lookup!$H:$H,MATCH($B105,Points_Lookup!$G:$G,0)),IF(AND(OR($B$4="APM Level 7",$B$4="R&amp;T Level 7",$B$4="APM Level 8"),B105&lt;&gt;""),INDEX(Points_Lookup!$E:$E,MATCH($Y105,Points_Lookup!$AE:$AE,0)),IF($B$4="R&amp;T Level 5 - Clinical Lecturers (Vet School)",SUMIF(Points_Lookup!$M:$M,$B105,Points_Lookup!$P:$P),IF($B$4="R&amp;T Level 6 - Clinical Associate Professors and Clinical Readers (Vet School)",SUMIF(Points_Lookup!$T:$T,$B105,Points_Lookup!$W:$W),IFERROR(INDEX(Points_Lookup!$B:$B,MATCH($Y105,Points_Lookup!$AE:$AE,0)),""))))))))</f>
        <v/>
      </c>
      <c r="D105" s="39"/>
      <c r="E105" s="24" t="str">
        <f ca="1">IF($B105="","",IF(AND($B$4="Salary Points 2 to 57",B105&lt;Thresholds_Rates!$C$16),"-",IF(SUMIF(Grades!$A:$A,$B$4,Grades!$BO:$BO)=0,"-",IF(AND($B$4="Salary Points 2 to 57",B105&gt;=Thresholds_Rates!$C$16),$C105*Thresholds_Rates!$F$15,IF(AND(OR($B$4="New Consultant Contract"),$B105&lt;&gt;""),$C105*Thresholds_Rates!$F$15,IF(AND(OR($B$4="Clinical Lecturer / Medical Research Fellow",$B$4="Clinical Consultant - Old Contract (GP)"),$B105&lt;&gt;""),$C105*Thresholds_Rates!$F$15,IF(OR($B$4="APM Level 7",$B$4="R&amp;T Level 7"),$C105*Thresholds_Rates!$F$15,IF(SUMIF(Grades!$A:$A,$B$4,Grades!$BO:$BO)=1,$C105*Thresholds_Rates!$F$15,""))))))))</f>
        <v/>
      </c>
      <c r="F105" s="24" t="str">
        <f ca="1">IF(B105="","",IF($B$4="Salary Points 1 to 57","-",IF(SUMIF(Grades!$A:$A,$B$4,Grades!$BP:$BP)=0,"-",IF(AND(OR($B$4="New Consultant Contract"),$B105&lt;&gt;""),$C105*Thresholds_Rates!$F$16,IF(AND(OR($B$4="Clinical Lecturer / Medical Research Fellow",$B$4="Clinical Consultant - Old Contract (GP)"),$B105&lt;&gt;""),$C105*Thresholds_Rates!$F$16,IF(AND(OR($B$4="APM Level 7",$B$4="R&amp;T Level 7"),E105&lt;&gt;""),$C105*Thresholds_Rates!$F$16,IF(SUMIF(Grades!$A:$A,$B$4,Grades!$BP:$BP)=1,$C105*Thresholds_Rates!$F$16,"")))))))</f>
        <v/>
      </c>
      <c r="G105" s="24" t="str">
        <f ca="1">IF(B105="","",IF(SUMIF(Grades!$A:$A,$B$4,Grades!$BQ:$BQ)=0,"-",IF(AND($B$4="Salary Points 1 to 57",B105&gt;Thresholds_Rates!$C$17),"-",IF(AND($B$4="Salary Points 1 to 57",B105&lt;=Thresholds_Rates!$C$17),$C105*Thresholds_Rates!$F$17,IF(AND(OR($B$4="New Consultant Contract"),$B105&lt;&gt;""),$C105*Thresholds_Rates!$F$17,IF(AND(OR($B$4="Clinical Lecturer / Medical Research Fellow",$B$4="Clinical Consultant - Old Contract (GP)"),$B105&lt;&gt;""),$C105*Thresholds_Rates!$F$17,IF(AND(OR($B$4="APM Level 7",$B$4="R&amp;T Level 7"),F105&lt;&gt;""),$C105*Thresholds_Rates!$F$17,IF(SUMIF(Grades!$A:$A,$B$4,Grades!$BQ:$BQ)=1,$C105*Thresholds_Rates!$F$17,""))))))))</f>
        <v/>
      </c>
      <c r="H105" s="24"/>
      <c r="I105" s="24"/>
      <c r="J105" s="4"/>
      <c r="K105" s="24" t="str">
        <f t="shared" ca="1" si="7"/>
        <v/>
      </c>
      <c r="L105" s="24" t="str">
        <f t="shared" ca="1" si="8"/>
        <v/>
      </c>
      <c r="M105" s="24" t="str">
        <f t="shared" ca="1" si="9"/>
        <v/>
      </c>
      <c r="N105" s="24" t="str">
        <f t="shared" ca="1" si="10"/>
        <v/>
      </c>
      <c r="O105" s="24" t="str">
        <f t="shared" ca="1" si="11"/>
        <v/>
      </c>
      <c r="Q105" s="27"/>
      <c r="R105" s="28"/>
      <c r="S105" s="27"/>
      <c r="T105" s="28"/>
    </row>
    <row r="106" spans="2:20" x14ac:dyDescent="0.25">
      <c r="B106" s="4" t="str">
        <f ca="1">IFERROR(INDEX(Points_Lookup!$A:$A,MATCH($Y108,Points_Lookup!$AE:$AE,0)),"")</f>
        <v/>
      </c>
      <c r="C106" s="24" t="str">
        <f ca="1">IF(B106="","",IF($B$4="Apprenticeship",SUMIF(Points_Lookup!$AA:$AA,B106,Points_Lookup!$AC:$AC),IF(AND(OR($B$4="New Consultant Contract"),$B106&lt;&gt;""),INDEX(Points_Lookup!$K:$K,MATCH($B106,Points_Lookup!$J:$J,0)),IF(AND(OR($B$4="Clinical Lecturer / Medical Research Fellow",$B$4="Clinical Consultant - Old Contract (GP)"),$B106&lt;&gt;""),INDEX(Points_Lookup!$H:$H,MATCH($B106,Points_Lookup!$G:$G,0)),IF(AND(OR($B$4="APM Level 7",$B$4="R&amp;T Level 7",$B$4="APM Level 8"),B106&lt;&gt;""),INDEX(Points_Lookup!$E:$E,MATCH($Y106,Points_Lookup!$AE:$AE,0)),IF($B$4="R&amp;T Level 5 - Clinical Lecturers (Vet School)",SUMIF(Points_Lookup!$M:$M,$B106,Points_Lookup!$P:$P),IF($B$4="R&amp;T Level 6 - Clinical Associate Professors and Clinical Readers (Vet School)",SUMIF(Points_Lookup!$T:$T,$B106,Points_Lookup!$W:$W),IFERROR(INDEX(Points_Lookup!$B:$B,MATCH($Y106,Points_Lookup!$AE:$AE,0)),""))))))))</f>
        <v/>
      </c>
      <c r="D106" s="39"/>
      <c r="E106" s="24" t="str">
        <f ca="1">IF($B106="","",IF(AND($B$4="Salary Points 2 to 57",B106&lt;Thresholds_Rates!$C$16),"-",IF(SUMIF(Grades!$A:$A,$B$4,Grades!$BO:$BO)=0,"-",IF(AND($B$4="Salary Points 2 to 57",B106&gt;=Thresholds_Rates!$C$16),$C106*Thresholds_Rates!$F$15,IF(AND(OR($B$4="New Consultant Contract"),$B106&lt;&gt;""),$C106*Thresholds_Rates!$F$15,IF(AND(OR($B$4="Clinical Lecturer / Medical Research Fellow",$B$4="Clinical Consultant - Old Contract (GP)"),$B106&lt;&gt;""),$C106*Thresholds_Rates!$F$15,IF(OR($B$4="APM Level 7",$B$4="R&amp;T Level 7"),$C106*Thresholds_Rates!$F$15,IF(SUMIF(Grades!$A:$A,$B$4,Grades!$BO:$BO)=1,$C106*Thresholds_Rates!$F$15,""))))))))</f>
        <v/>
      </c>
      <c r="F106" s="24" t="str">
        <f ca="1">IF(B106="","",IF($B$4="Salary Points 1 to 57","-",IF(SUMIF(Grades!$A:$A,$B$4,Grades!$BP:$BP)=0,"-",IF(AND(OR($B$4="New Consultant Contract"),$B106&lt;&gt;""),$C106*Thresholds_Rates!$F$16,IF(AND(OR($B$4="Clinical Lecturer / Medical Research Fellow",$B$4="Clinical Consultant - Old Contract (GP)"),$B106&lt;&gt;""),$C106*Thresholds_Rates!$F$16,IF(AND(OR($B$4="APM Level 7",$B$4="R&amp;T Level 7"),E106&lt;&gt;""),$C106*Thresholds_Rates!$F$16,IF(SUMIF(Grades!$A:$A,$B$4,Grades!$BP:$BP)=1,$C106*Thresholds_Rates!$F$16,"")))))))</f>
        <v/>
      </c>
      <c r="G106" s="24" t="str">
        <f ca="1">IF(B106="","",IF(SUMIF(Grades!$A:$A,$B$4,Grades!$BQ:$BQ)=0,"-",IF(AND($B$4="Salary Points 1 to 57",B106&gt;Thresholds_Rates!$C$17),"-",IF(AND($B$4="Salary Points 1 to 57",B106&lt;=Thresholds_Rates!$C$17),$C106*Thresholds_Rates!$F$17,IF(AND(OR($B$4="New Consultant Contract"),$B106&lt;&gt;""),$C106*Thresholds_Rates!$F$17,IF(AND(OR($B$4="Clinical Lecturer / Medical Research Fellow",$B$4="Clinical Consultant - Old Contract (GP)"),$B106&lt;&gt;""),$C106*Thresholds_Rates!$F$17,IF(AND(OR($B$4="APM Level 7",$B$4="R&amp;T Level 7"),F106&lt;&gt;""),$C106*Thresholds_Rates!$F$17,IF(SUMIF(Grades!$A:$A,$B$4,Grades!$BQ:$BQ)=1,$C106*Thresholds_Rates!$F$17,""))))))))</f>
        <v/>
      </c>
      <c r="H106" s="24"/>
      <c r="I106" s="24"/>
      <c r="J106" s="4"/>
      <c r="K106" s="24" t="str">
        <f t="shared" ca="1" si="7"/>
        <v/>
      </c>
      <c r="L106" s="24" t="str">
        <f t="shared" ca="1" si="8"/>
        <v/>
      </c>
      <c r="M106" s="24" t="str">
        <f t="shared" ca="1" si="9"/>
        <v/>
      </c>
      <c r="N106" s="24" t="str">
        <f t="shared" ca="1" si="10"/>
        <v/>
      </c>
      <c r="O106" s="24" t="str">
        <f t="shared" ca="1" si="11"/>
        <v/>
      </c>
      <c r="Q106" s="27"/>
      <c r="R106" s="28"/>
      <c r="S106" s="27"/>
      <c r="T106" s="28"/>
    </row>
    <row r="107" spans="2:20" x14ac:dyDescent="0.25">
      <c r="B107" s="4" t="str">
        <f ca="1">IFERROR(INDEX(Points_Lookup!$A:$A,MATCH($Y109,Points_Lookup!$AE:$AE,0)),"")</f>
        <v/>
      </c>
      <c r="C107" s="24" t="str">
        <f ca="1">IF(B107="","",IF($B$4="Apprenticeship",SUMIF(Points_Lookup!$AA:$AA,B107,Points_Lookup!$AC:$AC),IF(AND(OR($B$4="New Consultant Contract"),$B107&lt;&gt;""),INDEX(Points_Lookup!$K:$K,MATCH($B107,Points_Lookup!$J:$J,0)),IF(AND(OR($B$4="Clinical Lecturer / Medical Research Fellow",$B$4="Clinical Consultant - Old Contract (GP)"),$B107&lt;&gt;""),INDEX(Points_Lookup!$H:$H,MATCH($B107,Points_Lookup!$G:$G,0)),IF(AND(OR($B$4="APM Level 7",$B$4="R&amp;T Level 7",$B$4="APM Level 8"),B107&lt;&gt;""),INDEX(Points_Lookup!$E:$E,MATCH($Y107,Points_Lookup!$AE:$AE,0)),IF($B$4="R&amp;T Level 5 - Clinical Lecturers (Vet School)",SUMIF(Points_Lookup!$M:$M,$B107,Points_Lookup!$P:$P),IF($B$4="R&amp;T Level 6 - Clinical Associate Professors and Clinical Readers (Vet School)",SUMIF(Points_Lookup!$T:$T,$B107,Points_Lookup!$W:$W),IFERROR(INDEX(Points_Lookup!$B:$B,MATCH($Y107,Points_Lookup!$AE:$AE,0)),""))))))))</f>
        <v/>
      </c>
      <c r="D107" s="39"/>
      <c r="E107" s="24" t="str">
        <f ca="1">IF($B107="","",IF(AND($B$4="Salary Points 2 to 57",B107&lt;Thresholds_Rates!$C$16),"-",IF(SUMIF(Grades!$A:$A,$B$4,Grades!$BO:$BO)=0,"-",IF(AND($B$4="Salary Points 2 to 57",B107&gt;=Thresholds_Rates!$C$16),$C107*Thresholds_Rates!$F$15,IF(AND(OR($B$4="New Consultant Contract"),$B107&lt;&gt;""),$C107*Thresholds_Rates!$F$15,IF(AND(OR($B$4="Clinical Lecturer / Medical Research Fellow",$B$4="Clinical Consultant - Old Contract (GP)"),$B107&lt;&gt;""),$C107*Thresholds_Rates!$F$15,IF(OR($B$4="APM Level 7",$B$4="R&amp;T Level 7"),$C107*Thresholds_Rates!$F$15,IF(SUMIF(Grades!$A:$A,$B$4,Grades!$BO:$BO)=1,$C107*Thresholds_Rates!$F$15,""))))))))</f>
        <v/>
      </c>
      <c r="F107" s="24" t="str">
        <f ca="1">IF(B107="","",IF($B$4="Salary Points 1 to 57","-",IF(SUMIF(Grades!$A:$A,$B$4,Grades!$BP:$BP)=0,"-",IF(AND(OR($B$4="New Consultant Contract"),$B107&lt;&gt;""),$C107*Thresholds_Rates!$F$16,IF(AND(OR($B$4="Clinical Lecturer / Medical Research Fellow",$B$4="Clinical Consultant - Old Contract (GP)"),$B107&lt;&gt;""),$C107*Thresholds_Rates!$F$16,IF(AND(OR($B$4="APM Level 7",$B$4="R&amp;T Level 7"),E107&lt;&gt;""),$C107*Thresholds_Rates!$F$16,IF(SUMIF(Grades!$A:$A,$B$4,Grades!$BP:$BP)=1,$C107*Thresholds_Rates!$F$16,"")))))))</f>
        <v/>
      </c>
      <c r="G107" s="24" t="str">
        <f ca="1">IF(B107="","",IF(SUMIF(Grades!$A:$A,$B$4,Grades!$BQ:$BQ)=0,"-",IF(AND($B$4="Salary Points 1 to 57",B107&gt;Thresholds_Rates!$C$17),"-",IF(AND($B$4="Salary Points 1 to 57",B107&lt;=Thresholds_Rates!$C$17),$C107*Thresholds_Rates!$F$17,IF(AND(OR($B$4="New Consultant Contract"),$B107&lt;&gt;""),$C107*Thresholds_Rates!$F$17,IF(AND(OR($B$4="Clinical Lecturer / Medical Research Fellow",$B$4="Clinical Consultant - Old Contract (GP)"),$B107&lt;&gt;""),$C107*Thresholds_Rates!$F$17,IF(AND(OR($B$4="APM Level 7",$B$4="R&amp;T Level 7"),F107&lt;&gt;""),$C107*Thresholds_Rates!$F$17,IF(SUMIF(Grades!$A:$A,$B$4,Grades!$BQ:$BQ)=1,$C107*Thresholds_Rates!$F$17,""))))))))</f>
        <v/>
      </c>
      <c r="H107" s="24"/>
      <c r="I107" s="24"/>
      <c r="J107" s="4"/>
      <c r="K107" s="24" t="str">
        <f t="shared" ca="1" si="7"/>
        <v/>
      </c>
      <c r="L107" s="24" t="str">
        <f t="shared" ca="1" si="8"/>
        <v/>
      </c>
      <c r="M107" s="24" t="str">
        <f t="shared" ca="1" si="9"/>
        <v/>
      </c>
      <c r="N107" s="24" t="str">
        <f t="shared" ca="1" si="10"/>
        <v/>
      </c>
      <c r="O107" s="24" t="str">
        <f t="shared" ca="1" si="11"/>
        <v/>
      </c>
      <c r="Q107" s="27"/>
      <c r="R107" s="28"/>
      <c r="S107" s="27"/>
      <c r="T107" s="28"/>
    </row>
    <row r="108" spans="2:20" x14ac:dyDescent="0.25">
      <c r="B108" s="4" t="str">
        <f ca="1">IFERROR(INDEX(Points_Lookup!$A:$A,MATCH($Y110,Points_Lookup!$AE:$AE,0)),"")</f>
        <v/>
      </c>
      <c r="C108" s="24" t="str">
        <f ca="1">IF(B108="","",IF($B$4="Apprenticeship",SUMIF(Points_Lookup!$AA:$AA,B108,Points_Lookup!$AC:$AC),IF(AND(OR($B$4="New Consultant Contract"),$B108&lt;&gt;""),INDEX(Points_Lookup!$K:$K,MATCH($B108,Points_Lookup!$J:$J,0)),IF(AND(OR($B$4="Clinical Lecturer / Medical Research Fellow",$B$4="Clinical Consultant - Old Contract (GP)"),$B108&lt;&gt;""),INDEX(Points_Lookup!$H:$H,MATCH($B108,Points_Lookup!$G:$G,0)),IF(AND(OR($B$4="APM Level 7",$B$4="R&amp;T Level 7",$B$4="APM Level 8"),B108&lt;&gt;""),INDEX(Points_Lookup!$E:$E,MATCH($Y108,Points_Lookup!$AE:$AE,0)),IF($B$4="R&amp;T Level 5 - Clinical Lecturers (Vet School)",SUMIF(Points_Lookup!$M:$M,$B108,Points_Lookup!$P:$P),IF($B$4="R&amp;T Level 6 - Clinical Associate Professors and Clinical Readers (Vet School)",SUMIF(Points_Lookup!$T:$T,$B108,Points_Lookup!$W:$W),IFERROR(INDEX(Points_Lookup!$B:$B,MATCH($Y108,Points_Lookup!$AE:$AE,0)),""))))))))</f>
        <v/>
      </c>
      <c r="D108" s="39"/>
      <c r="E108" s="24" t="str">
        <f ca="1">IF($B108="","",IF(AND($B$4="Salary Points 2 to 57",B108&lt;Thresholds_Rates!$C$16),"-",IF(SUMIF(Grades!$A:$A,$B$4,Grades!$BO:$BO)=0,"-",IF(AND($B$4="Salary Points 2 to 57",B108&gt;=Thresholds_Rates!$C$16),$C108*Thresholds_Rates!$F$15,IF(AND(OR($B$4="New Consultant Contract"),$B108&lt;&gt;""),$C108*Thresholds_Rates!$F$15,IF(AND(OR($B$4="Clinical Lecturer / Medical Research Fellow",$B$4="Clinical Consultant - Old Contract (GP)"),$B108&lt;&gt;""),$C108*Thresholds_Rates!$F$15,IF(OR($B$4="APM Level 7",$B$4="R&amp;T Level 7"),$C108*Thresholds_Rates!$F$15,IF(SUMIF(Grades!$A:$A,$B$4,Grades!$BO:$BO)=1,$C108*Thresholds_Rates!$F$15,""))))))))</f>
        <v/>
      </c>
      <c r="F108" s="24" t="str">
        <f ca="1">IF(B108="","",IF($B$4="Salary Points 1 to 57","-",IF(SUMIF(Grades!$A:$A,$B$4,Grades!$BP:$BP)=0,"-",IF(AND(OR($B$4="New Consultant Contract"),$B108&lt;&gt;""),$C108*Thresholds_Rates!$F$16,IF(AND(OR($B$4="Clinical Lecturer / Medical Research Fellow",$B$4="Clinical Consultant - Old Contract (GP)"),$B108&lt;&gt;""),$C108*Thresholds_Rates!$F$16,IF(AND(OR($B$4="APM Level 7",$B$4="R&amp;T Level 7"),E108&lt;&gt;""),$C108*Thresholds_Rates!$F$16,IF(SUMIF(Grades!$A:$A,$B$4,Grades!$BP:$BP)=1,$C108*Thresholds_Rates!$F$16,"")))))))</f>
        <v/>
      </c>
      <c r="G108" s="24" t="str">
        <f ca="1">IF(B108="","",IF(SUMIF(Grades!$A:$A,$B$4,Grades!$BQ:$BQ)=0,"-",IF(AND($B$4="Salary Points 1 to 57",B108&gt;Thresholds_Rates!$C$17),"-",IF(AND($B$4="Salary Points 1 to 57",B108&lt;=Thresholds_Rates!$C$17),$C108*Thresholds_Rates!$F$17,IF(AND(OR($B$4="New Consultant Contract"),$B108&lt;&gt;""),$C108*Thresholds_Rates!$F$17,IF(AND(OR($B$4="Clinical Lecturer / Medical Research Fellow",$B$4="Clinical Consultant - Old Contract (GP)"),$B108&lt;&gt;""),$C108*Thresholds_Rates!$F$17,IF(AND(OR($B$4="APM Level 7",$B$4="R&amp;T Level 7"),F108&lt;&gt;""),$C108*Thresholds_Rates!$F$17,IF(SUMIF(Grades!$A:$A,$B$4,Grades!$BQ:$BQ)=1,$C108*Thresholds_Rates!$F$17,""))))))))</f>
        <v/>
      </c>
      <c r="H108" s="24"/>
      <c r="I108" s="24"/>
      <c r="J108" s="4"/>
      <c r="K108" s="24" t="str">
        <f t="shared" ca="1" si="7"/>
        <v/>
      </c>
      <c r="L108" s="24" t="str">
        <f t="shared" ca="1" si="8"/>
        <v/>
      </c>
      <c r="M108" s="24" t="str">
        <f t="shared" ca="1" si="9"/>
        <v/>
      </c>
      <c r="N108" s="24" t="str">
        <f t="shared" ca="1" si="10"/>
        <v/>
      </c>
      <c r="O108" s="24" t="str">
        <f t="shared" ca="1" si="11"/>
        <v/>
      </c>
      <c r="Q108" s="27"/>
      <c r="R108" s="28"/>
      <c r="S108" s="27"/>
      <c r="T108" s="28"/>
    </row>
    <row r="109" spans="2:20" x14ac:dyDescent="0.25">
      <c r="B109" s="4" t="str">
        <f ca="1">IFERROR(INDEX(Points_Lookup!$A:$A,MATCH($Y111,Points_Lookup!$AE:$AE,0)),"")</f>
        <v/>
      </c>
      <c r="C109" s="24" t="str">
        <f ca="1">IF(B109="","",IF($B$4="Apprenticeship",SUMIF(Points_Lookup!$AA:$AA,B109,Points_Lookup!$AC:$AC),IF(AND(OR($B$4="New Consultant Contract"),$B109&lt;&gt;""),INDEX(Points_Lookup!$K:$K,MATCH($B109,Points_Lookup!$J:$J,0)),IF(AND(OR($B$4="Clinical Lecturer / Medical Research Fellow",$B$4="Clinical Consultant - Old Contract (GP)"),$B109&lt;&gt;""),INDEX(Points_Lookup!$H:$H,MATCH($B109,Points_Lookup!$G:$G,0)),IF(AND(OR($B$4="APM Level 7",$B$4="R&amp;T Level 7",$B$4="APM Level 8"),B109&lt;&gt;""),INDEX(Points_Lookup!$E:$E,MATCH($Y109,Points_Lookup!$AE:$AE,0)),IF($B$4="R&amp;T Level 5 - Clinical Lecturers (Vet School)",SUMIF(Points_Lookup!$M:$M,$B109,Points_Lookup!$P:$P),IF($B$4="R&amp;T Level 6 - Clinical Associate Professors and Clinical Readers (Vet School)",SUMIF(Points_Lookup!$T:$T,$B109,Points_Lookup!$W:$W),IFERROR(INDEX(Points_Lookup!$B:$B,MATCH($Y109,Points_Lookup!$AE:$AE,0)),""))))))))</f>
        <v/>
      </c>
      <c r="D109" s="39"/>
      <c r="E109" s="24" t="str">
        <f ca="1">IF($B109="","",IF(AND($B$4="Salary Points 2 to 57",B109&lt;Thresholds_Rates!$C$16),"-",IF(SUMIF(Grades!$A:$A,$B$4,Grades!$BO:$BO)=0,"-",IF(AND($B$4="Salary Points 2 to 57",B109&gt;=Thresholds_Rates!$C$16),$C109*Thresholds_Rates!$F$15,IF(AND(OR($B$4="New Consultant Contract"),$B109&lt;&gt;""),$C109*Thresholds_Rates!$F$15,IF(AND(OR($B$4="Clinical Lecturer / Medical Research Fellow",$B$4="Clinical Consultant - Old Contract (GP)"),$B109&lt;&gt;""),$C109*Thresholds_Rates!$F$15,IF(OR($B$4="APM Level 7",$B$4="R&amp;T Level 7"),$C109*Thresholds_Rates!$F$15,IF(SUMIF(Grades!$A:$A,$B$4,Grades!$BO:$BO)=1,$C109*Thresholds_Rates!$F$15,""))))))))</f>
        <v/>
      </c>
      <c r="F109" s="24" t="str">
        <f ca="1">IF(B109="","",IF($B$4="Salary Points 1 to 57","-",IF(SUMIF(Grades!$A:$A,$B$4,Grades!$BP:$BP)=0,"-",IF(AND(OR($B$4="New Consultant Contract"),$B109&lt;&gt;""),$C109*Thresholds_Rates!$F$16,IF(AND(OR($B$4="Clinical Lecturer / Medical Research Fellow",$B$4="Clinical Consultant - Old Contract (GP)"),$B109&lt;&gt;""),$C109*Thresholds_Rates!$F$16,IF(AND(OR($B$4="APM Level 7",$B$4="R&amp;T Level 7"),E109&lt;&gt;""),$C109*Thresholds_Rates!$F$16,IF(SUMIF(Grades!$A:$A,$B$4,Grades!$BP:$BP)=1,$C109*Thresholds_Rates!$F$16,"")))))))</f>
        <v/>
      </c>
      <c r="G109" s="24" t="str">
        <f ca="1">IF(B109="","",IF(SUMIF(Grades!$A:$A,$B$4,Grades!$BQ:$BQ)=0,"-",IF(AND($B$4="Salary Points 1 to 57",B109&gt;Thresholds_Rates!$C$17),"-",IF(AND($B$4="Salary Points 1 to 57",B109&lt;=Thresholds_Rates!$C$17),$C109*Thresholds_Rates!$F$17,IF(AND(OR($B$4="New Consultant Contract"),$B109&lt;&gt;""),$C109*Thresholds_Rates!$F$17,IF(AND(OR($B$4="Clinical Lecturer / Medical Research Fellow",$B$4="Clinical Consultant - Old Contract (GP)"),$B109&lt;&gt;""),$C109*Thresholds_Rates!$F$17,IF(AND(OR($B$4="APM Level 7",$B$4="R&amp;T Level 7"),F109&lt;&gt;""),$C109*Thresholds_Rates!$F$17,IF(SUMIF(Grades!$A:$A,$B$4,Grades!$BQ:$BQ)=1,$C109*Thresholds_Rates!$F$17,""))))))))</f>
        <v/>
      </c>
      <c r="H109" s="24"/>
      <c r="I109" s="24"/>
      <c r="J109" s="4"/>
      <c r="K109" s="24" t="str">
        <f t="shared" ca="1" si="7"/>
        <v/>
      </c>
      <c r="L109" s="24" t="str">
        <f t="shared" ca="1" si="8"/>
        <v/>
      </c>
      <c r="M109" s="24" t="str">
        <f t="shared" ca="1" si="9"/>
        <v/>
      </c>
      <c r="N109" s="24" t="str">
        <f t="shared" ca="1" si="10"/>
        <v/>
      </c>
      <c r="O109" s="24" t="str">
        <f t="shared" ca="1" si="11"/>
        <v/>
      </c>
      <c r="Q109" s="27"/>
      <c r="R109" s="28"/>
      <c r="S109" s="27"/>
      <c r="T109" s="28"/>
    </row>
    <row r="110" spans="2:20" x14ac:dyDescent="0.25">
      <c r="B110" s="4" t="str">
        <f ca="1">IFERROR(INDEX(Points_Lookup!$A:$A,MATCH($Y112,Points_Lookup!$AE:$AE,0)),"")</f>
        <v/>
      </c>
      <c r="C110" s="24" t="str">
        <f ca="1">IF(B110="","",IF($B$4="Apprenticeship",SUMIF(Points_Lookup!$AA:$AA,B110,Points_Lookup!$AC:$AC),IF(AND(OR($B$4="New Consultant Contract"),$B110&lt;&gt;""),INDEX(Points_Lookup!$K:$K,MATCH($B110,Points_Lookup!$J:$J,0)),IF(AND(OR($B$4="Clinical Lecturer / Medical Research Fellow",$B$4="Clinical Consultant - Old Contract (GP)"),$B110&lt;&gt;""),INDEX(Points_Lookup!$H:$H,MATCH($B110,Points_Lookup!$G:$G,0)),IF(AND(OR($B$4="APM Level 7",$B$4="R&amp;T Level 7",$B$4="APM Level 8"),B110&lt;&gt;""),INDEX(Points_Lookup!$E:$E,MATCH($Y110,Points_Lookup!$AE:$AE,0)),IF($B$4="R&amp;T Level 5 - Clinical Lecturers (Vet School)",SUMIF(Points_Lookup!$M:$M,$B110,Points_Lookup!$P:$P),IF($B$4="R&amp;T Level 6 - Clinical Associate Professors and Clinical Readers (Vet School)",SUMIF(Points_Lookup!$T:$T,$B110,Points_Lookup!$W:$W),IFERROR(INDEX(Points_Lookup!$B:$B,MATCH($Y110,Points_Lookup!$AE:$AE,0)),""))))))))</f>
        <v/>
      </c>
      <c r="D110" s="39"/>
      <c r="E110" s="24" t="str">
        <f ca="1">IF($B110="","",IF(AND($B$4="Salary Points 2 to 57",B110&lt;Thresholds_Rates!$C$16),"-",IF(SUMIF(Grades!$A:$A,$B$4,Grades!$BO:$BO)=0,"-",IF(AND($B$4="Salary Points 2 to 57",B110&gt;=Thresholds_Rates!$C$16),$C110*Thresholds_Rates!$F$15,IF(AND(OR($B$4="New Consultant Contract"),$B110&lt;&gt;""),$C110*Thresholds_Rates!$F$15,IF(AND(OR($B$4="Clinical Lecturer / Medical Research Fellow",$B$4="Clinical Consultant - Old Contract (GP)"),$B110&lt;&gt;""),$C110*Thresholds_Rates!$F$15,IF(OR($B$4="APM Level 7",$B$4="R&amp;T Level 7"),$C110*Thresholds_Rates!$F$15,IF(SUMIF(Grades!$A:$A,$B$4,Grades!$BO:$BO)=1,$C110*Thresholds_Rates!$F$15,""))))))))</f>
        <v/>
      </c>
      <c r="F110" s="24" t="str">
        <f ca="1">IF(B110="","",IF($B$4="Salary Points 1 to 57","-",IF(SUMIF(Grades!$A:$A,$B$4,Grades!$BP:$BP)=0,"-",IF(AND(OR($B$4="New Consultant Contract"),$B110&lt;&gt;""),$C110*Thresholds_Rates!$F$16,IF(AND(OR($B$4="Clinical Lecturer / Medical Research Fellow",$B$4="Clinical Consultant - Old Contract (GP)"),$B110&lt;&gt;""),$C110*Thresholds_Rates!$F$16,IF(AND(OR($B$4="APM Level 7",$B$4="R&amp;T Level 7"),E110&lt;&gt;""),$C110*Thresholds_Rates!$F$16,IF(SUMIF(Grades!$A:$A,$B$4,Grades!$BP:$BP)=1,$C110*Thresholds_Rates!$F$16,"")))))))</f>
        <v/>
      </c>
      <c r="G110" s="24" t="str">
        <f ca="1">IF(B110="","",IF(SUMIF(Grades!$A:$A,$B$4,Grades!$BQ:$BQ)=0,"-",IF(AND($B$4="Salary Points 1 to 57",B110&gt;Thresholds_Rates!$C$17),"-",IF(AND($B$4="Salary Points 1 to 57",B110&lt;=Thresholds_Rates!$C$17),$C110*Thresholds_Rates!$F$17,IF(AND(OR($B$4="New Consultant Contract"),$B110&lt;&gt;""),$C110*Thresholds_Rates!$F$17,IF(AND(OR($B$4="Clinical Lecturer / Medical Research Fellow",$B$4="Clinical Consultant - Old Contract (GP)"),$B110&lt;&gt;""),$C110*Thresholds_Rates!$F$17,IF(AND(OR($B$4="APM Level 7",$B$4="R&amp;T Level 7"),F110&lt;&gt;""),$C110*Thresholds_Rates!$F$17,IF(SUMIF(Grades!$A:$A,$B$4,Grades!$BQ:$BQ)=1,$C110*Thresholds_Rates!$F$17,""))))))))</f>
        <v/>
      </c>
      <c r="H110" s="24"/>
      <c r="I110" s="24"/>
      <c r="J110" s="4"/>
      <c r="K110" s="24" t="str">
        <f t="shared" ca="1" si="7"/>
        <v/>
      </c>
      <c r="L110" s="24" t="str">
        <f t="shared" ca="1" si="8"/>
        <v/>
      </c>
      <c r="M110" s="24" t="str">
        <f t="shared" ca="1" si="9"/>
        <v/>
      </c>
      <c r="N110" s="24" t="str">
        <f t="shared" ca="1" si="10"/>
        <v/>
      </c>
      <c r="O110" s="24" t="str">
        <f t="shared" ca="1" si="11"/>
        <v/>
      </c>
      <c r="Q110" s="27"/>
      <c r="R110" s="28"/>
      <c r="S110" s="27"/>
      <c r="T110" s="28"/>
    </row>
    <row r="111" spans="2:20" x14ac:dyDescent="0.25">
      <c r="B111" s="4" t="str">
        <f ca="1">IFERROR(INDEX(Points_Lookup!$A:$A,MATCH($Y113,Points_Lookup!$AE:$AE,0)),"")</f>
        <v/>
      </c>
      <c r="C111" s="24" t="str">
        <f ca="1">IF(B111="","",IF($B$4="Apprenticeship",SUMIF(Points_Lookup!$AA:$AA,B111,Points_Lookup!$AC:$AC),IF(AND(OR($B$4="New Consultant Contract"),$B111&lt;&gt;""),INDEX(Points_Lookup!$K:$K,MATCH($B111,Points_Lookup!$J:$J,0)),IF(AND(OR($B$4="Clinical Lecturer / Medical Research Fellow",$B$4="Clinical Consultant - Old Contract (GP)"),$B111&lt;&gt;""),INDEX(Points_Lookup!$H:$H,MATCH($B111,Points_Lookup!$G:$G,0)),IF(AND(OR($B$4="APM Level 7",$B$4="R&amp;T Level 7",$B$4="APM Level 8"),B111&lt;&gt;""),INDEX(Points_Lookup!$E:$E,MATCH($Y111,Points_Lookup!$AE:$AE,0)),IF($B$4="R&amp;T Level 5 - Clinical Lecturers (Vet School)",SUMIF(Points_Lookup!$M:$M,$B111,Points_Lookup!$P:$P),IF($B$4="R&amp;T Level 6 - Clinical Associate Professors and Clinical Readers (Vet School)",SUMIF(Points_Lookup!$T:$T,$B111,Points_Lookup!$W:$W),IFERROR(INDEX(Points_Lookup!$B:$B,MATCH($Y111,Points_Lookup!$AE:$AE,0)),""))))))))</f>
        <v/>
      </c>
      <c r="D111" s="39"/>
      <c r="E111" s="24" t="str">
        <f ca="1">IF($B111="","",IF(AND($B$4="Salary Points 2 to 57",B111&lt;Thresholds_Rates!$C$16),"-",IF(SUMIF(Grades!$A:$A,$B$4,Grades!$BO:$BO)=0,"-",IF(AND($B$4="Salary Points 2 to 57",B111&gt;=Thresholds_Rates!$C$16),$C111*Thresholds_Rates!$F$15,IF(AND(OR($B$4="New Consultant Contract"),$B111&lt;&gt;""),$C111*Thresholds_Rates!$F$15,IF(AND(OR($B$4="Clinical Lecturer / Medical Research Fellow",$B$4="Clinical Consultant - Old Contract (GP)"),$B111&lt;&gt;""),$C111*Thresholds_Rates!$F$15,IF(OR($B$4="APM Level 7",$B$4="R&amp;T Level 7"),$C111*Thresholds_Rates!$F$15,IF(SUMIF(Grades!$A:$A,$B$4,Grades!$BO:$BO)=1,$C111*Thresholds_Rates!$F$15,""))))))))</f>
        <v/>
      </c>
      <c r="F111" s="24" t="str">
        <f ca="1">IF(B111="","",IF($B$4="Salary Points 1 to 57","-",IF(SUMIF(Grades!$A:$A,$B$4,Grades!$BP:$BP)=0,"-",IF(AND(OR($B$4="New Consultant Contract"),$B111&lt;&gt;""),$C111*Thresholds_Rates!$F$16,IF(AND(OR($B$4="Clinical Lecturer / Medical Research Fellow",$B$4="Clinical Consultant - Old Contract (GP)"),$B111&lt;&gt;""),$C111*Thresholds_Rates!$F$16,IF(AND(OR($B$4="APM Level 7",$B$4="R&amp;T Level 7"),E111&lt;&gt;""),$C111*Thresholds_Rates!$F$16,IF(SUMIF(Grades!$A:$A,$B$4,Grades!$BP:$BP)=1,$C111*Thresholds_Rates!$F$16,"")))))))</f>
        <v/>
      </c>
      <c r="G111" s="24" t="str">
        <f ca="1">IF(B111="","",IF(SUMIF(Grades!$A:$A,$B$4,Grades!$BQ:$BQ)=0,"-",IF(AND($B$4="Salary Points 1 to 57",B111&gt;Thresholds_Rates!$C$17),"-",IF(AND($B$4="Salary Points 1 to 57",B111&lt;=Thresholds_Rates!$C$17),$C111*Thresholds_Rates!$F$17,IF(AND(OR($B$4="New Consultant Contract"),$B111&lt;&gt;""),$C111*Thresholds_Rates!$F$17,IF(AND(OR($B$4="Clinical Lecturer / Medical Research Fellow",$B$4="Clinical Consultant - Old Contract (GP)"),$B111&lt;&gt;""),$C111*Thresholds_Rates!$F$17,IF(AND(OR($B$4="APM Level 7",$B$4="R&amp;T Level 7"),F111&lt;&gt;""),$C111*Thresholds_Rates!$F$17,IF(SUMIF(Grades!$A:$A,$B$4,Grades!$BQ:$BQ)=1,$C111*Thresholds_Rates!$F$17,""))))))))</f>
        <v/>
      </c>
      <c r="H111" s="24"/>
      <c r="I111" s="24"/>
      <c r="J111" s="4"/>
      <c r="K111" s="24" t="str">
        <f t="shared" ca="1" si="7"/>
        <v/>
      </c>
      <c r="L111" s="24" t="str">
        <f t="shared" ca="1" si="8"/>
        <v/>
      </c>
      <c r="M111" s="24" t="str">
        <f t="shared" ca="1" si="9"/>
        <v/>
      </c>
      <c r="N111" s="24" t="str">
        <f t="shared" ca="1" si="10"/>
        <v/>
      </c>
      <c r="O111" s="24" t="str">
        <f t="shared" ca="1" si="11"/>
        <v/>
      </c>
      <c r="Q111" s="27"/>
      <c r="R111" s="28"/>
      <c r="S111" s="27"/>
      <c r="T111" s="28"/>
    </row>
    <row r="112" spans="2:20" x14ac:dyDescent="0.25">
      <c r="B112" s="4" t="str">
        <f ca="1">IFERROR(INDEX(Points_Lookup!$A:$A,MATCH($Y114,Points_Lookup!$AE:$AE,0)),"")</f>
        <v/>
      </c>
      <c r="C112" s="24" t="str">
        <f ca="1">IF(B112="","",IF($B$4="Apprenticeship",SUMIF(Points_Lookup!$AA:$AA,B112,Points_Lookup!$AC:$AC),IF(AND(OR($B$4="New Consultant Contract"),$B112&lt;&gt;""),INDEX(Points_Lookup!$K:$K,MATCH($B112,Points_Lookup!$J:$J,0)),IF(AND(OR($B$4="Clinical Lecturer / Medical Research Fellow",$B$4="Clinical Consultant - Old Contract (GP)"),$B112&lt;&gt;""),INDEX(Points_Lookup!$H:$H,MATCH($B112,Points_Lookup!$G:$G,0)),IF(AND(OR($B$4="APM Level 7",$B$4="R&amp;T Level 7",$B$4="APM Level 8"),B112&lt;&gt;""),INDEX(Points_Lookup!$E:$E,MATCH($Y112,Points_Lookup!$AE:$AE,0)),IF($B$4="R&amp;T Level 5 - Clinical Lecturers (Vet School)",SUMIF(Points_Lookup!$M:$M,$B112,Points_Lookup!$P:$P),IF($B$4="R&amp;T Level 6 - Clinical Associate Professors and Clinical Readers (Vet School)",SUMIF(Points_Lookup!$T:$T,$B112,Points_Lookup!$W:$W),IFERROR(INDEX(Points_Lookup!$B:$B,MATCH($Y112,Points_Lookup!$AE:$AE,0)),""))))))))</f>
        <v/>
      </c>
      <c r="D112" s="39"/>
      <c r="E112" s="24" t="str">
        <f ca="1">IF($B112="","",IF(AND($B$4="Salary Points 2 to 57",B112&lt;Thresholds_Rates!$C$16),"-",IF(SUMIF(Grades!$A:$A,$B$4,Grades!$BO:$BO)=0,"-",IF(AND($B$4="Salary Points 2 to 57",B112&gt;=Thresholds_Rates!$C$16),$C112*Thresholds_Rates!$F$15,IF(AND(OR($B$4="New Consultant Contract"),$B112&lt;&gt;""),$C112*Thresholds_Rates!$F$15,IF(AND(OR($B$4="Clinical Lecturer / Medical Research Fellow",$B$4="Clinical Consultant - Old Contract (GP)"),$B112&lt;&gt;""),$C112*Thresholds_Rates!$F$15,IF(OR($B$4="APM Level 7",$B$4="R&amp;T Level 7"),$C112*Thresholds_Rates!$F$15,IF(SUMIF(Grades!$A:$A,$B$4,Grades!$BO:$BO)=1,$C112*Thresholds_Rates!$F$15,""))))))))</f>
        <v/>
      </c>
      <c r="F112" s="24" t="str">
        <f ca="1">IF(B112="","",IF($B$4="Salary Points 1 to 57","-",IF(SUMIF(Grades!$A:$A,$B$4,Grades!$BP:$BP)=0,"-",IF(AND(OR($B$4="New Consultant Contract"),$B112&lt;&gt;""),$C112*Thresholds_Rates!$F$16,IF(AND(OR($B$4="Clinical Lecturer / Medical Research Fellow",$B$4="Clinical Consultant - Old Contract (GP)"),$B112&lt;&gt;""),$C112*Thresholds_Rates!$F$16,IF(AND(OR($B$4="APM Level 7",$B$4="R&amp;T Level 7"),E112&lt;&gt;""),$C112*Thresholds_Rates!$F$16,IF(SUMIF(Grades!$A:$A,$B$4,Grades!$BP:$BP)=1,$C112*Thresholds_Rates!$F$16,"")))))))</f>
        <v/>
      </c>
      <c r="G112" s="24" t="str">
        <f ca="1">IF(B112="","",IF(SUMIF(Grades!$A:$A,$B$4,Grades!$BQ:$BQ)=0,"-",IF(AND($B$4="Salary Points 1 to 57",B112&gt;Thresholds_Rates!$C$17),"-",IF(AND($B$4="Salary Points 1 to 57",B112&lt;=Thresholds_Rates!$C$17),$C112*Thresholds_Rates!$F$17,IF(AND(OR($B$4="New Consultant Contract"),$B112&lt;&gt;""),$C112*Thresholds_Rates!$F$17,IF(AND(OR($B$4="Clinical Lecturer / Medical Research Fellow",$B$4="Clinical Consultant - Old Contract (GP)"),$B112&lt;&gt;""),$C112*Thresholds_Rates!$F$17,IF(AND(OR($B$4="APM Level 7",$B$4="R&amp;T Level 7"),F112&lt;&gt;""),$C112*Thresholds_Rates!$F$17,IF(SUMIF(Grades!$A:$A,$B$4,Grades!$BQ:$BQ)=1,$C112*Thresholds_Rates!$F$17,""))))))))</f>
        <v/>
      </c>
      <c r="H112" s="24"/>
      <c r="I112" s="24"/>
      <c r="J112" s="4"/>
      <c r="K112" s="24" t="str">
        <f t="shared" ca="1" si="7"/>
        <v/>
      </c>
      <c r="L112" s="24" t="str">
        <f t="shared" ca="1" si="8"/>
        <v/>
      </c>
      <c r="M112" s="24" t="str">
        <f t="shared" ca="1" si="9"/>
        <v/>
      </c>
      <c r="N112" s="24" t="str">
        <f t="shared" ca="1" si="10"/>
        <v/>
      </c>
      <c r="O112" s="24" t="str">
        <f t="shared" ca="1" si="11"/>
        <v/>
      </c>
      <c r="Q112" s="27"/>
      <c r="R112" s="28"/>
      <c r="S112" s="27"/>
      <c r="T112" s="28"/>
    </row>
    <row r="113" spans="2:20" x14ac:dyDescent="0.25">
      <c r="B113" s="4" t="str">
        <f ca="1">IFERROR(INDEX(Points_Lookup!$A:$A,MATCH($Y115,Points_Lookup!$AE:$AE,0)),"")</f>
        <v/>
      </c>
      <c r="C113" s="24" t="str">
        <f ca="1">IF(B113="","",IF($B$4="Apprenticeship",SUMIF(Points_Lookup!$AA:$AA,B113,Points_Lookup!$AC:$AC),IF(AND(OR($B$4="New Consultant Contract"),$B113&lt;&gt;""),INDEX(Points_Lookup!$K:$K,MATCH($B113,Points_Lookup!$J:$J,0)),IF(AND(OR($B$4="Clinical Lecturer / Medical Research Fellow",$B$4="Clinical Consultant - Old Contract (GP)"),$B113&lt;&gt;""),INDEX(Points_Lookup!$H:$H,MATCH($B113,Points_Lookup!$G:$G,0)),IF(AND(OR($B$4="APM Level 7",$B$4="R&amp;T Level 7",$B$4="APM Level 8"),B113&lt;&gt;""),INDEX(Points_Lookup!$E:$E,MATCH($Y113,Points_Lookup!$AE:$AE,0)),IF($B$4="R&amp;T Level 5 - Clinical Lecturers (Vet School)",SUMIF(Points_Lookup!$M:$M,$B113,Points_Lookup!$P:$P),IF($B$4="R&amp;T Level 6 - Clinical Associate Professors and Clinical Readers (Vet School)",SUMIF(Points_Lookup!$T:$T,$B113,Points_Lookup!$W:$W),IFERROR(INDEX(Points_Lookup!$B:$B,MATCH($Y113,Points_Lookup!$AE:$AE,0)),""))))))))</f>
        <v/>
      </c>
      <c r="D113" s="39"/>
      <c r="E113" s="24" t="str">
        <f ca="1">IF($B113="","",IF(AND($B$4="Salary Points 2 to 57",B113&lt;Thresholds_Rates!$C$16),"-",IF(SUMIF(Grades!$A:$A,$B$4,Grades!$BO:$BO)=0,"-",IF(AND($B$4="Salary Points 2 to 57",B113&gt;=Thresholds_Rates!$C$16),$C113*Thresholds_Rates!$F$15,IF(AND(OR($B$4="New Consultant Contract"),$B113&lt;&gt;""),$C113*Thresholds_Rates!$F$15,IF(AND(OR($B$4="Clinical Lecturer / Medical Research Fellow",$B$4="Clinical Consultant - Old Contract (GP)"),$B113&lt;&gt;""),$C113*Thresholds_Rates!$F$15,IF(OR($B$4="APM Level 7",$B$4="R&amp;T Level 7"),$C113*Thresholds_Rates!$F$15,IF(SUMIF(Grades!$A:$A,$B$4,Grades!$BO:$BO)=1,$C113*Thresholds_Rates!$F$15,""))))))))</f>
        <v/>
      </c>
      <c r="F113" s="24" t="str">
        <f ca="1">IF(B113="","",IF($B$4="Salary Points 1 to 57","-",IF(SUMIF(Grades!$A:$A,$B$4,Grades!$BP:$BP)=0,"-",IF(AND(OR($B$4="New Consultant Contract"),$B113&lt;&gt;""),$C113*Thresholds_Rates!$F$16,IF(AND(OR($B$4="Clinical Lecturer / Medical Research Fellow",$B$4="Clinical Consultant - Old Contract (GP)"),$B113&lt;&gt;""),$C113*Thresholds_Rates!$F$16,IF(AND(OR($B$4="APM Level 7",$B$4="R&amp;T Level 7"),E113&lt;&gt;""),$C113*Thresholds_Rates!$F$16,IF(SUMIF(Grades!$A:$A,$B$4,Grades!$BP:$BP)=1,$C113*Thresholds_Rates!$F$16,"")))))))</f>
        <v/>
      </c>
      <c r="G113" s="24" t="str">
        <f ca="1">IF(B113="","",IF(SUMIF(Grades!$A:$A,$B$4,Grades!$BQ:$BQ)=0,"-",IF(AND($B$4="Salary Points 1 to 57",B113&gt;Thresholds_Rates!$C$17),"-",IF(AND($B$4="Salary Points 1 to 57",B113&lt;=Thresholds_Rates!$C$17),$C113*Thresholds_Rates!$F$17,IF(AND(OR($B$4="New Consultant Contract"),$B113&lt;&gt;""),$C113*Thresholds_Rates!$F$17,IF(AND(OR($B$4="Clinical Lecturer / Medical Research Fellow",$B$4="Clinical Consultant - Old Contract (GP)"),$B113&lt;&gt;""),$C113*Thresholds_Rates!$F$17,IF(AND(OR($B$4="APM Level 7",$B$4="R&amp;T Level 7"),F113&lt;&gt;""),$C113*Thresholds_Rates!$F$17,IF(SUMIF(Grades!$A:$A,$B$4,Grades!$BQ:$BQ)=1,$C113*Thresholds_Rates!$F$17,""))))))))</f>
        <v/>
      </c>
      <c r="H113" s="24"/>
      <c r="I113" s="24"/>
      <c r="J113" s="4"/>
      <c r="K113" s="24" t="str">
        <f t="shared" ca="1" si="7"/>
        <v/>
      </c>
      <c r="L113" s="24" t="str">
        <f t="shared" ca="1" si="8"/>
        <v/>
      </c>
      <c r="M113" s="24" t="str">
        <f t="shared" ca="1" si="9"/>
        <v/>
      </c>
      <c r="N113" s="24" t="str">
        <f t="shared" ca="1" si="10"/>
        <v/>
      </c>
      <c r="O113" s="24" t="str">
        <f t="shared" ca="1" si="11"/>
        <v/>
      </c>
      <c r="Q113" s="27"/>
      <c r="R113" s="28"/>
      <c r="S113" s="27"/>
      <c r="T113" s="28"/>
    </row>
    <row r="114" spans="2:20" x14ac:dyDescent="0.25">
      <c r="B114" s="4" t="str">
        <f ca="1">IFERROR(INDEX(Points_Lookup!$A:$A,MATCH($Y116,Points_Lookup!$AE:$AE,0)),"")</f>
        <v/>
      </c>
      <c r="C114" s="24" t="str">
        <f ca="1">IF(B114="","",IF($B$4="Apprenticeship",SUMIF(Points_Lookup!$AA:$AA,B114,Points_Lookup!$AC:$AC),IF(AND(OR($B$4="New Consultant Contract"),$B114&lt;&gt;""),INDEX(Points_Lookup!$K:$K,MATCH($B114,Points_Lookup!$J:$J,0)),IF(AND(OR($B$4="Clinical Lecturer / Medical Research Fellow",$B$4="Clinical Consultant - Old Contract (GP)"),$B114&lt;&gt;""),INDEX(Points_Lookup!$H:$H,MATCH($B114,Points_Lookup!$G:$G,0)),IF(AND(OR($B$4="APM Level 7",$B$4="R&amp;T Level 7",$B$4="APM Level 8"),B114&lt;&gt;""),INDEX(Points_Lookup!$E:$E,MATCH($Y114,Points_Lookup!$AE:$AE,0)),IF($B$4="R&amp;T Level 5 - Clinical Lecturers (Vet School)",SUMIF(Points_Lookup!$M:$M,$B114,Points_Lookup!$P:$P),IF($B$4="R&amp;T Level 6 - Clinical Associate Professors and Clinical Readers (Vet School)",SUMIF(Points_Lookup!$T:$T,$B114,Points_Lookup!$W:$W),IFERROR(INDEX(Points_Lookup!$B:$B,MATCH($Y114,Points_Lookup!$AE:$AE,0)),""))))))))</f>
        <v/>
      </c>
      <c r="D114" s="39"/>
      <c r="E114" s="24" t="str">
        <f ca="1">IF($B114="","",IF(AND($B$4="Salary Points 2 to 57",B114&lt;Thresholds_Rates!$C$16),"-",IF(SUMIF(Grades!$A:$A,$B$4,Grades!$BO:$BO)=0,"-",IF(AND($B$4="Salary Points 2 to 57",B114&gt;=Thresholds_Rates!$C$16),$C114*Thresholds_Rates!$F$15,IF(AND(OR($B$4="New Consultant Contract"),$B114&lt;&gt;""),$C114*Thresholds_Rates!$F$15,IF(AND(OR($B$4="Clinical Lecturer / Medical Research Fellow",$B$4="Clinical Consultant - Old Contract (GP)"),$B114&lt;&gt;""),$C114*Thresholds_Rates!$F$15,IF(OR($B$4="APM Level 7",$B$4="R&amp;T Level 7"),$C114*Thresholds_Rates!$F$15,IF(SUMIF(Grades!$A:$A,$B$4,Grades!$BO:$BO)=1,$C114*Thresholds_Rates!$F$15,""))))))))</f>
        <v/>
      </c>
      <c r="F114" s="24" t="str">
        <f ca="1">IF(B114="","",IF($B$4="Salary Points 1 to 57","-",IF(SUMIF(Grades!$A:$A,$B$4,Grades!$BP:$BP)=0,"-",IF(AND(OR($B$4="New Consultant Contract"),$B114&lt;&gt;""),$C114*Thresholds_Rates!$F$16,IF(AND(OR($B$4="Clinical Lecturer / Medical Research Fellow",$B$4="Clinical Consultant - Old Contract (GP)"),$B114&lt;&gt;""),$C114*Thresholds_Rates!$F$16,IF(AND(OR($B$4="APM Level 7",$B$4="R&amp;T Level 7"),E114&lt;&gt;""),$C114*Thresholds_Rates!$F$16,IF(SUMIF(Grades!$A:$A,$B$4,Grades!$BP:$BP)=1,$C114*Thresholds_Rates!$F$16,"")))))))</f>
        <v/>
      </c>
      <c r="G114" s="24" t="str">
        <f ca="1">IF(B114="","",IF(SUMIF(Grades!$A:$A,$B$4,Grades!$BQ:$BQ)=0,"-",IF(AND($B$4="Salary Points 1 to 57",B114&gt;Thresholds_Rates!$C$17),"-",IF(AND($B$4="Salary Points 1 to 57",B114&lt;=Thresholds_Rates!$C$17),$C114*Thresholds_Rates!$F$17,IF(AND(OR($B$4="New Consultant Contract"),$B114&lt;&gt;""),$C114*Thresholds_Rates!$F$17,IF(AND(OR($B$4="Clinical Lecturer / Medical Research Fellow",$B$4="Clinical Consultant - Old Contract (GP)"),$B114&lt;&gt;""),$C114*Thresholds_Rates!$F$17,IF(AND(OR($B$4="APM Level 7",$B$4="R&amp;T Level 7"),F114&lt;&gt;""),$C114*Thresholds_Rates!$F$17,IF(SUMIF(Grades!$A:$A,$B$4,Grades!$BQ:$BQ)=1,$C114*Thresholds_Rates!$F$17,""))))))))</f>
        <v/>
      </c>
      <c r="H114" s="24"/>
      <c r="I114" s="24"/>
      <c r="J114" s="4"/>
      <c r="K114" s="24" t="str">
        <f t="shared" ca="1" si="7"/>
        <v/>
      </c>
      <c r="L114" s="24" t="str">
        <f t="shared" ca="1" si="8"/>
        <v/>
      </c>
      <c r="M114" s="24" t="str">
        <f t="shared" ca="1" si="9"/>
        <v/>
      </c>
      <c r="N114" s="24" t="str">
        <f t="shared" ca="1" si="10"/>
        <v/>
      </c>
      <c r="O114" s="24" t="str">
        <f t="shared" ca="1" si="11"/>
        <v/>
      </c>
      <c r="Q114" s="27"/>
      <c r="R114" s="28"/>
      <c r="S114" s="27"/>
      <c r="T114" s="28"/>
    </row>
    <row r="115" spans="2:20" x14ac:dyDescent="0.25">
      <c r="B115" s="4" t="str">
        <f ca="1">IFERROR(INDEX(Points_Lookup!$A:$A,MATCH($Y117,Points_Lookup!$AE:$AE,0)),"")</f>
        <v/>
      </c>
      <c r="C115" s="24" t="str">
        <f ca="1">IF(B115="","",IF($B$4="Apprenticeship",SUMIF(Points_Lookup!$AA:$AA,B115,Points_Lookup!$AC:$AC),IF(AND(OR($B$4="New Consultant Contract"),$B115&lt;&gt;""),INDEX(Points_Lookup!$K:$K,MATCH($B115,Points_Lookup!$J:$J,0)),IF(AND(OR($B$4="Clinical Lecturer / Medical Research Fellow",$B$4="Clinical Consultant - Old Contract (GP)"),$B115&lt;&gt;""),INDEX(Points_Lookup!$H:$H,MATCH($B115,Points_Lookup!$G:$G,0)),IF(AND(OR($B$4="APM Level 7",$B$4="R&amp;T Level 7",$B$4="APM Level 8"),B115&lt;&gt;""),INDEX(Points_Lookup!$E:$E,MATCH($Y115,Points_Lookup!$AE:$AE,0)),IF($B$4="R&amp;T Level 5 - Clinical Lecturers (Vet School)",SUMIF(Points_Lookup!$M:$M,$B115,Points_Lookup!$P:$P),IF($B$4="R&amp;T Level 6 - Clinical Associate Professors and Clinical Readers (Vet School)",SUMIF(Points_Lookup!$T:$T,$B115,Points_Lookup!$W:$W),IFERROR(INDEX(Points_Lookup!$B:$B,MATCH($Y115,Points_Lookup!$AE:$AE,0)),""))))))))</f>
        <v/>
      </c>
      <c r="D115" s="39"/>
      <c r="E115" s="24" t="str">
        <f ca="1">IF($B115="","",IF(AND($B$4="Salary Points 2 to 57",B115&lt;Thresholds_Rates!$C$16),"-",IF(SUMIF(Grades!$A:$A,$B$4,Grades!$BO:$BO)=0,"-",IF(AND($B$4="Salary Points 2 to 57",B115&gt;=Thresholds_Rates!$C$16),$C115*Thresholds_Rates!$F$15,IF(AND(OR($B$4="New Consultant Contract"),$B115&lt;&gt;""),$C115*Thresholds_Rates!$F$15,IF(AND(OR($B$4="Clinical Lecturer / Medical Research Fellow",$B$4="Clinical Consultant - Old Contract (GP)"),$B115&lt;&gt;""),$C115*Thresholds_Rates!$F$15,IF(OR($B$4="APM Level 7",$B$4="R&amp;T Level 7"),$C115*Thresholds_Rates!$F$15,IF(SUMIF(Grades!$A:$A,$B$4,Grades!$BO:$BO)=1,$C115*Thresholds_Rates!$F$15,""))))))))</f>
        <v/>
      </c>
      <c r="F115" s="24" t="str">
        <f ca="1">IF(B115="","",IF($B$4="Salary Points 1 to 57","-",IF(SUMIF(Grades!$A:$A,$B$4,Grades!$BP:$BP)=0,"-",IF(AND(OR($B$4="New Consultant Contract"),$B115&lt;&gt;""),$C115*Thresholds_Rates!$F$16,IF(AND(OR($B$4="Clinical Lecturer / Medical Research Fellow",$B$4="Clinical Consultant - Old Contract (GP)"),$B115&lt;&gt;""),$C115*Thresholds_Rates!$F$16,IF(AND(OR($B$4="APM Level 7",$B$4="R&amp;T Level 7"),E115&lt;&gt;""),$C115*Thresholds_Rates!$F$16,IF(SUMIF(Grades!$A:$A,$B$4,Grades!$BP:$BP)=1,$C115*Thresholds_Rates!$F$16,"")))))))</f>
        <v/>
      </c>
      <c r="G115" s="24" t="str">
        <f ca="1">IF(B115="","",IF(SUMIF(Grades!$A:$A,$B$4,Grades!$BQ:$BQ)=0,"-",IF(AND($B$4="Salary Points 1 to 57",B115&gt;Thresholds_Rates!$C$17),"-",IF(AND($B$4="Salary Points 1 to 57",B115&lt;=Thresholds_Rates!$C$17),$C115*Thresholds_Rates!$F$17,IF(AND(OR($B$4="New Consultant Contract"),$B115&lt;&gt;""),$C115*Thresholds_Rates!$F$17,IF(AND(OR($B$4="Clinical Lecturer / Medical Research Fellow",$B$4="Clinical Consultant - Old Contract (GP)"),$B115&lt;&gt;""),$C115*Thresholds_Rates!$F$17,IF(AND(OR($B$4="APM Level 7",$B$4="R&amp;T Level 7"),F115&lt;&gt;""),$C115*Thresholds_Rates!$F$17,IF(SUMIF(Grades!$A:$A,$B$4,Grades!$BQ:$BQ)=1,$C115*Thresholds_Rates!$F$17,""))))))))</f>
        <v/>
      </c>
      <c r="H115" s="24"/>
      <c r="I115" s="24"/>
      <c r="J115" s="4"/>
      <c r="K115" s="24" t="str">
        <f t="shared" ca="1" si="7"/>
        <v/>
      </c>
      <c r="L115" s="24" t="str">
        <f t="shared" ca="1" si="8"/>
        <v/>
      </c>
      <c r="M115" s="24" t="str">
        <f t="shared" ca="1" si="9"/>
        <v/>
      </c>
      <c r="N115" s="24" t="str">
        <f t="shared" ca="1" si="10"/>
        <v/>
      </c>
      <c r="O115" s="24" t="str">
        <f t="shared" ca="1" si="11"/>
        <v/>
      </c>
      <c r="Q115" s="27"/>
      <c r="R115" s="28"/>
      <c r="S115" s="27"/>
      <c r="T115" s="28"/>
    </row>
    <row r="116" spans="2:20" x14ac:dyDescent="0.25">
      <c r="B116" s="4" t="str">
        <f ca="1">IFERROR(INDEX(Points_Lookup!$A:$A,MATCH($Y118,Points_Lookup!$AE:$AE,0)),"")</f>
        <v/>
      </c>
      <c r="C116" s="24" t="str">
        <f ca="1">IF(B116="","",IF($B$4="Apprenticeship",SUMIF(Points_Lookup!$AA:$AA,B116,Points_Lookup!$AC:$AC),IF(AND(OR($B$4="New Consultant Contract"),$B116&lt;&gt;""),INDEX(Points_Lookup!$K:$K,MATCH($B116,Points_Lookup!$J:$J,0)),IF(AND(OR($B$4="Clinical Lecturer / Medical Research Fellow",$B$4="Clinical Consultant - Old Contract (GP)"),$B116&lt;&gt;""),INDEX(Points_Lookup!$H:$H,MATCH($B116,Points_Lookup!$G:$G,0)),IF(AND(OR($B$4="APM Level 7",$B$4="R&amp;T Level 7",$B$4="APM Level 8"),B116&lt;&gt;""),INDEX(Points_Lookup!$E:$E,MATCH($Y116,Points_Lookup!$AE:$AE,0)),IF($B$4="R&amp;T Level 5 - Clinical Lecturers (Vet School)",SUMIF(Points_Lookup!$M:$M,$B116,Points_Lookup!$P:$P),IF($B$4="R&amp;T Level 6 - Clinical Associate Professors and Clinical Readers (Vet School)",SUMIF(Points_Lookup!$T:$T,$B116,Points_Lookup!$W:$W),IFERROR(INDEX(Points_Lookup!$B:$B,MATCH($Y116,Points_Lookup!$AE:$AE,0)),""))))))))</f>
        <v/>
      </c>
      <c r="D116" s="39"/>
      <c r="E116" s="24" t="str">
        <f ca="1">IF($B116="","",IF(AND($B$4="Salary Points 2 to 57",B116&lt;Thresholds_Rates!$C$16),"-",IF(SUMIF(Grades!$A:$A,$B$4,Grades!$BO:$BO)=0,"-",IF(AND($B$4="Salary Points 2 to 57",B116&gt;=Thresholds_Rates!$C$16),$C116*Thresholds_Rates!$F$15,IF(AND(OR($B$4="New Consultant Contract"),$B116&lt;&gt;""),$C116*Thresholds_Rates!$F$15,IF(AND(OR($B$4="Clinical Lecturer / Medical Research Fellow",$B$4="Clinical Consultant - Old Contract (GP)"),$B116&lt;&gt;""),$C116*Thresholds_Rates!$F$15,IF(OR($B$4="APM Level 7",$B$4="R&amp;T Level 7"),$C116*Thresholds_Rates!$F$15,IF(SUMIF(Grades!$A:$A,$B$4,Grades!$BO:$BO)=1,$C116*Thresholds_Rates!$F$15,""))))))))</f>
        <v/>
      </c>
      <c r="F116" s="24" t="str">
        <f ca="1">IF(B116="","",IF($B$4="Salary Points 1 to 57","-",IF(SUMIF(Grades!$A:$A,$B$4,Grades!$BP:$BP)=0,"-",IF(AND(OR($B$4="New Consultant Contract"),$B116&lt;&gt;""),$C116*Thresholds_Rates!$F$16,IF(AND(OR($B$4="Clinical Lecturer / Medical Research Fellow",$B$4="Clinical Consultant - Old Contract (GP)"),$B116&lt;&gt;""),$C116*Thresholds_Rates!$F$16,IF(AND(OR($B$4="APM Level 7",$B$4="R&amp;T Level 7"),E116&lt;&gt;""),$C116*Thresholds_Rates!$F$16,IF(SUMIF(Grades!$A:$A,$B$4,Grades!$BP:$BP)=1,$C116*Thresholds_Rates!$F$16,"")))))))</f>
        <v/>
      </c>
      <c r="G116" s="24" t="str">
        <f ca="1">IF(B116="","",IF(SUMIF(Grades!$A:$A,$B$4,Grades!$BQ:$BQ)=0,"-",IF(AND($B$4="Salary Points 1 to 57",B116&gt;Thresholds_Rates!$C$17),"-",IF(AND($B$4="Salary Points 1 to 57",B116&lt;=Thresholds_Rates!$C$17),$C116*Thresholds_Rates!$F$17,IF(AND(OR($B$4="New Consultant Contract"),$B116&lt;&gt;""),$C116*Thresholds_Rates!$F$17,IF(AND(OR($B$4="Clinical Lecturer / Medical Research Fellow",$B$4="Clinical Consultant - Old Contract (GP)"),$B116&lt;&gt;""),$C116*Thresholds_Rates!$F$17,IF(AND(OR($B$4="APM Level 7",$B$4="R&amp;T Level 7"),F116&lt;&gt;""),$C116*Thresholds_Rates!$F$17,IF(SUMIF(Grades!$A:$A,$B$4,Grades!$BQ:$BQ)=1,$C116*Thresholds_Rates!$F$17,""))))))))</f>
        <v/>
      </c>
      <c r="H116" s="24"/>
      <c r="I116" s="24"/>
      <c r="J116" s="4"/>
      <c r="K116" s="24" t="str">
        <f t="shared" ca="1" si="7"/>
        <v/>
      </c>
      <c r="L116" s="24" t="str">
        <f t="shared" ca="1" si="8"/>
        <v/>
      </c>
      <c r="M116" s="24" t="str">
        <f t="shared" ca="1" si="9"/>
        <v/>
      </c>
      <c r="N116" s="24" t="str">
        <f t="shared" ca="1" si="10"/>
        <v/>
      </c>
      <c r="O116" s="24" t="str">
        <f t="shared" ca="1" si="11"/>
        <v/>
      </c>
      <c r="Q116" s="27"/>
      <c r="R116" s="28"/>
      <c r="S116" s="27"/>
      <c r="T116" s="28"/>
    </row>
    <row r="117" spans="2:20" x14ac:dyDescent="0.25">
      <c r="B117" s="4" t="str">
        <f ca="1">IFERROR(INDEX(Points_Lookup!$A:$A,MATCH($Y119,Points_Lookup!$AE:$AE,0)),"")</f>
        <v/>
      </c>
      <c r="C117" s="24" t="str">
        <f ca="1">IF(B117="","",IF($B$4="Apprenticeship",SUMIF(Points_Lookup!$AA:$AA,B117,Points_Lookup!$AC:$AC),IF(AND(OR($B$4="New Consultant Contract"),$B117&lt;&gt;""),INDEX(Points_Lookup!$K:$K,MATCH($B117,Points_Lookup!$J:$J,0)),IF(AND(OR($B$4="Clinical Lecturer / Medical Research Fellow",$B$4="Clinical Consultant - Old Contract (GP)"),$B117&lt;&gt;""),INDEX(Points_Lookup!$H:$H,MATCH($B117,Points_Lookup!$G:$G,0)),IF(AND(OR($B$4="APM Level 7",$B$4="R&amp;T Level 7",$B$4="APM Level 8"),B117&lt;&gt;""),INDEX(Points_Lookup!$E:$E,MATCH($Y117,Points_Lookup!$AE:$AE,0)),IF($B$4="R&amp;T Level 5 - Clinical Lecturers (Vet School)",SUMIF(Points_Lookup!$M:$M,$B117,Points_Lookup!$P:$P),IF($B$4="R&amp;T Level 6 - Clinical Associate Professors and Clinical Readers (Vet School)",SUMIF(Points_Lookup!$T:$T,$B117,Points_Lookup!$W:$W),IFERROR(INDEX(Points_Lookup!$B:$B,MATCH($Y117,Points_Lookup!$AE:$AE,0)),""))))))))</f>
        <v/>
      </c>
      <c r="D117" s="39"/>
      <c r="E117" s="24" t="str">
        <f ca="1">IF($B117="","",IF(AND($B$4="Salary Points 2 to 57",B117&lt;Thresholds_Rates!$C$16),"-",IF(SUMIF(Grades!$A:$A,$B$4,Grades!$BO:$BO)=0,"-",IF(AND($B$4="Salary Points 2 to 57",B117&gt;=Thresholds_Rates!$C$16),$C117*Thresholds_Rates!$F$15,IF(AND(OR($B$4="New Consultant Contract"),$B117&lt;&gt;""),$C117*Thresholds_Rates!$F$15,IF(AND(OR($B$4="Clinical Lecturer / Medical Research Fellow",$B$4="Clinical Consultant - Old Contract (GP)"),$B117&lt;&gt;""),$C117*Thresholds_Rates!$F$15,IF(OR($B$4="APM Level 7",$B$4="R&amp;T Level 7"),$C117*Thresholds_Rates!$F$15,IF(SUMIF(Grades!$A:$A,$B$4,Grades!$BO:$BO)=1,$C117*Thresholds_Rates!$F$15,""))))))))</f>
        <v/>
      </c>
      <c r="F117" s="24" t="str">
        <f ca="1">IF(B117="","",IF($B$4="Salary Points 1 to 57","-",IF(SUMIF(Grades!$A:$A,$B$4,Grades!$BP:$BP)=0,"-",IF(AND(OR($B$4="New Consultant Contract"),$B117&lt;&gt;""),$C117*Thresholds_Rates!$F$16,IF(AND(OR($B$4="Clinical Lecturer / Medical Research Fellow",$B$4="Clinical Consultant - Old Contract (GP)"),$B117&lt;&gt;""),$C117*Thresholds_Rates!$F$16,IF(AND(OR($B$4="APM Level 7",$B$4="R&amp;T Level 7"),E117&lt;&gt;""),$C117*Thresholds_Rates!$F$16,IF(SUMIF(Grades!$A:$A,$B$4,Grades!$BP:$BP)=1,$C117*Thresholds_Rates!$F$16,"")))))))</f>
        <v/>
      </c>
      <c r="G117" s="24" t="str">
        <f ca="1">IF(B117="","",IF(SUMIF(Grades!$A:$A,$B$4,Grades!$BQ:$BQ)=0,"-",IF(AND($B$4="Salary Points 1 to 57",B117&gt;Thresholds_Rates!$C$17),"-",IF(AND($B$4="Salary Points 1 to 57",B117&lt;=Thresholds_Rates!$C$17),$C117*Thresholds_Rates!$F$17,IF(AND(OR($B$4="New Consultant Contract"),$B117&lt;&gt;""),$C117*Thresholds_Rates!$F$17,IF(AND(OR($B$4="Clinical Lecturer / Medical Research Fellow",$B$4="Clinical Consultant - Old Contract (GP)"),$B117&lt;&gt;""),$C117*Thresholds_Rates!$F$17,IF(AND(OR($B$4="APM Level 7",$B$4="R&amp;T Level 7"),F117&lt;&gt;""),$C117*Thresholds_Rates!$F$17,IF(SUMIF(Grades!$A:$A,$B$4,Grades!$BQ:$BQ)=1,$C117*Thresholds_Rates!$F$17,""))))))))</f>
        <v/>
      </c>
      <c r="H117" s="24"/>
      <c r="I117" s="24"/>
      <c r="J117" s="4"/>
      <c r="K117" s="24" t="str">
        <f t="shared" ca="1" si="7"/>
        <v/>
      </c>
      <c r="L117" s="24" t="str">
        <f t="shared" ca="1" si="8"/>
        <v/>
      </c>
      <c r="M117" s="24" t="str">
        <f t="shared" ca="1" si="9"/>
        <v/>
      </c>
      <c r="N117" s="24" t="str">
        <f t="shared" ca="1" si="10"/>
        <v/>
      </c>
      <c r="O117" s="24" t="str">
        <f t="shared" ca="1" si="11"/>
        <v/>
      </c>
      <c r="Q117" s="27"/>
      <c r="R117" s="28"/>
      <c r="S117" s="27"/>
      <c r="T117" s="28"/>
    </row>
    <row r="118" spans="2:20" x14ac:dyDescent="0.25">
      <c r="B118" s="4" t="str">
        <f ca="1">IFERROR(INDEX(Points_Lookup!$A:$A,MATCH($Y120,Points_Lookup!$AE:$AE,0)),"")</f>
        <v/>
      </c>
      <c r="C118" s="24" t="str">
        <f ca="1">IF(B118="","",IF($B$4="Apprenticeship",SUMIF(Points_Lookup!$AA:$AA,B118,Points_Lookup!$AC:$AC),IF(AND(OR($B$4="New Consultant Contract"),$B118&lt;&gt;""),INDEX(Points_Lookup!$K:$K,MATCH($B118,Points_Lookup!$J:$J,0)),IF(AND(OR($B$4="Clinical Lecturer / Medical Research Fellow",$B$4="Clinical Consultant - Old Contract (GP)"),$B118&lt;&gt;""),INDEX(Points_Lookup!$H:$H,MATCH($B118,Points_Lookup!$G:$G,0)),IF(AND(OR($B$4="APM Level 7",$B$4="R&amp;T Level 7",$B$4="APM Level 8"),B118&lt;&gt;""),INDEX(Points_Lookup!$E:$E,MATCH($Y118,Points_Lookup!$AE:$AE,0)),IF($B$4="R&amp;T Level 5 - Clinical Lecturers (Vet School)",SUMIF(Points_Lookup!$M:$M,$B118,Points_Lookup!$P:$P),IF($B$4="R&amp;T Level 6 - Clinical Associate Professors and Clinical Readers (Vet School)",SUMIF(Points_Lookup!$T:$T,$B118,Points_Lookup!$W:$W),IFERROR(INDEX(Points_Lookup!$B:$B,MATCH($Y118,Points_Lookup!$AE:$AE,0)),""))))))))</f>
        <v/>
      </c>
      <c r="D118" s="39"/>
      <c r="E118" s="24" t="str">
        <f ca="1">IF($B118="","",IF(AND($B$4="Salary Points 2 to 57",B118&lt;Thresholds_Rates!$C$16),"-",IF(SUMIF(Grades!$A:$A,$B$4,Grades!$BO:$BO)=0,"-",IF(AND($B$4="Salary Points 2 to 57",B118&gt;=Thresholds_Rates!$C$16),$C118*Thresholds_Rates!$F$15,IF(AND(OR($B$4="New Consultant Contract"),$B118&lt;&gt;""),$C118*Thresholds_Rates!$F$15,IF(AND(OR($B$4="Clinical Lecturer / Medical Research Fellow",$B$4="Clinical Consultant - Old Contract (GP)"),$B118&lt;&gt;""),$C118*Thresholds_Rates!$F$15,IF(OR($B$4="APM Level 7",$B$4="R&amp;T Level 7"),$C118*Thresholds_Rates!$F$15,IF(SUMIF(Grades!$A:$A,$B$4,Grades!$BO:$BO)=1,$C118*Thresholds_Rates!$F$15,""))))))))</f>
        <v/>
      </c>
      <c r="F118" s="24" t="str">
        <f ca="1">IF(B118="","",IF($B$4="Salary Points 1 to 57","-",IF(SUMIF(Grades!$A:$A,$B$4,Grades!$BP:$BP)=0,"-",IF(AND(OR($B$4="New Consultant Contract"),$B118&lt;&gt;""),$C118*Thresholds_Rates!$F$16,IF(AND(OR($B$4="Clinical Lecturer / Medical Research Fellow",$B$4="Clinical Consultant - Old Contract (GP)"),$B118&lt;&gt;""),$C118*Thresholds_Rates!$F$16,IF(AND(OR($B$4="APM Level 7",$B$4="R&amp;T Level 7"),E118&lt;&gt;""),$C118*Thresholds_Rates!$F$16,IF(SUMIF(Grades!$A:$A,$B$4,Grades!$BP:$BP)=1,$C118*Thresholds_Rates!$F$16,"")))))))</f>
        <v/>
      </c>
      <c r="G118" s="24" t="str">
        <f ca="1">IF(B118="","",IF(SUMIF(Grades!$A:$A,$B$4,Grades!$BQ:$BQ)=0,"-",IF(AND($B$4="Salary Points 1 to 57",B118&gt;Thresholds_Rates!$C$17),"-",IF(AND($B$4="Salary Points 1 to 57",B118&lt;=Thresholds_Rates!$C$17),$C118*Thresholds_Rates!$F$17,IF(AND(OR($B$4="New Consultant Contract"),$B118&lt;&gt;""),$C118*Thresholds_Rates!$F$17,IF(AND(OR($B$4="Clinical Lecturer / Medical Research Fellow",$B$4="Clinical Consultant - Old Contract (GP)"),$B118&lt;&gt;""),$C118*Thresholds_Rates!$F$17,IF(AND(OR($B$4="APM Level 7",$B$4="R&amp;T Level 7"),F118&lt;&gt;""),$C118*Thresholds_Rates!$F$17,IF(SUMIF(Grades!$A:$A,$B$4,Grades!$BQ:$BQ)=1,$C118*Thresholds_Rates!$F$17,""))))))))</f>
        <v/>
      </c>
      <c r="H118" s="24"/>
      <c r="I118" s="24"/>
      <c r="J118" s="4"/>
      <c r="K118" s="24" t="str">
        <f t="shared" ca="1" si="7"/>
        <v/>
      </c>
      <c r="L118" s="24" t="str">
        <f t="shared" ca="1" si="8"/>
        <v/>
      </c>
      <c r="M118" s="24" t="str">
        <f t="shared" ca="1" si="9"/>
        <v/>
      </c>
      <c r="N118" s="24" t="str">
        <f t="shared" ca="1" si="10"/>
        <v/>
      </c>
      <c r="O118" s="24" t="str">
        <f t="shared" ca="1" si="11"/>
        <v/>
      </c>
      <c r="Q118" s="27"/>
      <c r="R118" s="28"/>
      <c r="S118" s="27"/>
      <c r="T118" s="28"/>
    </row>
    <row r="119" spans="2:20" x14ac:dyDescent="0.25">
      <c r="B119" s="4" t="str">
        <f ca="1">IFERROR(INDEX(Points_Lookup!$A:$A,MATCH($Y121,Points_Lookup!$AE:$AE,0)),"")</f>
        <v/>
      </c>
      <c r="C119" s="24" t="str">
        <f ca="1">IF(B119="","",IF($B$4="Apprenticeship",SUMIF(Points_Lookup!$AA:$AA,B119,Points_Lookup!$AC:$AC),IF(AND(OR($B$4="New Consultant Contract"),$B119&lt;&gt;""),INDEX(Points_Lookup!$K:$K,MATCH($B119,Points_Lookup!$J:$J,0)),IF(AND(OR($B$4="Clinical Lecturer / Medical Research Fellow",$B$4="Clinical Consultant - Old Contract (GP)"),$B119&lt;&gt;""),INDEX(Points_Lookup!$H:$H,MATCH($B119,Points_Lookup!$G:$G,0)),IF(AND(OR($B$4="APM Level 7",$B$4="R&amp;T Level 7",$B$4="APM Level 8"),B119&lt;&gt;""),INDEX(Points_Lookup!$E:$E,MATCH($Y119,Points_Lookup!$AE:$AE,0)),IF($B$4="R&amp;T Level 5 - Clinical Lecturers (Vet School)",SUMIF(Points_Lookup!$M:$M,$B119,Points_Lookup!$P:$P),IF($B$4="R&amp;T Level 6 - Clinical Associate Professors and Clinical Readers (Vet School)",SUMIF(Points_Lookup!$T:$T,$B119,Points_Lookup!$W:$W),IFERROR(INDEX(Points_Lookup!$B:$B,MATCH($Y119,Points_Lookup!$AE:$AE,0)),""))))))))</f>
        <v/>
      </c>
      <c r="D119" s="39"/>
      <c r="E119" s="24" t="str">
        <f ca="1">IF($B119="","",IF(AND($B$4="Salary Points 2 to 57",B119&lt;Thresholds_Rates!$C$16),"-",IF(SUMIF(Grades!$A:$A,$B$4,Grades!$BO:$BO)=0,"-",IF(AND($B$4="Salary Points 2 to 57",B119&gt;=Thresholds_Rates!$C$16),$C119*Thresholds_Rates!$F$15,IF(AND(OR($B$4="New Consultant Contract"),$B119&lt;&gt;""),$C119*Thresholds_Rates!$F$15,IF(AND(OR($B$4="Clinical Lecturer / Medical Research Fellow",$B$4="Clinical Consultant - Old Contract (GP)"),$B119&lt;&gt;""),$C119*Thresholds_Rates!$F$15,IF(OR($B$4="APM Level 7",$B$4="R&amp;T Level 7"),$C119*Thresholds_Rates!$F$15,IF(SUMIF(Grades!$A:$A,$B$4,Grades!$BO:$BO)=1,$C119*Thresholds_Rates!$F$15,""))))))))</f>
        <v/>
      </c>
      <c r="F119" s="24" t="str">
        <f ca="1">IF(B119="","",IF($B$4="Salary Points 1 to 57","-",IF(SUMIF(Grades!$A:$A,$B$4,Grades!$BP:$BP)=0,"-",IF(AND(OR($B$4="New Consultant Contract"),$B119&lt;&gt;""),$C119*Thresholds_Rates!$F$16,IF(AND(OR($B$4="Clinical Lecturer / Medical Research Fellow",$B$4="Clinical Consultant - Old Contract (GP)"),$B119&lt;&gt;""),$C119*Thresholds_Rates!$F$16,IF(AND(OR($B$4="APM Level 7",$B$4="R&amp;T Level 7"),E119&lt;&gt;""),$C119*Thresholds_Rates!$F$16,IF(SUMIF(Grades!$A:$A,$B$4,Grades!$BP:$BP)=1,$C119*Thresholds_Rates!$F$16,"")))))))</f>
        <v/>
      </c>
      <c r="G119" s="24" t="str">
        <f ca="1">IF(B119="","",IF(SUMIF(Grades!$A:$A,$B$4,Grades!$BQ:$BQ)=0,"-",IF(AND($B$4="Salary Points 1 to 57",B119&gt;Thresholds_Rates!$C$17),"-",IF(AND($B$4="Salary Points 1 to 57",B119&lt;=Thresholds_Rates!$C$17),$C119*Thresholds_Rates!$F$17,IF(AND(OR($B$4="New Consultant Contract"),$B119&lt;&gt;""),$C119*Thresholds_Rates!$F$17,IF(AND(OR($B$4="Clinical Lecturer / Medical Research Fellow",$B$4="Clinical Consultant - Old Contract (GP)"),$B119&lt;&gt;""),$C119*Thresholds_Rates!$F$17,IF(AND(OR($B$4="APM Level 7",$B$4="R&amp;T Level 7"),F119&lt;&gt;""),$C119*Thresholds_Rates!$F$17,IF(SUMIF(Grades!$A:$A,$B$4,Grades!$BQ:$BQ)=1,$C119*Thresholds_Rates!$F$17,""))))))))</f>
        <v/>
      </c>
      <c r="H119" s="24"/>
      <c r="I119" s="24"/>
      <c r="J119" s="4"/>
      <c r="K119" s="24" t="str">
        <f t="shared" ca="1" si="7"/>
        <v/>
      </c>
      <c r="L119" s="24" t="str">
        <f t="shared" ca="1" si="8"/>
        <v/>
      </c>
      <c r="M119" s="24" t="str">
        <f t="shared" ca="1" si="9"/>
        <v/>
      </c>
      <c r="N119" s="24" t="str">
        <f t="shared" ca="1" si="10"/>
        <v/>
      </c>
      <c r="O119" s="24" t="str">
        <f t="shared" ca="1" si="11"/>
        <v/>
      </c>
      <c r="Q119" s="27"/>
      <c r="R119" s="28"/>
      <c r="S119" s="27"/>
      <c r="T119" s="28"/>
    </row>
    <row r="120" spans="2:20" x14ac:dyDescent="0.25">
      <c r="B120" s="4" t="str">
        <f ca="1">IFERROR(INDEX(Points_Lookup!$A:$A,MATCH($Y122,Points_Lookup!$AE:$AE,0)),"")</f>
        <v/>
      </c>
      <c r="C120" s="24" t="str">
        <f ca="1">IF(B120="","",IF($B$4="Apprenticeship",SUMIF(Points_Lookup!$AA:$AA,B120,Points_Lookup!$AC:$AC),IF(AND(OR($B$4="New Consultant Contract"),$B120&lt;&gt;""),INDEX(Points_Lookup!$K:$K,MATCH($B120,Points_Lookup!$J:$J,0)),IF(AND(OR($B$4="Clinical Lecturer / Medical Research Fellow",$B$4="Clinical Consultant - Old Contract (GP)"),$B120&lt;&gt;""),INDEX(Points_Lookup!$H:$H,MATCH($B120,Points_Lookup!$G:$G,0)),IF(AND(OR($B$4="APM Level 7",$B$4="R&amp;T Level 7",$B$4="APM Level 8"),B120&lt;&gt;""),INDEX(Points_Lookup!$E:$E,MATCH($Y120,Points_Lookup!$AE:$AE,0)),IF($B$4="R&amp;T Level 5 - Clinical Lecturers (Vet School)",SUMIF(Points_Lookup!$M:$M,$B120,Points_Lookup!$P:$P),IF($B$4="R&amp;T Level 6 - Clinical Associate Professors and Clinical Readers (Vet School)",SUMIF(Points_Lookup!$T:$T,$B120,Points_Lookup!$W:$W),IFERROR(INDEX(Points_Lookup!$B:$B,MATCH($Y120,Points_Lookup!$AE:$AE,0)),""))))))))</f>
        <v/>
      </c>
      <c r="D120" s="39"/>
      <c r="E120" s="24" t="str">
        <f ca="1">IF($B120="","",IF(AND($B$4="Salary Points 2 to 57",B120&lt;Thresholds_Rates!$C$16),"-",IF(SUMIF(Grades!$A:$A,$B$4,Grades!$BO:$BO)=0,"-",IF(AND($B$4="Salary Points 2 to 57",B120&gt;=Thresholds_Rates!$C$16),$C120*Thresholds_Rates!$F$15,IF(AND(OR($B$4="New Consultant Contract"),$B120&lt;&gt;""),$C120*Thresholds_Rates!$F$15,IF(AND(OR($B$4="Clinical Lecturer / Medical Research Fellow",$B$4="Clinical Consultant - Old Contract (GP)"),$B120&lt;&gt;""),$C120*Thresholds_Rates!$F$15,IF(OR($B$4="APM Level 7",$B$4="R&amp;T Level 7"),$C120*Thresholds_Rates!$F$15,IF(SUMIF(Grades!$A:$A,$B$4,Grades!$BO:$BO)=1,$C120*Thresholds_Rates!$F$15,""))))))))</f>
        <v/>
      </c>
      <c r="F120" s="24" t="str">
        <f ca="1">IF(B120="","",IF($B$4="Salary Points 1 to 57","-",IF(SUMIF(Grades!$A:$A,$B$4,Grades!$BP:$BP)=0,"-",IF(AND(OR($B$4="New Consultant Contract"),$B120&lt;&gt;""),$C120*Thresholds_Rates!$F$16,IF(AND(OR($B$4="Clinical Lecturer / Medical Research Fellow",$B$4="Clinical Consultant - Old Contract (GP)"),$B120&lt;&gt;""),$C120*Thresholds_Rates!$F$16,IF(AND(OR($B$4="APM Level 7",$B$4="R&amp;T Level 7"),E120&lt;&gt;""),$C120*Thresholds_Rates!$F$16,IF(SUMIF(Grades!$A:$A,$B$4,Grades!$BP:$BP)=1,$C120*Thresholds_Rates!$F$16,"")))))))</f>
        <v/>
      </c>
      <c r="G120" s="24" t="str">
        <f ca="1">IF(B120="","",IF(SUMIF(Grades!$A:$A,$B$4,Grades!$BQ:$BQ)=0,"-",IF(AND($B$4="Salary Points 1 to 57",B120&gt;Thresholds_Rates!$C$17),"-",IF(AND($B$4="Salary Points 1 to 57",B120&lt;=Thresholds_Rates!$C$17),$C120*Thresholds_Rates!$F$17,IF(AND(OR($B$4="New Consultant Contract"),$B120&lt;&gt;""),$C120*Thresholds_Rates!$F$17,IF(AND(OR($B$4="Clinical Lecturer / Medical Research Fellow",$B$4="Clinical Consultant - Old Contract (GP)"),$B120&lt;&gt;""),$C120*Thresholds_Rates!$F$17,IF(AND(OR($B$4="APM Level 7",$B$4="R&amp;T Level 7"),F120&lt;&gt;""),$C120*Thresholds_Rates!$F$17,IF(SUMIF(Grades!$A:$A,$B$4,Grades!$BQ:$BQ)=1,$C120*Thresholds_Rates!$F$17,""))))))))</f>
        <v/>
      </c>
      <c r="H120" s="24"/>
      <c r="I120" s="24"/>
      <c r="J120" s="4"/>
      <c r="K120" s="24" t="str">
        <f t="shared" ca="1" si="7"/>
        <v/>
      </c>
      <c r="L120" s="24" t="str">
        <f t="shared" ca="1" si="8"/>
        <v/>
      </c>
      <c r="M120" s="24" t="str">
        <f t="shared" ca="1" si="9"/>
        <v/>
      </c>
      <c r="N120" s="24" t="str">
        <f t="shared" ca="1" si="10"/>
        <v/>
      </c>
      <c r="O120" s="24" t="str">
        <f t="shared" ca="1" si="11"/>
        <v/>
      </c>
      <c r="Q120" s="27"/>
      <c r="R120" s="28"/>
      <c r="S120" s="27"/>
      <c r="T120" s="28"/>
    </row>
    <row r="121" spans="2:20" x14ac:dyDescent="0.25">
      <c r="B121" s="4" t="str">
        <f ca="1">IFERROR(INDEX(Points_Lookup!$A:$A,MATCH($Y123,Points_Lookup!$AE:$AE,0)),"")</f>
        <v/>
      </c>
      <c r="C121" s="24" t="str">
        <f ca="1">IF(B121="","",IF($B$4="Apprenticeship",SUMIF(Points_Lookup!$AA:$AA,B121,Points_Lookup!$AC:$AC),IF(AND(OR($B$4="New Consultant Contract"),$B121&lt;&gt;""),INDEX(Points_Lookup!$K:$K,MATCH($B121,Points_Lookup!$J:$J,0)),IF(AND(OR($B$4="Clinical Lecturer / Medical Research Fellow",$B$4="Clinical Consultant - Old Contract (GP)"),$B121&lt;&gt;""),INDEX(Points_Lookup!$H:$H,MATCH($B121,Points_Lookup!$G:$G,0)),IF(AND(OR($B$4="APM Level 7",$B$4="R&amp;T Level 7",$B$4="APM Level 8"),B121&lt;&gt;""),INDEX(Points_Lookup!$E:$E,MATCH($Y121,Points_Lookup!$AE:$AE,0)),IF($B$4="R&amp;T Level 5 - Clinical Lecturers (Vet School)",SUMIF(Points_Lookup!$M:$M,$B121,Points_Lookup!$P:$P),IF($B$4="R&amp;T Level 6 - Clinical Associate Professors and Clinical Readers (Vet School)",SUMIF(Points_Lookup!$T:$T,$B121,Points_Lookup!$W:$W),IFERROR(INDEX(Points_Lookup!$B:$B,MATCH($Y121,Points_Lookup!$AE:$AE,0)),""))))))))</f>
        <v/>
      </c>
      <c r="D121" s="39"/>
      <c r="E121" s="24" t="str">
        <f ca="1">IF($B121="","",IF(AND($B$4="Salary Points 2 to 57",B121&lt;Thresholds_Rates!$C$16),"-",IF(SUMIF(Grades!$A:$A,$B$4,Grades!$BO:$BO)=0,"-",IF(AND($B$4="Salary Points 2 to 57",B121&gt;=Thresholds_Rates!$C$16),$C121*Thresholds_Rates!$F$15,IF(AND(OR($B$4="New Consultant Contract"),$B121&lt;&gt;""),$C121*Thresholds_Rates!$F$15,IF(AND(OR($B$4="Clinical Lecturer / Medical Research Fellow",$B$4="Clinical Consultant - Old Contract (GP)"),$B121&lt;&gt;""),$C121*Thresholds_Rates!$F$15,IF(OR($B$4="APM Level 7",$B$4="R&amp;T Level 7"),$C121*Thresholds_Rates!$F$15,IF(SUMIF(Grades!$A:$A,$B$4,Grades!$BO:$BO)=1,$C121*Thresholds_Rates!$F$15,""))))))))</f>
        <v/>
      </c>
      <c r="F121" s="24" t="str">
        <f ca="1">IF(B121="","",IF($B$4="Salary Points 1 to 57","-",IF(SUMIF(Grades!$A:$A,$B$4,Grades!$BP:$BP)=0,"-",IF(AND(OR($B$4="New Consultant Contract"),$B121&lt;&gt;""),$C121*Thresholds_Rates!$F$16,IF(AND(OR($B$4="Clinical Lecturer / Medical Research Fellow",$B$4="Clinical Consultant - Old Contract (GP)"),$B121&lt;&gt;""),$C121*Thresholds_Rates!$F$16,IF(AND(OR($B$4="APM Level 7",$B$4="R&amp;T Level 7"),E121&lt;&gt;""),$C121*Thresholds_Rates!$F$16,IF(SUMIF(Grades!$A:$A,$B$4,Grades!$BP:$BP)=1,$C121*Thresholds_Rates!$F$16,"")))))))</f>
        <v/>
      </c>
      <c r="G121" s="24" t="str">
        <f ca="1">IF(B121="","",IF(SUMIF(Grades!$A:$A,$B$4,Grades!$BQ:$BQ)=0,"-",IF(AND($B$4="Salary Points 1 to 57",B121&gt;Thresholds_Rates!$C$17),"-",IF(AND($B$4="Salary Points 1 to 57",B121&lt;=Thresholds_Rates!$C$17),$C121*Thresholds_Rates!$F$17,IF(AND(OR($B$4="New Consultant Contract"),$B121&lt;&gt;""),$C121*Thresholds_Rates!$F$17,IF(AND(OR($B$4="Clinical Lecturer / Medical Research Fellow",$B$4="Clinical Consultant - Old Contract (GP)"),$B121&lt;&gt;""),$C121*Thresholds_Rates!$F$17,IF(AND(OR($B$4="APM Level 7",$B$4="R&amp;T Level 7"),F121&lt;&gt;""),$C121*Thresholds_Rates!$F$17,IF(SUMIF(Grades!$A:$A,$B$4,Grades!$BQ:$BQ)=1,$C121*Thresholds_Rates!$F$17,""))))))))</f>
        <v/>
      </c>
      <c r="H121" s="24"/>
      <c r="I121" s="24"/>
      <c r="J121" s="4"/>
      <c r="K121" s="24" t="str">
        <f t="shared" ca="1" si="7"/>
        <v/>
      </c>
      <c r="L121" s="24" t="str">
        <f t="shared" ca="1" si="8"/>
        <v/>
      </c>
      <c r="M121" s="24" t="str">
        <f t="shared" ca="1" si="9"/>
        <v/>
      </c>
      <c r="N121" s="24" t="str">
        <f t="shared" ca="1" si="10"/>
        <v/>
      </c>
      <c r="O121" s="24" t="str">
        <f t="shared" ca="1" si="11"/>
        <v/>
      </c>
      <c r="Q121" s="27"/>
      <c r="R121" s="28"/>
      <c r="S121" s="27"/>
      <c r="T121" s="28"/>
    </row>
    <row r="122" spans="2:20" x14ac:dyDescent="0.25">
      <c r="B122" s="4" t="str">
        <f ca="1">IFERROR(INDEX(Points_Lookup!$A:$A,MATCH($Y124,Points_Lookup!$AE:$AE,0)),"")</f>
        <v/>
      </c>
      <c r="C122" s="24" t="str">
        <f ca="1">IF(B122="","",IF($B$4="Apprenticeship",SUMIF(Points_Lookup!$AA:$AA,B122,Points_Lookup!$AC:$AC),IF(AND(OR($B$4="New Consultant Contract"),$B122&lt;&gt;""),INDEX(Points_Lookup!$K:$K,MATCH($B122,Points_Lookup!$J:$J,0)),IF(AND(OR($B$4="Clinical Lecturer / Medical Research Fellow",$B$4="Clinical Consultant - Old Contract (GP)"),$B122&lt;&gt;""),INDEX(Points_Lookup!$H:$H,MATCH($B122,Points_Lookup!$G:$G,0)),IF(AND(OR($B$4="APM Level 7",$B$4="R&amp;T Level 7",$B$4="APM Level 8"),B122&lt;&gt;""),INDEX(Points_Lookup!$E:$E,MATCH($Y122,Points_Lookup!$AE:$AE,0)),IF($B$4="R&amp;T Level 5 - Clinical Lecturers (Vet School)",SUMIF(Points_Lookup!$M:$M,$B122,Points_Lookup!$P:$P),IF($B$4="R&amp;T Level 6 - Clinical Associate Professors and Clinical Readers (Vet School)",SUMIF(Points_Lookup!$T:$T,$B122,Points_Lookup!$W:$W),IFERROR(INDEX(Points_Lookup!$B:$B,MATCH($Y122,Points_Lookup!$AE:$AE,0)),""))))))))</f>
        <v/>
      </c>
      <c r="D122" s="39"/>
      <c r="E122" s="24" t="str">
        <f ca="1">IF($B122="","",IF(AND($B$4="Salary Points 2 to 57",B122&lt;Thresholds_Rates!$C$16),"-",IF(SUMIF(Grades!$A:$A,$B$4,Grades!$BO:$BO)=0,"-",IF(AND($B$4="Salary Points 2 to 57",B122&gt;=Thresholds_Rates!$C$16),$C122*Thresholds_Rates!$F$15,IF(AND(OR($B$4="New Consultant Contract"),$B122&lt;&gt;""),$C122*Thresholds_Rates!$F$15,IF(AND(OR($B$4="Clinical Lecturer / Medical Research Fellow",$B$4="Clinical Consultant - Old Contract (GP)"),$B122&lt;&gt;""),$C122*Thresholds_Rates!$F$15,IF(OR($B$4="APM Level 7",$B$4="R&amp;T Level 7"),$C122*Thresholds_Rates!$F$15,IF(SUMIF(Grades!$A:$A,$B$4,Grades!$BO:$BO)=1,$C122*Thresholds_Rates!$F$15,""))))))))</f>
        <v/>
      </c>
      <c r="F122" s="24" t="str">
        <f ca="1">IF(B122="","",IF($B$4="Salary Points 1 to 57","-",IF(SUMIF(Grades!$A:$A,$B$4,Grades!$BP:$BP)=0,"-",IF(AND(OR($B$4="New Consultant Contract"),$B122&lt;&gt;""),$C122*Thresholds_Rates!$F$16,IF(AND(OR($B$4="Clinical Lecturer / Medical Research Fellow",$B$4="Clinical Consultant - Old Contract (GP)"),$B122&lt;&gt;""),$C122*Thresholds_Rates!$F$16,IF(AND(OR($B$4="APM Level 7",$B$4="R&amp;T Level 7"),E122&lt;&gt;""),$C122*Thresholds_Rates!$F$16,IF(SUMIF(Grades!$A:$A,$B$4,Grades!$BP:$BP)=1,$C122*Thresholds_Rates!$F$16,"")))))))</f>
        <v/>
      </c>
      <c r="G122" s="24" t="str">
        <f ca="1">IF(B122="","",IF(SUMIF(Grades!$A:$A,$B$4,Grades!$BQ:$BQ)=0,"-",IF(AND($B$4="Salary Points 1 to 57",B122&gt;Thresholds_Rates!$C$17),"-",IF(AND($B$4="Salary Points 1 to 57",B122&lt;=Thresholds_Rates!$C$17),$C122*Thresholds_Rates!$F$17,IF(AND(OR($B$4="New Consultant Contract"),$B122&lt;&gt;""),$C122*Thresholds_Rates!$F$17,IF(AND(OR($B$4="Clinical Lecturer / Medical Research Fellow",$B$4="Clinical Consultant - Old Contract (GP)"),$B122&lt;&gt;""),$C122*Thresholds_Rates!$F$17,IF(AND(OR($B$4="APM Level 7",$B$4="R&amp;T Level 7"),F122&lt;&gt;""),$C122*Thresholds_Rates!$F$17,IF(SUMIF(Grades!$A:$A,$B$4,Grades!$BQ:$BQ)=1,$C122*Thresholds_Rates!$F$17,""))))))))</f>
        <v/>
      </c>
      <c r="H122" s="24"/>
      <c r="I122" s="24"/>
      <c r="J122" s="4"/>
      <c r="K122" s="24" t="str">
        <f t="shared" ca="1" si="7"/>
        <v/>
      </c>
      <c r="L122" s="24" t="str">
        <f t="shared" ca="1" si="8"/>
        <v/>
      </c>
      <c r="M122" s="24" t="str">
        <f t="shared" ca="1" si="9"/>
        <v/>
      </c>
      <c r="N122" s="24" t="str">
        <f t="shared" ca="1" si="10"/>
        <v/>
      </c>
      <c r="O122" s="24" t="str">
        <f t="shared" ca="1" si="11"/>
        <v/>
      </c>
      <c r="Q122" s="27"/>
      <c r="R122" s="28"/>
      <c r="S122" s="27"/>
      <c r="T122" s="28"/>
    </row>
    <row r="123" spans="2:20" x14ac:dyDescent="0.25">
      <c r="B123" s="4" t="str">
        <f ca="1">IFERROR(INDEX(Points_Lookup!$A:$A,MATCH($Y125,Points_Lookup!$AE:$AE,0)),"")</f>
        <v/>
      </c>
      <c r="C123" s="24" t="str">
        <f ca="1">IF(B123="","",IF($B$4="Apprenticeship",SUMIF(Points_Lookup!$AA:$AA,B123,Points_Lookup!$AC:$AC),IF(AND(OR($B$4="New Consultant Contract"),$B123&lt;&gt;""),INDEX(Points_Lookup!$K:$K,MATCH($B123,Points_Lookup!$J:$J,0)),IF(AND(OR($B$4="Clinical Lecturer / Medical Research Fellow",$B$4="Clinical Consultant - Old Contract (GP)"),$B123&lt;&gt;""),INDEX(Points_Lookup!$H:$H,MATCH($B123,Points_Lookup!$G:$G,0)),IF(AND(OR($B$4="APM Level 7",$B$4="R&amp;T Level 7",$B$4="APM Level 8"),B123&lt;&gt;""),INDEX(Points_Lookup!$E:$E,MATCH($Y123,Points_Lookup!$AE:$AE,0)),IF($B$4="R&amp;T Level 5 - Clinical Lecturers (Vet School)",SUMIF(Points_Lookup!$M:$M,$B123,Points_Lookup!$P:$P),IF($B$4="R&amp;T Level 6 - Clinical Associate Professors and Clinical Readers (Vet School)",SUMIF(Points_Lookup!$T:$T,$B123,Points_Lookup!$W:$W),IFERROR(INDEX(Points_Lookup!$B:$B,MATCH($Y123,Points_Lookup!$AE:$AE,0)),""))))))))</f>
        <v/>
      </c>
      <c r="D123" s="39"/>
      <c r="E123" s="24" t="str">
        <f ca="1">IF($B123="","",IF(AND($B$4="Salary Points 2 to 57",B123&lt;Thresholds_Rates!$C$16),"-",IF(SUMIF(Grades!$A:$A,$B$4,Grades!$BO:$BO)=0,"-",IF(AND($B$4="Salary Points 2 to 57",B123&gt;=Thresholds_Rates!$C$16),$C123*Thresholds_Rates!$F$15,IF(AND(OR($B$4="New Consultant Contract"),$B123&lt;&gt;""),$C123*Thresholds_Rates!$F$15,IF(AND(OR($B$4="Clinical Lecturer / Medical Research Fellow",$B$4="Clinical Consultant - Old Contract (GP)"),$B123&lt;&gt;""),$C123*Thresholds_Rates!$F$15,IF(OR($B$4="APM Level 7",$B$4="R&amp;T Level 7"),$C123*Thresholds_Rates!$F$15,IF(SUMIF(Grades!$A:$A,$B$4,Grades!$BO:$BO)=1,$C123*Thresholds_Rates!$F$15,""))))))))</f>
        <v/>
      </c>
      <c r="F123" s="24" t="str">
        <f ca="1">IF(B123="","",IF($B$4="Salary Points 1 to 57","-",IF(SUMIF(Grades!$A:$A,$B$4,Grades!$BP:$BP)=0,"-",IF(AND(OR($B$4="New Consultant Contract"),$B123&lt;&gt;""),$C123*Thresholds_Rates!$F$16,IF(AND(OR($B$4="Clinical Lecturer / Medical Research Fellow",$B$4="Clinical Consultant - Old Contract (GP)"),$B123&lt;&gt;""),$C123*Thresholds_Rates!$F$16,IF(AND(OR($B$4="APM Level 7",$B$4="R&amp;T Level 7"),E123&lt;&gt;""),$C123*Thresholds_Rates!$F$16,IF(SUMIF(Grades!$A:$A,$B$4,Grades!$BP:$BP)=1,$C123*Thresholds_Rates!$F$16,"")))))))</f>
        <v/>
      </c>
      <c r="G123" s="24" t="str">
        <f ca="1">IF(B123="","",IF(SUMIF(Grades!$A:$A,$B$4,Grades!$BQ:$BQ)=0,"-",IF(AND($B$4="Salary Points 1 to 57",B123&gt;Thresholds_Rates!$C$17),"-",IF(AND($B$4="Salary Points 1 to 57",B123&lt;=Thresholds_Rates!$C$17),$C123*Thresholds_Rates!$F$17,IF(AND(OR($B$4="New Consultant Contract"),$B123&lt;&gt;""),$C123*Thresholds_Rates!$F$17,IF(AND(OR($B$4="Clinical Lecturer / Medical Research Fellow",$B$4="Clinical Consultant - Old Contract (GP)"),$B123&lt;&gt;""),$C123*Thresholds_Rates!$F$17,IF(AND(OR($B$4="APM Level 7",$B$4="R&amp;T Level 7"),F123&lt;&gt;""),$C123*Thresholds_Rates!$F$17,IF(SUMIF(Grades!$A:$A,$B$4,Grades!$BQ:$BQ)=1,$C123*Thresholds_Rates!$F$17,""))))))))</f>
        <v/>
      </c>
      <c r="H123" s="24"/>
      <c r="I123" s="24"/>
      <c r="J123" s="4"/>
      <c r="K123" s="24" t="str">
        <f t="shared" ca="1" si="7"/>
        <v/>
      </c>
      <c r="L123" s="24" t="str">
        <f t="shared" ca="1" si="8"/>
        <v/>
      </c>
      <c r="M123" s="24" t="str">
        <f t="shared" ca="1" si="9"/>
        <v/>
      </c>
      <c r="N123" s="24" t="str">
        <f t="shared" ca="1" si="10"/>
        <v/>
      </c>
      <c r="O123" s="24" t="str">
        <f t="shared" ca="1" si="11"/>
        <v/>
      </c>
      <c r="Q123" s="27"/>
      <c r="R123" s="28"/>
      <c r="S123" s="27"/>
      <c r="T123" s="28"/>
    </row>
    <row r="124" spans="2:20" x14ac:dyDescent="0.25">
      <c r="B124" s="4" t="str">
        <f ca="1">IFERROR(INDEX(Points_Lookup!$A:$A,MATCH($Y126,Points_Lookup!$AE:$AE,0)),"")</f>
        <v/>
      </c>
      <c r="C124" s="24" t="str">
        <f ca="1">IF(B124="","",IF($B$4="Apprenticeship",SUMIF(Points_Lookup!$AA:$AA,B124,Points_Lookup!$AC:$AC),IF(AND(OR($B$4="New Consultant Contract"),$B124&lt;&gt;""),INDEX(Points_Lookup!$K:$K,MATCH($B124,Points_Lookup!$J:$J,0)),IF(AND(OR($B$4="Clinical Lecturer / Medical Research Fellow",$B$4="Clinical Consultant - Old Contract (GP)"),$B124&lt;&gt;""),INDEX(Points_Lookup!$H:$H,MATCH($B124,Points_Lookup!$G:$G,0)),IF(AND(OR($B$4="APM Level 7",$B$4="R&amp;T Level 7",$B$4="APM Level 8"),B124&lt;&gt;""),INDEX(Points_Lookup!$E:$E,MATCH($Y124,Points_Lookup!$AE:$AE,0)),IF($B$4="R&amp;T Level 5 - Clinical Lecturers (Vet School)",SUMIF(Points_Lookup!$M:$M,$B124,Points_Lookup!$P:$P),IF($B$4="R&amp;T Level 6 - Clinical Associate Professors and Clinical Readers (Vet School)",SUMIF(Points_Lookup!$T:$T,$B124,Points_Lookup!$W:$W),IFERROR(INDEX(Points_Lookup!$B:$B,MATCH($Y124,Points_Lookup!$AE:$AE,0)),""))))))))</f>
        <v/>
      </c>
      <c r="D124" s="39"/>
      <c r="E124" s="24" t="str">
        <f ca="1">IF($B124="","",IF(AND($B$4="Salary Points 2 to 57",B124&lt;Thresholds_Rates!$C$16),"-",IF(SUMIF(Grades!$A:$A,$B$4,Grades!$BO:$BO)=0,"-",IF(AND($B$4="Salary Points 2 to 57",B124&gt;=Thresholds_Rates!$C$16),$C124*Thresholds_Rates!$F$15,IF(AND(OR($B$4="New Consultant Contract"),$B124&lt;&gt;""),$C124*Thresholds_Rates!$F$15,IF(AND(OR($B$4="Clinical Lecturer / Medical Research Fellow",$B$4="Clinical Consultant - Old Contract (GP)"),$B124&lt;&gt;""),$C124*Thresholds_Rates!$F$15,IF(OR($B$4="APM Level 7",$B$4="R&amp;T Level 7"),$C124*Thresholds_Rates!$F$15,IF(SUMIF(Grades!$A:$A,$B$4,Grades!$BO:$BO)=1,$C124*Thresholds_Rates!$F$15,""))))))))</f>
        <v/>
      </c>
      <c r="F124" s="24" t="str">
        <f ca="1">IF(B124="","",IF($B$4="Salary Points 1 to 57","-",IF(SUMIF(Grades!$A:$A,$B$4,Grades!$BP:$BP)=0,"-",IF(AND(OR($B$4="New Consultant Contract"),$B124&lt;&gt;""),$C124*Thresholds_Rates!$F$16,IF(AND(OR($B$4="Clinical Lecturer / Medical Research Fellow",$B$4="Clinical Consultant - Old Contract (GP)"),$B124&lt;&gt;""),$C124*Thresholds_Rates!$F$16,IF(AND(OR($B$4="APM Level 7",$B$4="R&amp;T Level 7"),E124&lt;&gt;""),$C124*Thresholds_Rates!$F$16,IF(SUMIF(Grades!$A:$A,$B$4,Grades!$BP:$BP)=1,$C124*Thresholds_Rates!$F$16,"")))))))</f>
        <v/>
      </c>
      <c r="G124" s="24" t="str">
        <f ca="1">IF(B124="","",IF(SUMIF(Grades!$A:$A,$B$4,Grades!$BQ:$BQ)=0,"-",IF(AND($B$4="Salary Points 1 to 57",B124&gt;Thresholds_Rates!$C$17),"-",IF(AND($B$4="Salary Points 1 to 57",B124&lt;=Thresholds_Rates!$C$17),$C124*Thresholds_Rates!$F$17,IF(AND(OR($B$4="New Consultant Contract"),$B124&lt;&gt;""),$C124*Thresholds_Rates!$F$17,IF(AND(OR($B$4="Clinical Lecturer / Medical Research Fellow",$B$4="Clinical Consultant - Old Contract (GP)"),$B124&lt;&gt;""),$C124*Thresholds_Rates!$F$17,IF(AND(OR($B$4="APM Level 7",$B$4="R&amp;T Level 7"),F124&lt;&gt;""),$C124*Thresholds_Rates!$F$17,IF(SUMIF(Grades!$A:$A,$B$4,Grades!$BQ:$BQ)=1,$C124*Thresholds_Rates!$F$17,""))))))))</f>
        <v/>
      </c>
      <c r="H124" s="24"/>
      <c r="I124" s="24"/>
      <c r="J124" s="4"/>
      <c r="K124" s="24" t="str">
        <f t="shared" ca="1" si="7"/>
        <v/>
      </c>
      <c r="L124" s="24" t="str">
        <f t="shared" ca="1" si="8"/>
        <v/>
      </c>
      <c r="M124" s="24" t="str">
        <f t="shared" ca="1" si="9"/>
        <v/>
      </c>
      <c r="N124" s="24" t="str">
        <f t="shared" ca="1" si="10"/>
        <v/>
      </c>
      <c r="O124" s="24" t="str">
        <f t="shared" ca="1" si="11"/>
        <v/>
      </c>
      <c r="Q124" s="27"/>
      <c r="R124" s="28"/>
      <c r="S124" s="27"/>
      <c r="T124" s="28"/>
    </row>
    <row r="125" spans="2:20" x14ac:dyDescent="0.25">
      <c r="B125" s="4" t="str">
        <f ca="1">IFERROR(INDEX(Points_Lookup!$A:$A,MATCH($Y127,Points_Lookup!$AE:$AE,0)),"")</f>
        <v/>
      </c>
      <c r="C125" s="24" t="str">
        <f ca="1">IF(B125="","",IF($B$4="Apprenticeship",SUMIF(Points_Lookup!$AA:$AA,B125,Points_Lookup!$AC:$AC),IF(AND(OR($B$4="New Consultant Contract"),$B125&lt;&gt;""),INDEX(Points_Lookup!$K:$K,MATCH($B125,Points_Lookup!$J:$J,0)),IF(AND(OR($B$4="Clinical Lecturer / Medical Research Fellow",$B$4="Clinical Consultant - Old Contract (GP)"),$B125&lt;&gt;""),INDEX(Points_Lookup!$H:$H,MATCH($B125,Points_Lookup!$G:$G,0)),IF(AND(OR($B$4="APM Level 7",$B$4="R&amp;T Level 7",$B$4="APM Level 8"),B125&lt;&gt;""),INDEX(Points_Lookup!$E:$E,MATCH($Y125,Points_Lookup!$AE:$AE,0)),IF($B$4="R&amp;T Level 5 - Clinical Lecturers (Vet School)",SUMIF(Points_Lookup!$M:$M,$B125,Points_Lookup!$P:$P),IF($B$4="R&amp;T Level 6 - Clinical Associate Professors and Clinical Readers (Vet School)",SUMIF(Points_Lookup!$T:$T,$B125,Points_Lookup!$W:$W),IFERROR(INDEX(Points_Lookup!$B:$B,MATCH($Y125,Points_Lookup!$AE:$AE,0)),""))))))))</f>
        <v/>
      </c>
      <c r="D125" s="39"/>
      <c r="E125" s="24" t="str">
        <f ca="1">IF($B125="","",IF(AND($B$4="Salary Points 2 to 57",B125&lt;Thresholds_Rates!$C$16),"-",IF(SUMIF(Grades!$A:$A,$B$4,Grades!$BO:$BO)=0,"-",IF(AND($B$4="Salary Points 2 to 57",B125&gt;=Thresholds_Rates!$C$16),$C125*Thresholds_Rates!$F$15,IF(AND(OR($B$4="New Consultant Contract"),$B125&lt;&gt;""),$C125*Thresholds_Rates!$F$15,IF(AND(OR($B$4="Clinical Lecturer / Medical Research Fellow",$B$4="Clinical Consultant - Old Contract (GP)"),$B125&lt;&gt;""),$C125*Thresholds_Rates!$F$15,IF(OR($B$4="APM Level 7",$B$4="R&amp;T Level 7"),$C125*Thresholds_Rates!$F$15,IF(SUMIF(Grades!$A:$A,$B$4,Grades!$BO:$BO)=1,$C125*Thresholds_Rates!$F$15,""))))))))</f>
        <v/>
      </c>
      <c r="F125" s="24" t="str">
        <f ca="1">IF(B125="","",IF($B$4="Salary Points 1 to 57","-",IF(SUMIF(Grades!$A:$A,$B$4,Grades!$BP:$BP)=0,"-",IF(AND(OR($B$4="New Consultant Contract"),$B125&lt;&gt;""),$C125*Thresholds_Rates!$F$16,IF(AND(OR($B$4="Clinical Lecturer / Medical Research Fellow",$B$4="Clinical Consultant - Old Contract (GP)"),$B125&lt;&gt;""),$C125*Thresholds_Rates!$F$16,IF(AND(OR($B$4="APM Level 7",$B$4="R&amp;T Level 7"),E125&lt;&gt;""),$C125*Thresholds_Rates!$F$16,IF(SUMIF(Grades!$A:$A,$B$4,Grades!$BP:$BP)=1,$C125*Thresholds_Rates!$F$16,"")))))))</f>
        <v/>
      </c>
      <c r="G125" s="24" t="str">
        <f ca="1">IF(B125="","",IF(SUMIF(Grades!$A:$A,$B$4,Grades!$BQ:$BQ)=0,"-",IF(AND($B$4="Salary Points 1 to 57",B125&gt;Thresholds_Rates!$C$17),"-",IF(AND($B$4="Salary Points 1 to 57",B125&lt;=Thresholds_Rates!$C$17),$C125*Thresholds_Rates!$F$17,IF(AND(OR($B$4="New Consultant Contract"),$B125&lt;&gt;""),$C125*Thresholds_Rates!$F$17,IF(AND(OR($B$4="Clinical Lecturer / Medical Research Fellow",$B$4="Clinical Consultant - Old Contract (GP)"),$B125&lt;&gt;""),$C125*Thresholds_Rates!$F$17,IF(AND(OR($B$4="APM Level 7",$B$4="R&amp;T Level 7"),F125&lt;&gt;""),$C125*Thresholds_Rates!$F$17,IF(SUMIF(Grades!$A:$A,$B$4,Grades!$BQ:$BQ)=1,$C125*Thresholds_Rates!$F$17,""))))))))</f>
        <v/>
      </c>
      <c r="H125" s="24"/>
      <c r="I125" s="24"/>
      <c r="J125" s="4"/>
      <c r="K125" s="24" t="str">
        <f t="shared" ca="1" si="7"/>
        <v/>
      </c>
      <c r="L125" s="24" t="str">
        <f t="shared" ca="1" si="8"/>
        <v/>
      </c>
      <c r="M125" s="24" t="str">
        <f t="shared" ca="1" si="9"/>
        <v/>
      </c>
      <c r="N125" s="24" t="str">
        <f t="shared" ca="1" si="10"/>
        <v/>
      </c>
      <c r="O125" s="24" t="str">
        <f t="shared" ca="1" si="11"/>
        <v/>
      </c>
      <c r="Q125" s="27"/>
      <c r="R125" s="28"/>
      <c r="S125" s="27"/>
      <c r="T125" s="28"/>
    </row>
    <row r="126" spans="2:20" x14ac:dyDescent="0.25">
      <c r="B126" s="4" t="str">
        <f ca="1">IFERROR(INDEX(Points_Lookup!$A:$A,MATCH($Y128,Points_Lookup!$AE:$AE,0)),"")</f>
        <v/>
      </c>
      <c r="C126" s="24" t="str">
        <f ca="1">IF(B126="","",IF($B$4="Apprenticeship",SUMIF(Points_Lookup!$AA:$AA,B126,Points_Lookup!$AC:$AC),IF(AND(OR($B$4="New Consultant Contract"),$B126&lt;&gt;""),INDEX(Points_Lookup!$K:$K,MATCH($B126,Points_Lookup!$J:$J,0)),IF(AND(OR($B$4="Clinical Lecturer / Medical Research Fellow",$B$4="Clinical Consultant - Old Contract (GP)"),$B126&lt;&gt;""),INDEX(Points_Lookup!$H:$H,MATCH($B126,Points_Lookup!$G:$G,0)),IF(AND(OR($B$4="APM Level 7",$B$4="R&amp;T Level 7",$B$4="APM Level 8"),B126&lt;&gt;""),INDEX(Points_Lookup!$E:$E,MATCH($Y126,Points_Lookup!$AE:$AE,0)),IF($B$4="R&amp;T Level 5 - Clinical Lecturers (Vet School)",SUMIF(Points_Lookup!$M:$M,$B126,Points_Lookup!$P:$P),IF($B$4="R&amp;T Level 6 - Clinical Associate Professors and Clinical Readers (Vet School)",SUMIF(Points_Lookup!$T:$T,$B126,Points_Lookup!$W:$W),IFERROR(INDEX(Points_Lookup!$B:$B,MATCH($Y126,Points_Lookup!$AE:$AE,0)),""))))))))</f>
        <v/>
      </c>
      <c r="D126" s="39"/>
      <c r="E126" s="24" t="str">
        <f ca="1">IF($B126="","",IF(AND($B$4="Salary Points 2 to 57",B126&lt;Thresholds_Rates!$C$16),"-",IF(SUMIF(Grades!$A:$A,$B$4,Grades!$BO:$BO)=0,"-",IF(AND($B$4="Salary Points 2 to 57",B126&gt;=Thresholds_Rates!$C$16),$C126*Thresholds_Rates!$F$15,IF(AND(OR($B$4="New Consultant Contract"),$B126&lt;&gt;""),$C126*Thresholds_Rates!$F$15,IF(AND(OR($B$4="Clinical Lecturer / Medical Research Fellow",$B$4="Clinical Consultant - Old Contract (GP)"),$B126&lt;&gt;""),$C126*Thresholds_Rates!$F$15,IF(OR($B$4="APM Level 7",$B$4="R&amp;T Level 7"),$C126*Thresholds_Rates!$F$15,IF(SUMIF(Grades!$A:$A,$B$4,Grades!$BO:$BO)=1,$C126*Thresholds_Rates!$F$15,""))))))))</f>
        <v/>
      </c>
      <c r="F126" s="24" t="str">
        <f ca="1">IF(B126="","",IF($B$4="Salary Points 1 to 57","-",IF(SUMIF(Grades!$A:$A,$B$4,Grades!$BP:$BP)=0,"-",IF(AND(OR($B$4="New Consultant Contract"),$B126&lt;&gt;""),$C126*Thresholds_Rates!$F$16,IF(AND(OR($B$4="Clinical Lecturer / Medical Research Fellow",$B$4="Clinical Consultant - Old Contract (GP)"),$B126&lt;&gt;""),$C126*Thresholds_Rates!$F$16,IF(AND(OR($B$4="APM Level 7",$B$4="R&amp;T Level 7"),E126&lt;&gt;""),$C126*Thresholds_Rates!$F$16,IF(SUMIF(Grades!$A:$A,$B$4,Grades!$BP:$BP)=1,$C126*Thresholds_Rates!$F$16,"")))))))</f>
        <v/>
      </c>
      <c r="G126" s="24" t="str">
        <f ca="1">IF(B126="","",IF(SUMIF(Grades!$A:$A,$B$4,Grades!$BQ:$BQ)=0,"-",IF(AND($B$4="Salary Points 1 to 57",B126&gt;Thresholds_Rates!$C$17),"-",IF(AND($B$4="Salary Points 1 to 57",B126&lt;=Thresholds_Rates!$C$17),$C126*Thresholds_Rates!$F$17,IF(AND(OR($B$4="New Consultant Contract"),$B126&lt;&gt;""),$C126*Thresholds_Rates!$F$17,IF(AND(OR($B$4="Clinical Lecturer / Medical Research Fellow",$B$4="Clinical Consultant - Old Contract (GP)"),$B126&lt;&gt;""),$C126*Thresholds_Rates!$F$17,IF(AND(OR($B$4="APM Level 7",$B$4="R&amp;T Level 7"),F126&lt;&gt;""),$C126*Thresholds_Rates!$F$17,IF(SUMIF(Grades!$A:$A,$B$4,Grades!$BQ:$BQ)=1,$C126*Thresholds_Rates!$F$17,""))))))))</f>
        <v/>
      </c>
      <c r="H126" s="24"/>
      <c r="I126" s="24"/>
      <c r="J126" s="4"/>
      <c r="K126" s="24" t="str">
        <f t="shared" ca="1" si="7"/>
        <v/>
      </c>
      <c r="L126" s="24" t="str">
        <f t="shared" ca="1" si="8"/>
        <v/>
      </c>
      <c r="M126" s="24" t="str">
        <f t="shared" ca="1" si="9"/>
        <v/>
      </c>
      <c r="N126" s="24" t="str">
        <f t="shared" ca="1" si="10"/>
        <v/>
      </c>
      <c r="O126" s="24" t="str">
        <f t="shared" ca="1" si="11"/>
        <v/>
      </c>
      <c r="Q126" s="27"/>
      <c r="R126" s="28"/>
      <c r="S126" s="27"/>
      <c r="T126" s="28"/>
    </row>
    <row r="127" spans="2:20" x14ac:dyDescent="0.25">
      <c r="B127" s="4" t="str">
        <f ca="1">IFERROR(INDEX(Points_Lookup!$A:$A,MATCH($Y129,Points_Lookup!$AE:$AE,0)),"")</f>
        <v/>
      </c>
      <c r="C127" s="24" t="str">
        <f ca="1">IF(B127="","",IF($B$4="Apprenticeship",SUMIF(Points_Lookup!$AA:$AA,B127,Points_Lookup!$AC:$AC),IF(AND(OR($B$4="New Consultant Contract"),$B127&lt;&gt;""),INDEX(Points_Lookup!$K:$K,MATCH($B127,Points_Lookup!$J:$J,0)),IF(AND(OR($B$4="Clinical Lecturer / Medical Research Fellow",$B$4="Clinical Consultant - Old Contract (GP)"),$B127&lt;&gt;""),INDEX(Points_Lookup!$H:$H,MATCH($B127,Points_Lookup!$G:$G,0)),IF(AND(OR($B$4="APM Level 7",$B$4="R&amp;T Level 7",$B$4="APM Level 8"),B127&lt;&gt;""),INDEX(Points_Lookup!$E:$E,MATCH($Y127,Points_Lookup!$AE:$AE,0)),IF($B$4="R&amp;T Level 5 - Clinical Lecturers (Vet School)",SUMIF(Points_Lookup!$M:$M,$B127,Points_Lookup!$P:$P),IF($B$4="R&amp;T Level 6 - Clinical Associate Professors and Clinical Readers (Vet School)",SUMIF(Points_Lookup!$T:$T,$B127,Points_Lookup!$W:$W),IFERROR(INDEX(Points_Lookup!$B:$B,MATCH($Y127,Points_Lookup!$AE:$AE,0)),""))))))))</f>
        <v/>
      </c>
      <c r="D127" s="39"/>
      <c r="E127" s="24" t="str">
        <f ca="1">IF($B127="","",IF(AND($B$4="Salary Points 2 to 57",B127&lt;Thresholds_Rates!$C$16),"-",IF(SUMIF(Grades!$A:$A,$B$4,Grades!$BO:$BO)=0,"-",IF(AND($B$4="Salary Points 2 to 57",B127&gt;=Thresholds_Rates!$C$16),$C127*Thresholds_Rates!$F$15,IF(AND(OR($B$4="New Consultant Contract"),$B127&lt;&gt;""),$C127*Thresholds_Rates!$F$15,IF(AND(OR($B$4="Clinical Lecturer / Medical Research Fellow",$B$4="Clinical Consultant - Old Contract (GP)"),$B127&lt;&gt;""),$C127*Thresholds_Rates!$F$15,IF(OR($B$4="APM Level 7",$B$4="R&amp;T Level 7"),$C127*Thresholds_Rates!$F$15,IF(SUMIF(Grades!$A:$A,$B$4,Grades!$BO:$BO)=1,$C127*Thresholds_Rates!$F$15,""))))))))</f>
        <v/>
      </c>
      <c r="F127" s="24" t="str">
        <f ca="1">IF(B127="","",IF($B$4="Salary Points 1 to 57","-",IF(SUMIF(Grades!$A:$A,$B$4,Grades!$BP:$BP)=0,"-",IF(AND(OR($B$4="New Consultant Contract"),$B127&lt;&gt;""),$C127*Thresholds_Rates!$F$16,IF(AND(OR($B$4="Clinical Lecturer / Medical Research Fellow",$B$4="Clinical Consultant - Old Contract (GP)"),$B127&lt;&gt;""),$C127*Thresholds_Rates!$F$16,IF(AND(OR($B$4="APM Level 7",$B$4="R&amp;T Level 7"),E127&lt;&gt;""),$C127*Thresholds_Rates!$F$16,IF(SUMIF(Grades!$A:$A,$B$4,Grades!$BP:$BP)=1,$C127*Thresholds_Rates!$F$16,"")))))))</f>
        <v/>
      </c>
      <c r="G127" s="24" t="str">
        <f ca="1">IF(B127="","",IF(SUMIF(Grades!$A:$A,$B$4,Grades!$BQ:$BQ)=0,"-",IF(AND($B$4="Salary Points 1 to 57",B127&gt;Thresholds_Rates!$C$17),"-",IF(AND($B$4="Salary Points 1 to 57",B127&lt;=Thresholds_Rates!$C$17),$C127*Thresholds_Rates!$F$17,IF(AND(OR($B$4="New Consultant Contract"),$B127&lt;&gt;""),$C127*Thresholds_Rates!$F$17,IF(AND(OR($B$4="Clinical Lecturer / Medical Research Fellow",$B$4="Clinical Consultant - Old Contract (GP)"),$B127&lt;&gt;""),$C127*Thresholds_Rates!$F$17,IF(AND(OR($B$4="APM Level 7",$B$4="R&amp;T Level 7"),F127&lt;&gt;""),$C127*Thresholds_Rates!$F$17,IF(SUMIF(Grades!$A:$A,$B$4,Grades!$BQ:$BQ)=1,$C127*Thresholds_Rates!$F$17,""))))))))</f>
        <v/>
      </c>
      <c r="H127" s="24"/>
      <c r="I127" s="24"/>
      <c r="J127" s="4"/>
      <c r="K127" s="24" t="str">
        <f t="shared" ca="1" si="7"/>
        <v/>
      </c>
      <c r="L127" s="24" t="str">
        <f t="shared" ca="1" si="8"/>
        <v/>
      </c>
      <c r="M127" s="24" t="str">
        <f t="shared" ca="1" si="9"/>
        <v/>
      </c>
      <c r="N127" s="24" t="str">
        <f t="shared" ca="1" si="10"/>
        <v/>
      </c>
      <c r="O127" s="24" t="str">
        <f t="shared" ca="1" si="11"/>
        <v/>
      </c>
      <c r="Q127" s="27"/>
      <c r="R127" s="28"/>
      <c r="S127" s="27"/>
      <c r="T127" s="28"/>
    </row>
    <row r="128" spans="2:20" x14ac:dyDescent="0.25">
      <c r="B128" s="4" t="str">
        <f ca="1">IFERROR(INDEX(Points_Lookup!$A:$A,MATCH($Y130,Points_Lookup!$AE:$AE,0)),"")</f>
        <v/>
      </c>
      <c r="C128" s="24" t="str">
        <f ca="1">IF(B128="","",IF($B$4="Apprenticeship",SUMIF(Points_Lookup!$AA:$AA,B128,Points_Lookup!$AC:$AC),IF(AND(OR($B$4="New Consultant Contract"),$B128&lt;&gt;""),INDEX(Points_Lookup!$K:$K,MATCH($B128,Points_Lookup!$J:$J,0)),IF(AND(OR($B$4="Clinical Lecturer / Medical Research Fellow",$B$4="Clinical Consultant - Old Contract (GP)"),$B128&lt;&gt;""),INDEX(Points_Lookup!$H:$H,MATCH($B128,Points_Lookup!$G:$G,0)),IF(AND(OR($B$4="APM Level 7",$B$4="R&amp;T Level 7",$B$4="APM Level 8"),B128&lt;&gt;""),INDEX(Points_Lookup!$E:$E,MATCH($Y128,Points_Lookup!$AE:$AE,0)),IF($B$4="R&amp;T Level 5 - Clinical Lecturers (Vet School)",SUMIF(Points_Lookup!$M:$M,$B128,Points_Lookup!$P:$P),IF($B$4="R&amp;T Level 6 - Clinical Associate Professors and Clinical Readers (Vet School)",SUMIF(Points_Lookup!$T:$T,$B128,Points_Lookup!$W:$W),IFERROR(INDEX(Points_Lookup!$B:$B,MATCH($Y128,Points_Lookup!$AE:$AE,0)),""))))))))</f>
        <v/>
      </c>
      <c r="D128" s="39"/>
      <c r="E128" s="24" t="str">
        <f ca="1">IF($B128="","",IF(AND($B$4="Salary Points 2 to 57",B128&lt;Thresholds_Rates!$C$16),"-",IF(SUMIF(Grades!$A:$A,$B$4,Grades!$BO:$BO)=0,"-",IF(AND($B$4="Salary Points 2 to 57",B128&gt;=Thresholds_Rates!$C$16),$C128*Thresholds_Rates!$F$15,IF(AND(OR($B$4="New Consultant Contract"),$B128&lt;&gt;""),$C128*Thresholds_Rates!$F$15,IF(AND(OR($B$4="Clinical Lecturer / Medical Research Fellow",$B$4="Clinical Consultant - Old Contract (GP)"),$B128&lt;&gt;""),$C128*Thresholds_Rates!$F$15,IF(OR($B$4="APM Level 7",$B$4="R&amp;T Level 7"),$C128*Thresholds_Rates!$F$15,IF(SUMIF(Grades!$A:$A,$B$4,Grades!$BO:$BO)=1,$C128*Thresholds_Rates!$F$15,""))))))))</f>
        <v/>
      </c>
      <c r="F128" s="24" t="str">
        <f ca="1">IF(B128="","",IF($B$4="Salary Points 1 to 57","-",IF(SUMIF(Grades!$A:$A,$B$4,Grades!$BP:$BP)=0,"-",IF(AND(OR($B$4="New Consultant Contract"),$B128&lt;&gt;""),$C128*Thresholds_Rates!$F$16,IF(AND(OR($B$4="Clinical Lecturer / Medical Research Fellow",$B$4="Clinical Consultant - Old Contract (GP)"),$B128&lt;&gt;""),$C128*Thresholds_Rates!$F$16,IF(AND(OR($B$4="APM Level 7",$B$4="R&amp;T Level 7"),E128&lt;&gt;""),$C128*Thresholds_Rates!$F$16,IF(SUMIF(Grades!$A:$A,$B$4,Grades!$BP:$BP)=1,$C128*Thresholds_Rates!$F$16,"")))))))</f>
        <v/>
      </c>
      <c r="G128" s="24" t="str">
        <f ca="1">IF(B128="","",IF(SUMIF(Grades!$A:$A,$B$4,Grades!$BQ:$BQ)=0,"-",IF(AND($B$4="Salary Points 1 to 57",B128&gt;Thresholds_Rates!$C$17),"-",IF(AND($B$4="Salary Points 1 to 57",B128&lt;=Thresholds_Rates!$C$17),$C128*Thresholds_Rates!$F$17,IF(AND(OR($B$4="New Consultant Contract"),$B128&lt;&gt;""),$C128*Thresholds_Rates!$F$17,IF(AND(OR($B$4="Clinical Lecturer / Medical Research Fellow",$B$4="Clinical Consultant - Old Contract (GP)"),$B128&lt;&gt;""),$C128*Thresholds_Rates!$F$17,IF(AND(OR($B$4="APM Level 7",$B$4="R&amp;T Level 7"),F128&lt;&gt;""),$C128*Thresholds_Rates!$F$17,IF(SUMIF(Grades!$A:$A,$B$4,Grades!$BQ:$BQ)=1,$C128*Thresholds_Rates!$F$17,""))))))))</f>
        <v/>
      </c>
      <c r="H128" s="24"/>
      <c r="I128" s="24"/>
      <c r="J128" s="4"/>
      <c r="K128" s="24" t="str">
        <f t="shared" ca="1" si="7"/>
        <v/>
      </c>
      <c r="L128" s="24" t="str">
        <f t="shared" ca="1" si="8"/>
        <v/>
      </c>
      <c r="M128" s="24" t="str">
        <f t="shared" ca="1" si="9"/>
        <v/>
      </c>
      <c r="N128" s="24" t="str">
        <f t="shared" ca="1" si="10"/>
        <v/>
      </c>
      <c r="O128" s="24" t="str">
        <f t="shared" ca="1" si="11"/>
        <v/>
      </c>
      <c r="Q128" s="27"/>
      <c r="R128" s="28"/>
      <c r="S128" s="27"/>
      <c r="T128" s="28"/>
    </row>
    <row r="129" spans="2:20" x14ac:dyDescent="0.25">
      <c r="B129" s="4" t="str">
        <f ca="1">IFERROR(INDEX(Points_Lookup!$A:$A,MATCH($Y131,Points_Lookup!$AE:$AE,0)),"")</f>
        <v/>
      </c>
      <c r="C129" s="24" t="str">
        <f ca="1">IF(B129="","",IF($B$4="Apprenticeship",SUMIF(Points_Lookup!$AA:$AA,B129,Points_Lookup!$AC:$AC),IF(AND(OR($B$4="New Consultant Contract"),$B129&lt;&gt;""),INDEX(Points_Lookup!$K:$K,MATCH($B129,Points_Lookup!$J:$J,0)),IF(AND(OR($B$4="Clinical Lecturer / Medical Research Fellow",$B$4="Clinical Consultant - Old Contract (GP)"),$B129&lt;&gt;""),INDEX(Points_Lookup!$H:$H,MATCH($B129,Points_Lookup!$G:$G,0)),IF(AND(OR($B$4="APM Level 7",$B$4="R&amp;T Level 7",$B$4="APM Level 8"),B129&lt;&gt;""),INDEX(Points_Lookup!$E:$E,MATCH($Y129,Points_Lookup!$AE:$AE,0)),IF($B$4="R&amp;T Level 5 - Clinical Lecturers (Vet School)",SUMIF(Points_Lookup!$M:$M,$B129,Points_Lookup!$P:$P),IF($B$4="R&amp;T Level 6 - Clinical Associate Professors and Clinical Readers (Vet School)",SUMIF(Points_Lookup!$T:$T,$B129,Points_Lookup!$W:$W),IFERROR(INDEX(Points_Lookup!$B:$B,MATCH($Y129,Points_Lookup!$AE:$AE,0)),""))))))))</f>
        <v/>
      </c>
      <c r="D129" s="39"/>
      <c r="E129" s="24" t="str">
        <f ca="1">IF($B129="","",IF(AND($B$4="Salary Points 2 to 57",B129&lt;Thresholds_Rates!$C$16),"-",IF(SUMIF(Grades!$A:$A,$B$4,Grades!$BO:$BO)=0,"-",IF(AND($B$4="Salary Points 2 to 57",B129&gt;=Thresholds_Rates!$C$16),$C129*Thresholds_Rates!$F$15,IF(AND(OR($B$4="New Consultant Contract"),$B129&lt;&gt;""),$C129*Thresholds_Rates!$F$15,IF(AND(OR($B$4="Clinical Lecturer / Medical Research Fellow",$B$4="Clinical Consultant - Old Contract (GP)"),$B129&lt;&gt;""),$C129*Thresholds_Rates!$F$15,IF(OR($B$4="APM Level 7",$B$4="R&amp;T Level 7"),$C129*Thresholds_Rates!$F$15,IF(SUMIF(Grades!$A:$A,$B$4,Grades!$BO:$BO)=1,$C129*Thresholds_Rates!$F$15,""))))))))</f>
        <v/>
      </c>
      <c r="F129" s="24" t="str">
        <f ca="1">IF(B129="","",IF($B$4="Salary Points 1 to 57","-",IF(SUMIF(Grades!$A:$A,$B$4,Grades!$BP:$BP)=0,"-",IF(AND(OR($B$4="New Consultant Contract"),$B129&lt;&gt;""),$C129*Thresholds_Rates!$F$16,IF(AND(OR($B$4="Clinical Lecturer / Medical Research Fellow",$B$4="Clinical Consultant - Old Contract (GP)"),$B129&lt;&gt;""),$C129*Thresholds_Rates!$F$16,IF(AND(OR($B$4="APM Level 7",$B$4="R&amp;T Level 7"),E129&lt;&gt;""),$C129*Thresholds_Rates!$F$16,IF(SUMIF(Grades!$A:$A,$B$4,Grades!$BP:$BP)=1,$C129*Thresholds_Rates!$F$16,"")))))))</f>
        <v/>
      </c>
      <c r="G129" s="24" t="str">
        <f ca="1">IF(B129="","",IF(SUMIF(Grades!$A:$A,$B$4,Grades!$BQ:$BQ)=0,"-",IF(AND($B$4="Salary Points 1 to 57",B129&gt;Thresholds_Rates!$C$17),"-",IF(AND($B$4="Salary Points 1 to 57",B129&lt;=Thresholds_Rates!$C$17),$C129*Thresholds_Rates!$F$17,IF(AND(OR($B$4="New Consultant Contract"),$B129&lt;&gt;""),$C129*Thresholds_Rates!$F$17,IF(AND(OR($B$4="Clinical Lecturer / Medical Research Fellow",$B$4="Clinical Consultant - Old Contract (GP)"),$B129&lt;&gt;""),$C129*Thresholds_Rates!$F$17,IF(AND(OR($B$4="APM Level 7",$B$4="R&amp;T Level 7"),F129&lt;&gt;""),$C129*Thresholds_Rates!$F$17,IF(SUMIF(Grades!$A:$A,$B$4,Grades!$BQ:$BQ)=1,$C129*Thresholds_Rates!$F$17,""))))))))</f>
        <v/>
      </c>
      <c r="H129" s="24"/>
      <c r="I129" s="24"/>
      <c r="J129" s="4"/>
      <c r="K129" s="24" t="str">
        <f t="shared" ca="1" si="7"/>
        <v/>
      </c>
      <c r="L129" s="24" t="str">
        <f t="shared" ca="1" si="8"/>
        <v/>
      </c>
      <c r="M129" s="24" t="str">
        <f t="shared" ca="1" si="9"/>
        <v/>
      </c>
      <c r="N129" s="24" t="str">
        <f t="shared" ca="1" si="10"/>
        <v/>
      </c>
      <c r="O129" s="24" t="str">
        <f t="shared" ca="1" si="11"/>
        <v/>
      </c>
      <c r="Q129" s="27"/>
      <c r="R129" s="28"/>
      <c r="S129" s="27"/>
      <c r="T129" s="28"/>
    </row>
    <row r="130" spans="2:20" x14ac:dyDescent="0.25">
      <c r="B130" s="4" t="str">
        <f ca="1">IFERROR(INDEX(Points_Lookup!$A:$A,MATCH($Y132,Points_Lookup!$AE:$AE,0)),"")</f>
        <v/>
      </c>
      <c r="C130" s="24" t="str">
        <f ca="1">IF(B130="","",IF($B$4="Apprenticeship",SUMIF(Points_Lookup!$AA:$AA,B130,Points_Lookup!$AC:$AC),IF(AND(OR($B$4="New Consultant Contract"),$B130&lt;&gt;""),INDEX(Points_Lookup!$K:$K,MATCH($B130,Points_Lookup!$J:$J,0)),IF(AND(OR($B$4="Clinical Lecturer / Medical Research Fellow",$B$4="Clinical Consultant - Old Contract (GP)"),$B130&lt;&gt;""),INDEX(Points_Lookup!$H:$H,MATCH($B130,Points_Lookup!$G:$G,0)),IF(AND(OR($B$4="APM Level 7",$B$4="R&amp;T Level 7",$B$4="APM Level 8"),B130&lt;&gt;""),INDEX(Points_Lookup!$E:$E,MATCH($Y130,Points_Lookup!$AE:$AE,0)),IF($B$4="R&amp;T Level 5 - Clinical Lecturers (Vet School)",SUMIF(Points_Lookup!$M:$M,$B130,Points_Lookup!$P:$P),IF($B$4="R&amp;T Level 6 - Clinical Associate Professors and Clinical Readers (Vet School)",SUMIF(Points_Lookup!$T:$T,$B130,Points_Lookup!$W:$W),IFERROR(INDEX(Points_Lookup!$B:$B,MATCH($Y130,Points_Lookup!$AE:$AE,0)),""))))))))</f>
        <v/>
      </c>
      <c r="D130" s="39"/>
      <c r="E130" s="24" t="str">
        <f ca="1">IF($B130="","",IF(AND($B$4="Salary Points 2 to 57",B130&lt;Thresholds_Rates!$C$16),"-",IF(SUMIF(Grades!$A:$A,$B$4,Grades!$BO:$BO)=0,"-",IF(AND($B$4="Salary Points 2 to 57",B130&gt;=Thresholds_Rates!$C$16),$C130*Thresholds_Rates!$F$15,IF(AND(OR($B$4="New Consultant Contract"),$B130&lt;&gt;""),$C130*Thresholds_Rates!$F$15,IF(AND(OR($B$4="Clinical Lecturer / Medical Research Fellow",$B$4="Clinical Consultant - Old Contract (GP)"),$B130&lt;&gt;""),$C130*Thresholds_Rates!$F$15,IF(OR($B$4="APM Level 7",$B$4="R&amp;T Level 7"),$C130*Thresholds_Rates!$F$15,IF(SUMIF(Grades!$A:$A,$B$4,Grades!$BO:$BO)=1,$C130*Thresholds_Rates!$F$15,""))))))))</f>
        <v/>
      </c>
      <c r="F130" s="24" t="str">
        <f ca="1">IF(B130="","",IF($B$4="Salary Points 1 to 57","-",IF(SUMIF(Grades!$A:$A,$B$4,Grades!$BP:$BP)=0,"-",IF(AND(OR($B$4="New Consultant Contract"),$B130&lt;&gt;""),$C130*Thresholds_Rates!$F$16,IF(AND(OR($B$4="Clinical Lecturer / Medical Research Fellow",$B$4="Clinical Consultant - Old Contract (GP)"),$B130&lt;&gt;""),$C130*Thresholds_Rates!$F$16,IF(AND(OR($B$4="APM Level 7",$B$4="R&amp;T Level 7"),E130&lt;&gt;""),$C130*Thresholds_Rates!$F$16,IF(SUMIF(Grades!$A:$A,$B$4,Grades!$BP:$BP)=1,$C130*Thresholds_Rates!$F$16,"")))))))</f>
        <v/>
      </c>
      <c r="G130" s="24" t="str">
        <f ca="1">IF(B130="","",IF(SUMIF(Grades!$A:$A,$B$4,Grades!$BQ:$BQ)=0,"-",IF(AND($B$4="Salary Points 1 to 57",B130&gt;Thresholds_Rates!$C$17),"-",IF(AND($B$4="Salary Points 1 to 57",B130&lt;=Thresholds_Rates!$C$17),$C130*Thresholds_Rates!$F$17,IF(AND(OR($B$4="New Consultant Contract"),$B130&lt;&gt;""),$C130*Thresholds_Rates!$F$17,IF(AND(OR($B$4="Clinical Lecturer / Medical Research Fellow",$B$4="Clinical Consultant - Old Contract (GP)"),$B130&lt;&gt;""),$C130*Thresholds_Rates!$F$17,IF(AND(OR($B$4="APM Level 7",$B$4="R&amp;T Level 7"),F130&lt;&gt;""),$C130*Thresholds_Rates!$F$17,IF(SUMIF(Grades!$A:$A,$B$4,Grades!$BQ:$BQ)=1,$C130*Thresholds_Rates!$F$17,""))))))))</f>
        <v/>
      </c>
      <c r="H130" s="24"/>
      <c r="I130" s="24"/>
      <c r="J130" s="4"/>
      <c r="K130" s="24" t="str">
        <f t="shared" ca="1" si="7"/>
        <v/>
      </c>
      <c r="L130" s="24" t="str">
        <f t="shared" ca="1" si="8"/>
        <v/>
      </c>
      <c r="M130" s="24" t="str">
        <f t="shared" ca="1" si="9"/>
        <v/>
      </c>
      <c r="N130" s="24" t="str">
        <f t="shared" ca="1" si="10"/>
        <v/>
      </c>
      <c r="O130" s="24" t="str">
        <f t="shared" ca="1" si="11"/>
        <v/>
      </c>
      <c r="Q130" s="27"/>
      <c r="R130" s="28"/>
      <c r="S130" s="27"/>
      <c r="T130" s="28"/>
    </row>
    <row r="131" spans="2:20" x14ac:dyDescent="0.25">
      <c r="B131" s="4" t="str">
        <f ca="1">IFERROR(INDEX(Points_Lookup!$A:$A,MATCH($Y133,Points_Lookup!$AE:$AE,0)),"")</f>
        <v/>
      </c>
      <c r="C131" s="24" t="str">
        <f ca="1">IF(B131="","",IF($B$4="Apprenticeship",SUMIF(Points_Lookup!$AA:$AA,B131,Points_Lookup!$AC:$AC),IF(AND(OR($B$4="New Consultant Contract"),$B131&lt;&gt;""),INDEX(Points_Lookup!$K:$K,MATCH($B131,Points_Lookup!$J:$J,0)),IF(AND(OR($B$4="Clinical Lecturer / Medical Research Fellow",$B$4="Clinical Consultant - Old Contract (GP)"),$B131&lt;&gt;""),INDEX(Points_Lookup!$H:$H,MATCH($B131,Points_Lookup!$G:$G,0)),IF(AND(OR($B$4="APM Level 7",$B$4="R&amp;T Level 7",$B$4="APM Level 8"),B131&lt;&gt;""),INDEX(Points_Lookup!$E:$E,MATCH($Y131,Points_Lookup!$AE:$AE,0)),IF($B$4="R&amp;T Level 5 - Clinical Lecturers (Vet School)",SUMIF(Points_Lookup!$M:$M,$B131,Points_Lookup!$P:$P),IF($B$4="R&amp;T Level 6 - Clinical Associate Professors and Clinical Readers (Vet School)",SUMIF(Points_Lookup!$T:$T,$B131,Points_Lookup!$W:$W),IFERROR(INDEX(Points_Lookup!$B:$B,MATCH($Y131,Points_Lookup!$AE:$AE,0)),""))))))))</f>
        <v/>
      </c>
      <c r="D131" s="39"/>
      <c r="E131" s="24" t="str">
        <f ca="1">IF($B131="","",IF(AND($B$4="Salary Points 2 to 57",B131&lt;Thresholds_Rates!$C$16),"-",IF(SUMIF(Grades!$A:$A,$B$4,Grades!$BO:$BO)=0,"-",IF(AND($B$4="Salary Points 2 to 57",B131&gt;=Thresholds_Rates!$C$16),$C131*Thresholds_Rates!$F$15,IF(AND(OR($B$4="New Consultant Contract"),$B131&lt;&gt;""),$C131*Thresholds_Rates!$F$15,IF(AND(OR($B$4="Clinical Lecturer / Medical Research Fellow",$B$4="Clinical Consultant - Old Contract (GP)"),$B131&lt;&gt;""),$C131*Thresholds_Rates!$F$15,IF(OR($B$4="APM Level 7",$B$4="R&amp;T Level 7"),$C131*Thresholds_Rates!$F$15,IF(SUMIF(Grades!$A:$A,$B$4,Grades!$BO:$BO)=1,$C131*Thresholds_Rates!$F$15,""))))))))</f>
        <v/>
      </c>
      <c r="F131" s="24" t="str">
        <f ca="1">IF(B131="","",IF($B$4="Salary Points 1 to 57","-",IF(SUMIF(Grades!$A:$A,$B$4,Grades!$BP:$BP)=0,"-",IF(AND(OR($B$4="New Consultant Contract"),$B131&lt;&gt;""),$C131*Thresholds_Rates!$F$16,IF(AND(OR($B$4="Clinical Lecturer / Medical Research Fellow",$B$4="Clinical Consultant - Old Contract (GP)"),$B131&lt;&gt;""),$C131*Thresholds_Rates!$F$16,IF(AND(OR($B$4="APM Level 7",$B$4="R&amp;T Level 7"),E131&lt;&gt;""),$C131*Thresholds_Rates!$F$16,IF(SUMIF(Grades!$A:$A,$B$4,Grades!$BP:$BP)=1,$C131*Thresholds_Rates!$F$16,"")))))))</f>
        <v/>
      </c>
      <c r="G131" s="24" t="str">
        <f ca="1">IF(B131="","",IF(SUMIF(Grades!$A:$A,$B$4,Grades!$BQ:$BQ)=0,"-",IF(AND($B$4="Salary Points 1 to 57",B131&gt;Thresholds_Rates!$C$17),"-",IF(AND($B$4="Salary Points 1 to 57",B131&lt;=Thresholds_Rates!$C$17),$C131*Thresholds_Rates!$F$17,IF(AND(OR($B$4="New Consultant Contract"),$B131&lt;&gt;""),$C131*Thresholds_Rates!$F$17,IF(AND(OR($B$4="Clinical Lecturer / Medical Research Fellow",$B$4="Clinical Consultant - Old Contract (GP)"),$B131&lt;&gt;""),$C131*Thresholds_Rates!$F$17,IF(AND(OR($B$4="APM Level 7",$B$4="R&amp;T Level 7"),F131&lt;&gt;""),$C131*Thresholds_Rates!$F$17,IF(SUMIF(Grades!$A:$A,$B$4,Grades!$BQ:$BQ)=1,$C131*Thresholds_Rates!$F$17,""))))))))</f>
        <v/>
      </c>
      <c r="H131" s="24"/>
      <c r="I131" s="24"/>
      <c r="J131" s="4"/>
      <c r="K131" s="24" t="str">
        <f t="shared" ca="1" si="7"/>
        <v/>
      </c>
      <c r="L131" s="24" t="str">
        <f t="shared" ca="1" si="8"/>
        <v/>
      </c>
      <c r="M131" s="24" t="str">
        <f t="shared" ca="1" si="9"/>
        <v/>
      </c>
      <c r="N131" s="24" t="str">
        <f t="shared" ca="1" si="10"/>
        <v/>
      </c>
      <c r="O131" s="24" t="str">
        <f t="shared" ca="1" si="11"/>
        <v/>
      </c>
      <c r="Q131" s="27"/>
      <c r="R131" s="28"/>
      <c r="S131" s="27"/>
      <c r="T131" s="28"/>
    </row>
    <row r="132" spans="2:20" x14ac:dyDescent="0.25">
      <c r="B132" s="4" t="str">
        <f ca="1">IFERROR(INDEX(Points_Lookup!$A:$A,MATCH($Y134,Points_Lookup!$AE:$AE,0)),"")</f>
        <v/>
      </c>
      <c r="C132" s="24" t="str">
        <f ca="1">IF(B132="","",IF($B$4="Apprenticeship",SUMIF(Points_Lookup!$AA:$AA,B132,Points_Lookup!$AC:$AC),IF(AND(OR($B$4="New Consultant Contract"),$B132&lt;&gt;""),INDEX(Points_Lookup!$K:$K,MATCH($B132,Points_Lookup!$J:$J,0)),IF(AND(OR($B$4="Clinical Lecturer / Medical Research Fellow",$B$4="Clinical Consultant - Old Contract (GP)"),$B132&lt;&gt;""),INDEX(Points_Lookup!$H:$H,MATCH($B132,Points_Lookup!$G:$G,0)),IF(AND(OR($B$4="APM Level 7",$B$4="R&amp;T Level 7",$B$4="APM Level 8"),B132&lt;&gt;""),INDEX(Points_Lookup!$E:$E,MATCH($Y132,Points_Lookup!$AE:$AE,0)),IF($B$4="R&amp;T Level 5 - Clinical Lecturers (Vet School)",SUMIF(Points_Lookup!$M:$M,$B132,Points_Lookup!$P:$P),IF($B$4="R&amp;T Level 6 - Clinical Associate Professors and Clinical Readers (Vet School)",SUMIF(Points_Lookup!$T:$T,$B132,Points_Lookup!$W:$W),IFERROR(INDEX(Points_Lookup!$B:$B,MATCH($Y132,Points_Lookup!$AE:$AE,0)),""))))))))</f>
        <v/>
      </c>
      <c r="D132" s="39"/>
      <c r="E132" s="24" t="str">
        <f ca="1">IF($B132="","",IF(AND($B$4="Salary Points 2 to 57",B132&lt;Thresholds_Rates!$C$16),"-",IF(SUMIF(Grades!$A:$A,$B$4,Grades!$BO:$BO)=0,"-",IF(AND($B$4="Salary Points 2 to 57",B132&gt;=Thresholds_Rates!$C$16),$C132*Thresholds_Rates!$F$15,IF(AND(OR($B$4="New Consultant Contract"),$B132&lt;&gt;""),$C132*Thresholds_Rates!$F$15,IF(AND(OR($B$4="Clinical Lecturer / Medical Research Fellow",$B$4="Clinical Consultant - Old Contract (GP)"),$B132&lt;&gt;""),$C132*Thresholds_Rates!$F$15,IF(OR($B$4="APM Level 7",$B$4="R&amp;T Level 7"),$C132*Thresholds_Rates!$F$15,IF(SUMIF(Grades!$A:$A,$B$4,Grades!$BO:$BO)=1,$C132*Thresholds_Rates!$F$15,""))))))))</f>
        <v/>
      </c>
      <c r="F132" s="24" t="str">
        <f ca="1">IF(B132="","",IF($B$4="Salary Points 1 to 57","-",IF(SUMIF(Grades!$A:$A,$B$4,Grades!$BP:$BP)=0,"-",IF(AND(OR($B$4="New Consultant Contract"),$B132&lt;&gt;""),$C132*Thresholds_Rates!$F$16,IF(AND(OR($B$4="Clinical Lecturer / Medical Research Fellow",$B$4="Clinical Consultant - Old Contract (GP)"),$B132&lt;&gt;""),$C132*Thresholds_Rates!$F$16,IF(AND(OR($B$4="APM Level 7",$B$4="R&amp;T Level 7"),E132&lt;&gt;""),$C132*Thresholds_Rates!$F$16,IF(SUMIF(Grades!$A:$A,$B$4,Grades!$BP:$BP)=1,$C132*Thresholds_Rates!$F$16,"")))))))</f>
        <v/>
      </c>
      <c r="G132" s="24" t="str">
        <f ca="1">IF(B132="","",IF(SUMIF(Grades!$A:$A,$B$4,Grades!$BQ:$BQ)=0,"-",IF(AND($B$4="Salary Points 1 to 57",B132&gt;Thresholds_Rates!$C$17),"-",IF(AND($B$4="Salary Points 1 to 57",B132&lt;=Thresholds_Rates!$C$17),$C132*Thresholds_Rates!$F$17,IF(AND(OR($B$4="New Consultant Contract"),$B132&lt;&gt;""),$C132*Thresholds_Rates!$F$17,IF(AND(OR($B$4="Clinical Lecturer / Medical Research Fellow",$B$4="Clinical Consultant - Old Contract (GP)"),$B132&lt;&gt;""),$C132*Thresholds_Rates!$F$17,IF(AND(OR($B$4="APM Level 7",$B$4="R&amp;T Level 7"),F132&lt;&gt;""),$C132*Thresholds_Rates!$F$17,IF(SUMIF(Grades!$A:$A,$B$4,Grades!$BQ:$BQ)=1,$C132*Thresholds_Rates!$F$17,""))))))))</f>
        <v/>
      </c>
      <c r="H132" s="24"/>
      <c r="I132" s="24"/>
      <c r="J132" s="4"/>
      <c r="K132" s="24" t="str">
        <f t="shared" ca="1" si="7"/>
        <v/>
      </c>
      <c r="L132" s="24" t="str">
        <f t="shared" ca="1" si="8"/>
        <v/>
      </c>
      <c r="M132" s="24" t="str">
        <f t="shared" ca="1" si="9"/>
        <v/>
      </c>
      <c r="N132" s="24" t="str">
        <f t="shared" ca="1" si="10"/>
        <v/>
      </c>
      <c r="O132" s="24" t="str">
        <f t="shared" ca="1" si="11"/>
        <v/>
      </c>
      <c r="Q132" s="27"/>
      <c r="R132" s="28"/>
      <c r="S132" s="27"/>
      <c r="T132" s="28"/>
    </row>
    <row r="133" spans="2:20" x14ac:dyDescent="0.25">
      <c r="B133" s="4" t="str">
        <f ca="1">IFERROR(INDEX(Points_Lookup!$A:$A,MATCH($Y135,Points_Lookup!$AE:$AE,0)),"")</f>
        <v/>
      </c>
      <c r="C133" s="24" t="str">
        <f ca="1">IF(B133="","",IF($B$4="Apprenticeship",SUMIF(Points_Lookup!$AA:$AA,B133,Points_Lookup!$AC:$AC),IF(AND(OR($B$4="New Consultant Contract"),$B133&lt;&gt;""),INDEX(Points_Lookup!$K:$K,MATCH($B133,Points_Lookup!$J:$J,0)),IF(AND(OR($B$4="Clinical Lecturer / Medical Research Fellow",$B$4="Clinical Consultant - Old Contract (GP)"),$B133&lt;&gt;""),INDEX(Points_Lookup!$H:$H,MATCH($B133,Points_Lookup!$G:$G,0)),IF(AND(OR($B$4="APM Level 7",$B$4="R&amp;T Level 7",$B$4="APM Level 8"),B133&lt;&gt;""),INDEX(Points_Lookup!$E:$E,MATCH($Y133,Points_Lookup!$AE:$AE,0)),IF($B$4="R&amp;T Level 5 - Clinical Lecturers (Vet School)",SUMIF(Points_Lookup!$M:$M,$B133,Points_Lookup!$P:$P),IF($B$4="R&amp;T Level 6 - Clinical Associate Professors and Clinical Readers (Vet School)",SUMIF(Points_Lookup!$T:$T,$B133,Points_Lookup!$W:$W),IFERROR(INDEX(Points_Lookup!$B:$B,MATCH($Y133,Points_Lookup!$AE:$AE,0)),""))))))))</f>
        <v/>
      </c>
      <c r="D133" s="39"/>
      <c r="E133" s="24" t="str">
        <f ca="1">IF($B133="","",IF(AND($B$4="Salary Points 2 to 57",B133&lt;Thresholds_Rates!$C$16),"-",IF(SUMIF(Grades!$A:$A,$B$4,Grades!$BO:$BO)=0,"-",IF(AND($B$4="Salary Points 2 to 57",B133&gt;=Thresholds_Rates!$C$16),$C133*Thresholds_Rates!$F$15,IF(AND(OR($B$4="New Consultant Contract"),$B133&lt;&gt;""),$C133*Thresholds_Rates!$F$15,IF(AND(OR($B$4="Clinical Lecturer / Medical Research Fellow",$B$4="Clinical Consultant - Old Contract (GP)"),$B133&lt;&gt;""),$C133*Thresholds_Rates!$F$15,IF(OR($B$4="APM Level 7",$B$4="R&amp;T Level 7"),$C133*Thresholds_Rates!$F$15,IF(SUMIF(Grades!$A:$A,$B$4,Grades!$BO:$BO)=1,$C133*Thresholds_Rates!$F$15,""))))))))</f>
        <v/>
      </c>
      <c r="F133" s="24" t="str">
        <f ca="1">IF(B133="","",IF($B$4="Salary Points 1 to 57","-",IF(SUMIF(Grades!$A:$A,$B$4,Grades!$BP:$BP)=0,"-",IF(AND(OR($B$4="New Consultant Contract"),$B133&lt;&gt;""),$C133*Thresholds_Rates!$F$16,IF(AND(OR($B$4="Clinical Lecturer / Medical Research Fellow",$B$4="Clinical Consultant - Old Contract (GP)"),$B133&lt;&gt;""),$C133*Thresholds_Rates!$F$16,IF(AND(OR($B$4="APM Level 7",$B$4="R&amp;T Level 7"),E133&lt;&gt;""),$C133*Thresholds_Rates!$F$16,IF(SUMIF(Grades!$A:$A,$B$4,Grades!$BP:$BP)=1,$C133*Thresholds_Rates!$F$16,"")))))))</f>
        <v/>
      </c>
      <c r="G133" s="24" t="str">
        <f ca="1">IF(B133="","",IF(SUMIF(Grades!$A:$A,$B$4,Grades!$BQ:$BQ)=0,"-",IF(AND($B$4="Salary Points 1 to 57",B133&gt;Thresholds_Rates!$C$17),"-",IF(AND($B$4="Salary Points 1 to 57",B133&lt;=Thresholds_Rates!$C$17),$C133*Thresholds_Rates!$F$17,IF(AND(OR($B$4="New Consultant Contract"),$B133&lt;&gt;""),$C133*Thresholds_Rates!$F$17,IF(AND(OR($B$4="Clinical Lecturer / Medical Research Fellow",$B$4="Clinical Consultant - Old Contract (GP)"),$B133&lt;&gt;""),$C133*Thresholds_Rates!$F$17,IF(AND(OR($B$4="APM Level 7",$B$4="R&amp;T Level 7"),F133&lt;&gt;""),$C133*Thresholds_Rates!$F$17,IF(SUMIF(Grades!$A:$A,$B$4,Grades!$BQ:$BQ)=1,$C133*Thresholds_Rates!$F$17,""))))))))</f>
        <v/>
      </c>
      <c r="H133" s="24"/>
      <c r="I133" s="24"/>
      <c r="J133" s="4"/>
      <c r="K133" s="24" t="str">
        <f t="shared" ca="1" si="7"/>
        <v/>
      </c>
      <c r="L133" s="24" t="str">
        <f t="shared" ca="1" si="8"/>
        <v/>
      </c>
      <c r="M133" s="24" t="str">
        <f t="shared" ca="1" si="9"/>
        <v/>
      </c>
      <c r="N133" s="24" t="str">
        <f t="shared" ca="1" si="10"/>
        <v/>
      </c>
      <c r="O133" s="24" t="str">
        <f t="shared" ca="1" si="11"/>
        <v/>
      </c>
      <c r="Q133" s="27"/>
      <c r="R133" s="28"/>
      <c r="S133" s="27"/>
      <c r="T133" s="28"/>
    </row>
    <row r="134" spans="2:20" x14ac:dyDescent="0.25">
      <c r="B134" s="4" t="str">
        <f ca="1">IFERROR(INDEX(Points_Lookup!$A:$A,MATCH($Y136,Points_Lookup!$AE:$AE,0)),"")</f>
        <v/>
      </c>
      <c r="C134" s="24" t="str">
        <f ca="1">IF(B134="","",IF($B$4="Apprenticeship",SUMIF(Points_Lookup!$AA:$AA,B134,Points_Lookup!$AC:$AC),IF(AND(OR($B$4="New Consultant Contract"),$B134&lt;&gt;""),INDEX(Points_Lookup!$K:$K,MATCH($B134,Points_Lookup!$J:$J,0)),IF(AND(OR($B$4="Clinical Lecturer / Medical Research Fellow",$B$4="Clinical Consultant - Old Contract (GP)"),$B134&lt;&gt;""),INDEX(Points_Lookup!$H:$H,MATCH($B134,Points_Lookup!$G:$G,0)),IF(AND(OR($B$4="APM Level 7",$B$4="R&amp;T Level 7",$B$4="APM Level 8"),B134&lt;&gt;""),INDEX(Points_Lookup!$E:$E,MATCH($Y134,Points_Lookup!$AE:$AE,0)),IF($B$4="R&amp;T Level 5 - Clinical Lecturers (Vet School)",SUMIF(Points_Lookup!$M:$M,$B134,Points_Lookup!$P:$P),IF($B$4="R&amp;T Level 6 - Clinical Associate Professors and Clinical Readers (Vet School)",SUMIF(Points_Lookup!$T:$T,$B134,Points_Lookup!$W:$W),IFERROR(INDEX(Points_Lookup!$B:$B,MATCH($Y134,Points_Lookup!$AE:$AE,0)),""))))))))</f>
        <v/>
      </c>
      <c r="D134" s="39"/>
      <c r="E134" s="24" t="str">
        <f ca="1">IF($B134="","",IF(AND($B$4="Salary Points 2 to 57",B134&lt;Thresholds_Rates!$C$16),"-",IF(SUMIF(Grades!$A:$A,$B$4,Grades!$BO:$BO)=0,"-",IF(AND($B$4="Salary Points 2 to 57",B134&gt;=Thresholds_Rates!$C$16),$C134*Thresholds_Rates!$F$15,IF(AND(OR($B$4="New Consultant Contract"),$B134&lt;&gt;""),$C134*Thresholds_Rates!$F$15,IF(AND(OR($B$4="Clinical Lecturer / Medical Research Fellow",$B$4="Clinical Consultant - Old Contract (GP)"),$B134&lt;&gt;""),$C134*Thresholds_Rates!$F$15,IF(OR($B$4="APM Level 7",$B$4="R&amp;T Level 7"),$C134*Thresholds_Rates!$F$15,IF(SUMIF(Grades!$A:$A,$B$4,Grades!$BO:$BO)=1,$C134*Thresholds_Rates!$F$15,""))))))))</f>
        <v/>
      </c>
      <c r="F134" s="24" t="str">
        <f ca="1">IF(B134="","",IF($B$4="Salary Points 1 to 57","-",IF(SUMIF(Grades!$A:$A,$B$4,Grades!$BP:$BP)=0,"-",IF(AND(OR($B$4="New Consultant Contract"),$B134&lt;&gt;""),$C134*Thresholds_Rates!$F$16,IF(AND(OR($B$4="Clinical Lecturer / Medical Research Fellow",$B$4="Clinical Consultant - Old Contract (GP)"),$B134&lt;&gt;""),$C134*Thresholds_Rates!$F$16,IF(AND(OR($B$4="APM Level 7",$B$4="R&amp;T Level 7"),E134&lt;&gt;""),$C134*Thresholds_Rates!$F$16,IF(SUMIF(Grades!$A:$A,$B$4,Grades!$BP:$BP)=1,$C134*Thresholds_Rates!$F$16,"")))))))</f>
        <v/>
      </c>
      <c r="G134" s="24" t="str">
        <f ca="1">IF(B134="","",IF(SUMIF(Grades!$A:$A,$B$4,Grades!$BQ:$BQ)=0,"-",IF(AND($B$4="Salary Points 1 to 57",B134&gt;Thresholds_Rates!$C$17),"-",IF(AND($B$4="Salary Points 1 to 57",B134&lt;=Thresholds_Rates!$C$17),$C134*Thresholds_Rates!$F$17,IF(AND(OR($B$4="New Consultant Contract"),$B134&lt;&gt;""),$C134*Thresholds_Rates!$F$17,IF(AND(OR($B$4="Clinical Lecturer / Medical Research Fellow",$B$4="Clinical Consultant - Old Contract (GP)"),$B134&lt;&gt;""),$C134*Thresholds_Rates!$F$17,IF(AND(OR($B$4="APM Level 7",$B$4="R&amp;T Level 7"),F134&lt;&gt;""),$C134*Thresholds_Rates!$F$17,IF(SUMIF(Grades!$A:$A,$B$4,Grades!$BQ:$BQ)=1,$C134*Thresholds_Rates!$F$17,""))))))))</f>
        <v/>
      </c>
      <c r="H134" s="24"/>
      <c r="I134" s="24"/>
      <c r="J134" s="4"/>
      <c r="K134" s="24" t="str">
        <f t="shared" ca="1" si="7"/>
        <v/>
      </c>
      <c r="L134" s="24" t="str">
        <f t="shared" ca="1" si="8"/>
        <v/>
      </c>
      <c r="M134" s="24" t="str">
        <f t="shared" ca="1" si="9"/>
        <v/>
      </c>
      <c r="N134" s="24" t="str">
        <f t="shared" ca="1" si="10"/>
        <v/>
      </c>
      <c r="O134" s="24" t="str">
        <f t="shared" ca="1" si="11"/>
        <v/>
      </c>
      <c r="Q134" s="27"/>
      <c r="R134" s="28"/>
      <c r="S134" s="27"/>
      <c r="T134" s="28"/>
    </row>
    <row r="135" spans="2:20" x14ac:dyDescent="0.25">
      <c r="B135" s="4" t="str">
        <f ca="1">IFERROR(INDEX(Points_Lookup!$A:$A,MATCH($Y137,Points_Lookup!$AE:$AE,0)),"")</f>
        <v/>
      </c>
      <c r="C135" s="24" t="str">
        <f ca="1">IF(B135="","",IF($B$4="Apprenticeship",SUMIF(Points_Lookup!$AA:$AA,B135,Points_Lookup!$AC:$AC),IF(AND(OR($B$4="New Consultant Contract"),$B135&lt;&gt;""),INDEX(Points_Lookup!$K:$K,MATCH($B135,Points_Lookup!$J:$J,0)),IF(AND(OR($B$4="Clinical Lecturer / Medical Research Fellow",$B$4="Clinical Consultant - Old Contract (GP)"),$B135&lt;&gt;""),INDEX(Points_Lookup!$H:$H,MATCH($B135,Points_Lookup!$G:$G,0)),IF(AND(OR($B$4="APM Level 7",$B$4="R&amp;T Level 7",$B$4="APM Level 8"),B135&lt;&gt;""),INDEX(Points_Lookup!$E:$E,MATCH($Y135,Points_Lookup!$AE:$AE,0)),IF($B$4="R&amp;T Level 5 - Clinical Lecturers (Vet School)",SUMIF(Points_Lookup!$M:$M,$B135,Points_Lookup!$P:$P),IF($B$4="R&amp;T Level 6 - Clinical Associate Professors and Clinical Readers (Vet School)",SUMIF(Points_Lookup!$T:$T,$B135,Points_Lookup!$W:$W),IFERROR(INDEX(Points_Lookup!$B:$B,MATCH($Y135,Points_Lookup!$AE:$AE,0)),""))))))))</f>
        <v/>
      </c>
      <c r="D135" s="39"/>
      <c r="E135" s="24" t="str">
        <f ca="1">IF($B135="","",IF(AND($B$4="Salary Points 2 to 57",B135&lt;Thresholds_Rates!$C$16),"-",IF(SUMIF(Grades!$A:$A,$B$4,Grades!$BO:$BO)=0,"-",IF(AND($B$4="Salary Points 2 to 57",B135&gt;=Thresholds_Rates!$C$16),$C135*Thresholds_Rates!$F$15,IF(AND(OR($B$4="New Consultant Contract"),$B135&lt;&gt;""),$C135*Thresholds_Rates!$F$15,IF(AND(OR($B$4="Clinical Lecturer / Medical Research Fellow",$B$4="Clinical Consultant - Old Contract (GP)"),$B135&lt;&gt;""),$C135*Thresholds_Rates!$F$15,IF(OR($B$4="APM Level 7",$B$4="R&amp;T Level 7"),$C135*Thresholds_Rates!$F$15,IF(SUMIF(Grades!$A:$A,$B$4,Grades!$BO:$BO)=1,$C135*Thresholds_Rates!$F$15,""))))))))</f>
        <v/>
      </c>
      <c r="F135" s="24" t="str">
        <f ca="1">IF(B135="","",IF($B$4="Salary Points 1 to 57","-",IF(SUMIF(Grades!$A:$A,$B$4,Grades!$BP:$BP)=0,"-",IF(AND(OR($B$4="New Consultant Contract"),$B135&lt;&gt;""),$C135*Thresholds_Rates!$F$16,IF(AND(OR($B$4="Clinical Lecturer / Medical Research Fellow",$B$4="Clinical Consultant - Old Contract (GP)"),$B135&lt;&gt;""),$C135*Thresholds_Rates!$F$16,IF(AND(OR($B$4="APM Level 7",$B$4="R&amp;T Level 7"),E135&lt;&gt;""),$C135*Thresholds_Rates!$F$16,IF(SUMIF(Grades!$A:$A,$B$4,Grades!$BP:$BP)=1,$C135*Thresholds_Rates!$F$16,"")))))))</f>
        <v/>
      </c>
      <c r="G135" s="24" t="str">
        <f ca="1">IF(B135="","",IF(SUMIF(Grades!$A:$A,$B$4,Grades!$BQ:$BQ)=0,"-",IF(AND($B$4="Salary Points 1 to 57",B135&gt;Thresholds_Rates!$C$17),"-",IF(AND($B$4="Salary Points 1 to 57",B135&lt;=Thresholds_Rates!$C$17),$C135*Thresholds_Rates!$F$17,IF(AND(OR($B$4="New Consultant Contract"),$B135&lt;&gt;""),$C135*Thresholds_Rates!$F$17,IF(AND(OR($B$4="Clinical Lecturer / Medical Research Fellow",$B$4="Clinical Consultant - Old Contract (GP)"),$B135&lt;&gt;""),$C135*Thresholds_Rates!$F$17,IF(AND(OR($B$4="APM Level 7",$B$4="R&amp;T Level 7"),F135&lt;&gt;""),$C135*Thresholds_Rates!$F$17,IF(SUMIF(Grades!$A:$A,$B$4,Grades!$BQ:$BQ)=1,$C135*Thresholds_Rates!$F$17,""))))))))</f>
        <v/>
      </c>
      <c r="H135" s="24"/>
      <c r="I135" s="24"/>
      <c r="J135" s="4"/>
      <c r="K135" s="24" t="str">
        <f t="shared" ca="1" si="7"/>
        <v/>
      </c>
      <c r="L135" s="24" t="str">
        <f t="shared" ca="1" si="8"/>
        <v/>
      </c>
      <c r="M135" s="24" t="str">
        <f t="shared" ca="1" si="9"/>
        <v/>
      </c>
      <c r="N135" s="24" t="str">
        <f t="shared" ca="1" si="10"/>
        <v/>
      </c>
      <c r="O135" s="24" t="str">
        <f t="shared" ca="1" si="11"/>
        <v/>
      </c>
      <c r="Q135" s="27"/>
      <c r="R135" s="28"/>
      <c r="S135" s="27"/>
      <c r="T135" s="28"/>
    </row>
    <row r="136" spans="2:20" x14ac:dyDescent="0.25">
      <c r="B136" s="4" t="str">
        <f ca="1">IFERROR(INDEX(Points_Lookup!$A:$A,MATCH($Y138,Points_Lookup!$AE:$AE,0)),"")</f>
        <v/>
      </c>
      <c r="C136" s="24" t="str">
        <f ca="1">IF(B136="","",IF($B$4="Apprenticeship",SUMIF(Points_Lookup!$AA:$AA,B136,Points_Lookup!$AC:$AC),IF(AND(OR($B$4="New Consultant Contract"),$B136&lt;&gt;""),INDEX(Points_Lookup!$K:$K,MATCH($B136,Points_Lookup!$J:$J,0)),IF(AND(OR($B$4="Clinical Lecturer / Medical Research Fellow",$B$4="Clinical Consultant - Old Contract (GP)"),$B136&lt;&gt;""),INDEX(Points_Lookup!$H:$H,MATCH($B136,Points_Lookup!$G:$G,0)),IF(AND(OR($B$4="APM Level 7",$B$4="R&amp;T Level 7",$B$4="APM Level 8"),B136&lt;&gt;""),INDEX(Points_Lookup!$E:$E,MATCH($Y136,Points_Lookup!$AE:$AE,0)),IF($B$4="R&amp;T Level 5 - Clinical Lecturers (Vet School)",SUMIF(Points_Lookup!$M:$M,$B136,Points_Lookup!$P:$P),IF($B$4="R&amp;T Level 6 - Clinical Associate Professors and Clinical Readers (Vet School)",SUMIF(Points_Lookup!$T:$T,$B136,Points_Lookup!$W:$W),IFERROR(INDEX(Points_Lookup!$B:$B,MATCH($Y136,Points_Lookup!$AE:$AE,0)),""))))))))</f>
        <v/>
      </c>
      <c r="D136" s="39"/>
      <c r="E136" s="24" t="str">
        <f ca="1">IF($B136="","",IF(AND($B$4="Salary Points 2 to 57",B136&lt;Thresholds_Rates!$C$16),"-",IF(SUMIF(Grades!$A:$A,$B$4,Grades!$BO:$BO)=0,"-",IF(AND($B$4="Salary Points 2 to 57",B136&gt;=Thresholds_Rates!$C$16),$C136*Thresholds_Rates!$F$15,IF(AND(OR($B$4="New Consultant Contract"),$B136&lt;&gt;""),$C136*Thresholds_Rates!$F$15,IF(AND(OR($B$4="Clinical Lecturer / Medical Research Fellow",$B$4="Clinical Consultant - Old Contract (GP)"),$B136&lt;&gt;""),$C136*Thresholds_Rates!$F$15,IF(OR($B$4="APM Level 7",$B$4="R&amp;T Level 7"),$C136*Thresholds_Rates!$F$15,IF(SUMIF(Grades!$A:$A,$B$4,Grades!$BO:$BO)=1,$C136*Thresholds_Rates!$F$15,""))))))))</f>
        <v/>
      </c>
      <c r="F136" s="24" t="str">
        <f ca="1">IF(B136="","",IF($B$4="Salary Points 1 to 57","-",IF(SUMIF(Grades!$A:$A,$B$4,Grades!$BP:$BP)=0,"-",IF(AND(OR($B$4="New Consultant Contract"),$B136&lt;&gt;""),$C136*Thresholds_Rates!$F$16,IF(AND(OR($B$4="Clinical Lecturer / Medical Research Fellow",$B$4="Clinical Consultant - Old Contract (GP)"),$B136&lt;&gt;""),$C136*Thresholds_Rates!$F$16,IF(AND(OR($B$4="APM Level 7",$B$4="R&amp;T Level 7"),E136&lt;&gt;""),$C136*Thresholds_Rates!$F$16,IF(SUMIF(Grades!$A:$A,$B$4,Grades!$BP:$BP)=1,$C136*Thresholds_Rates!$F$16,"")))))))</f>
        <v/>
      </c>
      <c r="G136" s="24" t="str">
        <f ca="1">IF(B136="","",IF(SUMIF(Grades!$A:$A,$B$4,Grades!$BQ:$BQ)=0,"-",IF(AND($B$4="Salary Points 1 to 57",B136&gt;Thresholds_Rates!$C$17),"-",IF(AND($B$4="Salary Points 1 to 57",B136&lt;=Thresholds_Rates!$C$17),$C136*Thresholds_Rates!$F$17,IF(AND(OR($B$4="New Consultant Contract"),$B136&lt;&gt;""),$C136*Thresholds_Rates!$F$17,IF(AND(OR($B$4="Clinical Lecturer / Medical Research Fellow",$B$4="Clinical Consultant - Old Contract (GP)"),$B136&lt;&gt;""),$C136*Thresholds_Rates!$F$17,IF(AND(OR($B$4="APM Level 7",$B$4="R&amp;T Level 7"),F136&lt;&gt;""),$C136*Thresholds_Rates!$F$17,IF(SUMIF(Grades!$A:$A,$B$4,Grades!$BQ:$BQ)=1,$C136*Thresholds_Rates!$F$17,""))))))))</f>
        <v/>
      </c>
      <c r="H136" s="24"/>
      <c r="I136" s="24"/>
      <c r="J136" s="4"/>
      <c r="K136" s="24" t="str">
        <f t="shared" ca="1" si="7"/>
        <v/>
      </c>
      <c r="L136" s="24" t="str">
        <f t="shared" ca="1" si="8"/>
        <v/>
      </c>
      <c r="M136" s="24" t="str">
        <f t="shared" ca="1" si="9"/>
        <v/>
      </c>
      <c r="N136" s="24" t="str">
        <f t="shared" ca="1" si="10"/>
        <v/>
      </c>
      <c r="O136" s="24" t="str">
        <f t="shared" ca="1" si="11"/>
        <v/>
      </c>
      <c r="Q136" s="27"/>
      <c r="R136" s="28"/>
      <c r="S136" s="27"/>
      <c r="T136" s="28"/>
    </row>
    <row r="137" spans="2:20" x14ac:dyDescent="0.25">
      <c r="B137" s="4" t="str">
        <f ca="1">IFERROR(INDEX(Points_Lookup!$A:$A,MATCH($Y139,Points_Lookup!$AE:$AE,0)),"")</f>
        <v/>
      </c>
      <c r="C137" s="24" t="str">
        <f ca="1">IF(B137="","",IF($B$4="Apprenticeship",SUMIF(Points_Lookup!$AA:$AA,B137,Points_Lookup!$AC:$AC),IF(AND(OR($B$4="New Consultant Contract"),$B137&lt;&gt;""),INDEX(Points_Lookup!$K:$K,MATCH($B137,Points_Lookup!$J:$J,0)),IF(AND(OR($B$4="Clinical Lecturer / Medical Research Fellow",$B$4="Clinical Consultant - Old Contract (GP)"),$B137&lt;&gt;""),INDEX(Points_Lookup!$H:$H,MATCH($B137,Points_Lookup!$G:$G,0)),IF(AND(OR($B$4="APM Level 7",$B$4="R&amp;T Level 7",$B$4="APM Level 8"),B137&lt;&gt;""),INDEX(Points_Lookup!$E:$E,MATCH($Y137,Points_Lookup!$AE:$AE,0)),IF($B$4="R&amp;T Level 5 - Clinical Lecturers (Vet School)",SUMIF(Points_Lookup!$M:$M,$B137,Points_Lookup!$P:$P),IF($B$4="R&amp;T Level 6 - Clinical Associate Professors and Clinical Readers (Vet School)",SUMIF(Points_Lookup!$T:$T,$B137,Points_Lookup!$W:$W),IFERROR(INDEX(Points_Lookup!$B:$B,MATCH($Y137,Points_Lookup!$AE:$AE,0)),""))))))))</f>
        <v/>
      </c>
      <c r="D137" s="39"/>
      <c r="E137" s="24" t="str">
        <f ca="1">IF($B137="","",IF(AND($B$4="Salary Points 2 to 57",B137&lt;Thresholds_Rates!$C$16),"-",IF(SUMIF(Grades!$A:$A,$B$4,Grades!$BO:$BO)=0,"-",IF(AND($B$4="Salary Points 2 to 57",B137&gt;=Thresholds_Rates!$C$16),$C137*Thresholds_Rates!$F$15,IF(AND(OR($B$4="New Consultant Contract"),$B137&lt;&gt;""),$C137*Thresholds_Rates!$F$15,IF(AND(OR($B$4="Clinical Lecturer / Medical Research Fellow",$B$4="Clinical Consultant - Old Contract (GP)"),$B137&lt;&gt;""),$C137*Thresholds_Rates!$F$15,IF(OR($B$4="APM Level 7",$B$4="R&amp;T Level 7"),$C137*Thresholds_Rates!$F$15,IF(SUMIF(Grades!$A:$A,$B$4,Grades!$BO:$BO)=1,$C137*Thresholds_Rates!$F$15,""))))))))</f>
        <v/>
      </c>
      <c r="F137" s="24" t="str">
        <f ca="1">IF(B137="","",IF($B$4="Salary Points 1 to 57","-",IF(SUMIF(Grades!$A:$A,$B$4,Grades!$BP:$BP)=0,"-",IF(AND(OR($B$4="New Consultant Contract"),$B137&lt;&gt;""),$C137*Thresholds_Rates!$F$16,IF(AND(OR($B$4="Clinical Lecturer / Medical Research Fellow",$B$4="Clinical Consultant - Old Contract (GP)"),$B137&lt;&gt;""),$C137*Thresholds_Rates!$F$16,IF(AND(OR($B$4="APM Level 7",$B$4="R&amp;T Level 7"),E137&lt;&gt;""),$C137*Thresholds_Rates!$F$16,IF(SUMIF(Grades!$A:$A,$B$4,Grades!$BP:$BP)=1,$C137*Thresholds_Rates!$F$16,"")))))))</f>
        <v/>
      </c>
      <c r="G137" s="24" t="str">
        <f ca="1">IF(B137="","",IF(SUMIF(Grades!$A:$A,$B$4,Grades!$BQ:$BQ)=0,"-",IF(AND($B$4="Salary Points 1 to 57",B137&gt;Thresholds_Rates!$C$17),"-",IF(AND($B$4="Salary Points 1 to 57",B137&lt;=Thresholds_Rates!$C$17),$C137*Thresholds_Rates!$F$17,IF(AND(OR($B$4="New Consultant Contract"),$B137&lt;&gt;""),$C137*Thresholds_Rates!$F$17,IF(AND(OR($B$4="Clinical Lecturer / Medical Research Fellow",$B$4="Clinical Consultant - Old Contract (GP)"),$B137&lt;&gt;""),$C137*Thresholds_Rates!$F$17,IF(AND(OR($B$4="APM Level 7",$B$4="R&amp;T Level 7"),F137&lt;&gt;""),$C137*Thresholds_Rates!$F$17,IF(SUMIF(Grades!$A:$A,$B$4,Grades!$BQ:$BQ)=1,$C137*Thresholds_Rates!$F$17,""))))))))</f>
        <v/>
      </c>
      <c r="H137" s="24"/>
      <c r="I137" s="24"/>
      <c r="J137" s="4"/>
      <c r="K137" s="24" t="str">
        <f t="shared" ref="K137:K200" ca="1" si="13">IF(B137="","",IF(E137="-","-",$C137+$H137+E137))</f>
        <v/>
      </c>
      <c r="L137" s="24" t="str">
        <f t="shared" ref="L137:L200" ca="1" si="14">IF(B137="","",IF(F137="-","-",$C137+$H137+F137))</f>
        <v/>
      </c>
      <c r="M137" s="24" t="str">
        <f t="shared" ref="M137:M200" ca="1" si="15">IF(B137="","",IF(G137="-","-",$C137+$H137+G137))</f>
        <v/>
      </c>
      <c r="N137" s="24" t="str">
        <f t="shared" ref="N137:N200" ca="1" si="16">IF(B137="","",IF(I137="-","-",$C137+$H137+I137))</f>
        <v/>
      </c>
      <c r="O137" s="24" t="str">
        <f t="shared" ref="O137:O200" ca="1" si="17">IF(B137="","",C137+H137)</f>
        <v/>
      </c>
      <c r="Q137" s="27"/>
      <c r="R137" s="28"/>
      <c r="S137" s="27"/>
      <c r="T137" s="28"/>
    </row>
    <row r="138" spans="2:20" x14ac:dyDescent="0.25">
      <c r="B138" s="4" t="str">
        <f ca="1">IFERROR(INDEX(Points_Lookup!$A:$A,MATCH($Y140,Points_Lookup!$AE:$AE,0)),"")</f>
        <v/>
      </c>
      <c r="C138" s="24" t="str">
        <f ca="1">IF(B138="","",IF($B$4="Apprenticeship",SUMIF(Points_Lookup!$AA:$AA,B138,Points_Lookup!$AC:$AC),IF(AND(OR($B$4="New Consultant Contract"),$B138&lt;&gt;""),INDEX(Points_Lookup!$K:$K,MATCH($B138,Points_Lookup!$J:$J,0)),IF(AND(OR($B$4="Clinical Lecturer / Medical Research Fellow",$B$4="Clinical Consultant - Old Contract (GP)"),$B138&lt;&gt;""),INDEX(Points_Lookup!$H:$H,MATCH($B138,Points_Lookup!$G:$G,0)),IF(AND(OR($B$4="APM Level 7",$B$4="R&amp;T Level 7",$B$4="APM Level 8"),B138&lt;&gt;""),INDEX(Points_Lookup!$E:$E,MATCH($Y138,Points_Lookup!$AE:$AE,0)),IF($B$4="R&amp;T Level 5 - Clinical Lecturers (Vet School)",SUMIF(Points_Lookup!$M:$M,$B138,Points_Lookup!$P:$P),IF($B$4="R&amp;T Level 6 - Clinical Associate Professors and Clinical Readers (Vet School)",SUMIF(Points_Lookup!$T:$T,$B138,Points_Lookup!$W:$W),IFERROR(INDEX(Points_Lookup!$B:$B,MATCH($Y138,Points_Lookup!$AE:$AE,0)),""))))))))</f>
        <v/>
      </c>
      <c r="D138" s="39"/>
      <c r="E138" s="24" t="str">
        <f ca="1">IF($B138="","",IF(AND($B$4="Salary Points 2 to 57",B138&lt;Thresholds_Rates!$C$16),"-",IF(SUMIF(Grades!$A:$A,$B$4,Grades!$BO:$BO)=0,"-",IF(AND($B$4="Salary Points 2 to 57",B138&gt;=Thresholds_Rates!$C$16),$C138*Thresholds_Rates!$F$15,IF(AND(OR($B$4="New Consultant Contract"),$B138&lt;&gt;""),$C138*Thresholds_Rates!$F$15,IF(AND(OR($B$4="Clinical Lecturer / Medical Research Fellow",$B$4="Clinical Consultant - Old Contract (GP)"),$B138&lt;&gt;""),$C138*Thresholds_Rates!$F$15,IF(OR($B$4="APM Level 7",$B$4="R&amp;T Level 7"),$C138*Thresholds_Rates!$F$15,IF(SUMIF(Grades!$A:$A,$B$4,Grades!$BO:$BO)=1,$C138*Thresholds_Rates!$F$15,""))))))))</f>
        <v/>
      </c>
      <c r="F138" s="24" t="str">
        <f ca="1">IF(B138="","",IF($B$4="Salary Points 1 to 57","-",IF(SUMIF(Grades!$A:$A,$B$4,Grades!$BP:$BP)=0,"-",IF(AND(OR($B$4="New Consultant Contract"),$B138&lt;&gt;""),$C138*Thresholds_Rates!$F$16,IF(AND(OR($B$4="Clinical Lecturer / Medical Research Fellow",$B$4="Clinical Consultant - Old Contract (GP)"),$B138&lt;&gt;""),$C138*Thresholds_Rates!$F$16,IF(AND(OR($B$4="APM Level 7",$B$4="R&amp;T Level 7"),E138&lt;&gt;""),$C138*Thresholds_Rates!$F$16,IF(SUMIF(Grades!$A:$A,$B$4,Grades!$BP:$BP)=1,$C138*Thresholds_Rates!$F$16,"")))))))</f>
        <v/>
      </c>
      <c r="G138" s="24" t="str">
        <f ca="1">IF(B138="","",IF(SUMIF(Grades!$A:$A,$B$4,Grades!$BQ:$BQ)=0,"-",IF(AND($B$4="Salary Points 1 to 57",B138&gt;Thresholds_Rates!$C$17),"-",IF(AND($B$4="Salary Points 1 to 57",B138&lt;=Thresholds_Rates!$C$17),$C138*Thresholds_Rates!$F$17,IF(AND(OR($B$4="New Consultant Contract"),$B138&lt;&gt;""),$C138*Thresholds_Rates!$F$17,IF(AND(OR($B$4="Clinical Lecturer / Medical Research Fellow",$B$4="Clinical Consultant - Old Contract (GP)"),$B138&lt;&gt;""),$C138*Thresholds_Rates!$F$17,IF(AND(OR($B$4="APM Level 7",$B$4="R&amp;T Level 7"),F138&lt;&gt;""),$C138*Thresholds_Rates!$F$17,IF(SUMIF(Grades!$A:$A,$B$4,Grades!$BQ:$BQ)=1,$C138*Thresholds_Rates!$F$17,""))))))))</f>
        <v/>
      </c>
      <c r="H138" s="24"/>
      <c r="I138" s="24"/>
      <c r="J138" s="4"/>
      <c r="K138" s="24" t="str">
        <f t="shared" ca="1" si="13"/>
        <v/>
      </c>
      <c r="L138" s="24" t="str">
        <f t="shared" ca="1" si="14"/>
        <v/>
      </c>
      <c r="M138" s="24" t="str">
        <f t="shared" ca="1" si="15"/>
        <v/>
      </c>
      <c r="N138" s="24" t="str">
        <f t="shared" ca="1" si="16"/>
        <v/>
      </c>
      <c r="O138" s="24" t="str">
        <f t="shared" ca="1" si="17"/>
        <v/>
      </c>
      <c r="Q138" s="27"/>
      <c r="R138" s="28"/>
      <c r="S138" s="27"/>
      <c r="T138" s="28"/>
    </row>
    <row r="139" spans="2:20" x14ac:dyDescent="0.25">
      <c r="B139" s="4" t="str">
        <f ca="1">IFERROR(INDEX(Points_Lookup!$A:$A,MATCH($Y141,Points_Lookup!$AE:$AE,0)),"")</f>
        <v/>
      </c>
      <c r="C139" s="24" t="str">
        <f ca="1">IF(B139="","",IF($B$4="Apprenticeship",SUMIF(Points_Lookup!$AA:$AA,B139,Points_Lookup!$AC:$AC),IF(AND(OR($B$4="New Consultant Contract"),$B139&lt;&gt;""),INDEX(Points_Lookup!$K:$K,MATCH($B139,Points_Lookup!$J:$J,0)),IF(AND(OR($B$4="Clinical Lecturer / Medical Research Fellow",$B$4="Clinical Consultant - Old Contract (GP)"),$B139&lt;&gt;""),INDEX(Points_Lookup!$H:$H,MATCH($B139,Points_Lookup!$G:$G,0)),IF(AND(OR($B$4="APM Level 7",$B$4="R&amp;T Level 7",$B$4="APM Level 8"),B139&lt;&gt;""),INDEX(Points_Lookup!$E:$E,MATCH($Y139,Points_Lookup!$AE:$AE,0)),IF($B$4="R&amp;T Level 5 - Clinical Lecturers (Vet School)",SUMIF(Points_Lookup!$M:$M,$B139,Points_Lookup!$P:$P),IF($B$4="R&amp;T Level 6 - Clinical Associate Professors and Clinical Readers (Vet School)",SUMIF(Points_Lookup!$T:$T,$B139,Points_Lookup!$W:$W),IFERROR(INDEX(Points_Lookup!$B:$B,MATCH($Y139,Points_Lookup!$AE:$AE,0)),""))))))))</f>
        <v/>
      </c>
      <c r="D139" s="39"/>
      <c r="E139" s="24" t="str">
        <f ca="1">IF($B139="","",IF(AND($B$4="Salary Points 2 to 57",B139&lt;Thresholds_Rates!$C$16),"-",IF(SUMIF(Grades!$A:$A,$B$4,Grades!$BO:$BO)=0,"-",IF(AND($B$4="Salary Points 2 to 57",B139&gt;=Thresholds_Rates!$C$16),$C139*Thresholds_Rates!$F$15,IF(AND(OR($B$4="New Consultant Contract"),$B139&lt;&gt;""),$C139*Thresholds_Rates!$F$15,IF(AND(OR($B$4="Clinical Lecturer / Medical Research Fellow",$B$4="Clinical Consultant - Old Contract (GP)"),$B139&lt;&gt;""),$C139*Thresholds_Rates!$F$15,IF(OR($B$4="APM Level 7",$B$4="R&amp;T Level 7"),$C139*Thresholds_Rates!$F$15,IF(SUMIF(Grades!$A:$A,$B$4,Grades!$BO:$BO)=1,$C139*Thresholds_Rates!$F$15,""))))))))</f>
        <v/>
      </c>
      <c r="F139" s="24" t="str">
        <f ca="1">IF(B139="","",IF($B$4="Salary Points 1 to 57","-",IF(SUMIF(Grades!$A:$A,$B$4,Grades!$BP:$BP)=0,"-",IF(AND(OR($B$4="New Consultant Contract"),$B139&lt;&gt;""),$C139*Thresholds_Rates!$F$16,IF(AND(OR($B$4="Clinical Lecturer / Medical Research Fellow",$B$4="Clinical Consultant - Old Contract (GP)"),$B139&lt;&gt;""),$C139*Thresholds_Rates!$F$16,IF(AND(OR($B$4="APM Level 7",$B$4="R&amp;T Level 7"),E139&lt;&gt;""),$C139*Thresholds_Rates!$F$16,IF(SUMIF(Grades!$A:$A,$B$4,Grades!$BP:$BP)=1,$C139*Thresholds_Rates!$F$16,"")))))))</f>
        <v/>
      </c>
      <c r="G139" s="24" t="str">
        <f ca="1">IF(B139="","",IF(SUMIF(Grades!$A:$A,$B$4,Grades!$BQ:$BQ)=0,"-",IF(AND($B$4="Salary Points 1 to 57",B139&gt;Thresholds_Rates!$C$17),"-",IF(AND($B$4="Salary Points 1 to 57",B139&lt;=Thresholds_Rates!$C$17),$C139*Thresholds_Rates!$F$17,IF(AND(OR($B$4="New Consultant Contract"),$B139&lt;&gt;""),$C139*Thresholds_Rates!$F$17,IF(AND(OR($B$4="Clinical Lecturer / Medical Research Fellow",$B$4="Clinical Consultant - Old Contract (GP)"),$B139&lt;&gt;""),$C139*Thresholds_Rates!$F$17,IF(AND(OR($B$4="APM Level 7",$B$4="R&amp;T Level 7"),F139&lt;&gt;""),$C139*Thresholds_Rates!$F$17,IF(SUMIF(Grades!$A:$A,$B$4,Grades!$BQ:$BQ)=1,$C139*Thresholds_Rates!$F$17,""))))))))</f>
        <v/>
      </c>
      <c r="H139" s="24"/>
      <c r="I139" s="24"/>
      <c r="J139" s="4"/>
      <c r="K139" s="24" t="str">
        <f t="shared" ca="1" si="13"/>
        <v/>
      </c>
      <c r="L139" s="24" t="str">
        <f t="shared" ca="1" si="14"/>
        <v/>
      </c>
      <c r="M139" s="24" t="str">
        <f t="shared" ca="1" si="15"/>
        <v/>
      </c>
      <c r="N139" s="24" t="str">
        <f t="shared" ca="1" si="16"/>
        <v/>
      </c>
      <c r="O139" s="24" t="str">
        <f t="shared" ca="1" si="17"/>
        <v/>
      </c>
      <c r="Q139" s="27"/>
      <c r="R139" s="28"/>
      <c r="S139" s="27"/>
      <c r="T139" s="28"/>
    </row>
    <row r="140" spans="2:20" x14ac:dyDescent="0.25">
      <c r="B140" s="4" t="str">
        <f ca="1">IFERROR(INDEX(Points_Lookup!$A:$A,MATCH($Y142,Points_Lookup!$AE:$AE,0)),"")</f>
        <v/>
      </c>
      <c r="C140" s="24" t="str">
        <f ca="1">IF(B140="","",IF($B$4="Apprenticeship",SUMIF(Points_Lookup!$AA:$AA,B140,Points_Lookup!$AC:$AC),IF(AND(OR($B$4="New Consultant Contract"),$B140&lt;&gt;""),INDEX(Points_Lookup!$K:$K,MATCH($B140,Points_Lookup!$J:$J,0)),IF(AND(OR($B$4="Clinical Lecturer / Medical Research Fellow",$B$4="Clinical Consultant - Old Contract (GP)"),$B140&lt;&gt;""),INDEX(Points_Lookup!$H:$H,MATCH($B140,Points_Lookup!$G:$G,0)),IF(AND(OR($B$4="APM Level 7",$B$4="R&amp;T Level 7",$B$4="APM Level 8"),B140&lt;&gt;""),INDEX(Points_Lookup!$E:$E,MATCH($Y140,Points_Lookup!$AE:$AE,0)),IF($B$4="R&amp;T Level 5 - Clinical Lecturers (Vet School)",SUMIF(Points_Lookup!$M:$M,$B140,Points_Lookup!$P:$P),IF($B$4="R&amp;T Level 6 - Clinical Associate Professors and Clinical Readers (Vet School)",SUMIF(Points_Lookup!$T:$T,$B140,Points_Lookup!$W:$W),IFERROR(INDEX(Points_Lookup!$B:$B,MATCH($Y140,Points_Lookup!$AE:$AE,0)),""))))))))</f>
        <v/>
      </c>
      <c r="D140" s="39"/>
      <c r="E140" s="24" t="str">
        <f ca="1">IF($B140="","",IF(AND($B$4="Salary Points 2 to 57",B140&lt;Thresholds_Rates!$C$16),"-",IF(SUMIF(Grades!$A:$A,$B$4,Grades!$BO:$BO)=0,"-",IF(AND($B$4="Salary Points 2 to 57",B140&gt;=Thresholds_Rates!$C$16),$C140*Thresholds_Rates!$F$15,IF(AND(OR($B$4="New Consultant Contract"),$B140&lt;&gt;""),$C140*Thresholds_Rates!$F$15,IF(AND(OR($B$4="Clinical Lecturer / Medical Research Fellow",$B$4="Clinical Consultant - Old Contract (GP)"),$B140&lt;&gt;""),$C140*Thresholds_Rates!$F$15,IF(OR($B$4="APM Level 7",$B$4="R&amp;T Level 7"),$C140*Thresholds_Rates!$F$15,IF(SUMIF(Grades!$A:$A,$B$4,Grades!$BO:$BO)=1,$C140*Thresholds_Rates!$F$15,""))))))))</f>
        <v/>
      </c>
      <c r="F140" s="24" t="str">
        <f ca="1">IF(B140="","",IF($B$4="Salary Points 1 to 57","-",IF(SUMIF(Grades!$A:$A,$B$4,Grades!$BP:$BP)=0,"-",IF(AND(OR($B$4="New Consultant Contract"),$B140&lt;&gt;""),$C140*Thresholds_Rates!$F$16,IF(AND(OR($B$4="Clinical Lecturer / Medical Research Fellow",$B$4="Clinical Consultant - Old Contract (GP)"),$B140&lt;&gt;""),$C140*Thresholds_Rates!$F$16,IF(AND(OR($B$4="APM Level 7",$B$4="R&amp;T Level 7"),E140&lt;&gt;""),$C140*Thresholds_Rates!$F$16,IF(SUMIF(Grades!$A:$A,$B$4,Grades!$BP:$BP)=1,$C140*Thresholds_Rates!$F$16,"")))))))</f>
        <v/>
      </c>
      <c r="G140" s="24" t="str">
        <f ca="1">IF(B140="","",IF(SUMIF(Grades!$A:$A,$B$4,Grades!$BQ:$BQ)=0,"-",IF(AND($B$4="Salary Points 1 to 57",B140&gt;Thresholds_Rates!$C$17),"-",IF(AND($B$4="Salary Points 1 to 57",B140&lt;=Thresholds_Rates!$C$17),$C140*Thresholds_Rates!$F$17,IF(AND(OR($B$4="New Consultant Contract"),$B140&lt;&gt;""),$C140*Thresholds_Rates!$F$17,IF(AND(OR($B$4="Clinical Lecturer / Medical Research Fellow",$B$4="Clinical Consultant - Old Contract (GP)"),$B140&lt;&gt;""),$C140*Thresholds_Rates!$F$17,IF(AND(OR($B$4="APM Level 7",$B$4="R&amp;T Level 7"),F140&lt;&gt;""),$C140*Thresholds_Rates!$F$17,IF(SUMIF(Grades!$A:$A,$B$4,Grades!$BQ:$BQ)=1,$C140*Thresholds_Rates!$F$17,""))))))))</f>
        <v/>
      </c>
      <c r="H140" s="24"/>
      <c r="I140" s="24"/>
      <c r="J140" s="4"/>
      <c r="K140" s="24" t="str">
        <f t="shared" ca="1" si="13"/>
        <v/>
      </c>
      <c r="L140" s="24" t="str">
        <f t="shared" ca="1" si="14"/>
        <v/>
      </c>
      <c r="M140" s="24" t="str">
        <f t="shared" ca="1" si="15"/>
        <v/>
      </c>
      <c r="N140" s="24" t="str">
        <f t="shared" ca="1" si="16"/>
        <v/>
      </c>
      <c r="O140" s="24" t="str">
        <f t="shared" ca="1" si="17"/>
        <v/>
      </c>
      <c r="Q140" s="27"/>
      <c r="R140" s="28"/>
      <c r="S140" s="27"/>
      <c r="T140" s="28"/>
    </row>
    <row r="141" spans="2:20" x14ac:dyDescent="0.25">
      <c r="B141" s="4" t="str">
        <f ca="1">IFERROR(INDEX(Points_Lookup!$A:$A,MATCH($Y143,Points_Lookup!$AE:$AE,0)),"")</f>
        <v/>
      </c>
      <c r="C141" s="24" t="str">
        <f ca="1">IF(B141="","",IF($B$4="Apprenticeship",SUMIF(Points_Lookup!$AA:$AA,B141,Points_Lookup!$AC:$AC),IF(AND(OR($B$4="New Consultant Contract"),$B141&lt;&gt;""),INDEX(Points_Lookup!$K:$K,MATCH($B141,Points_Lookup!$J:$J,0)),IF(AND(OR($B$4="Clinical Lecturer / Medical Research Fellow",$B$4="Clinical Consultant - Old Contract (GP)"),$B141&lt;&gt;""),INDEX(Points_Lookup!$H:$H,MATCH($B141,Points_Lookup!$G:$G,0)),IF(AND(OR($B$4="APM Level 7",$B$4="R&amp;T Level 7",$B$4="APM Level 8"),B141&lt;&gt;""),INDEX(Points_Lookup!$E:$E,MATCH($Y141,Points_Lookup!$AE:$AE,0)),IF($B$4="R&amp;T Level 5 - Clinical Lecturers (Vet School)",SUMIF(Points_Lookup!$M:$M,$B141,Points_Lookup!$P:$P),IF($B$4="R&amp;T Level 6 - Clinical Associate Professors and Clinical Readers (Vet School)",SUMIF(Points_Lookup!$T:$T,$B141,Points_Lookup!$W:$W),IFERROR(INDEX(Points_Lookup!$B:$B,MATCH($Y141,Points_Lookup!$AE:$AE,0)),""))))))))</f>
        <v/>
      </c>
      <c r="D141" s="39"/>
      <c r="E141" s="24" t="str">
        <f ca="1">IF($B141="","",IF(AND($B$4="Salary Points 2 to 57",B141&lt;Thresholds_Rates!$C$16),"-",IF(SUMIF(Grades!$A:$A,$B$4,Grades!$BO:$BO)=0,"-",IF(AND($B$4="Salary Points 2 to 57",B141&gt;=Thresholds_Rates!$C$16),$C141*Thresholds_Rates!$F$15,IF(AND(OR($B$4="New Consultant Contract"),$B141&lt;&gt;""),$C141*Thresholds_Rates!$F$15,IF(AND(OR($B$4="Clinical Lecturer / Medical Research Fellow",$B$4="Clinical Consultant - Old Contract (GP)"),$B141&lt;&gt;""),$C141*Thresholds_Rates!$F$15,IF(OR($B$4="APM Level 7",$B$4="R&amp;T Level 7"),$C141*Thresholds_Rates!$F$15,IF(SUMIF(Grades!$A:$A,$B$4,Grades!$BO:$BO)=1,$C141*Thresholds_Rates!$F$15,""))))))))</f>
        <v/>
      </c>
      <c r="F141" s="24" t="str">
        <f ca="1">IF(B141="","",IF($B$4="Salary Points 1 to 57","-",IF(SUMIF(Grades!$A:$A,$B$4,Grades!$BP:$BP)=0,"-",IF(AND(OR($B$4="New Consultant Contract"),$B141&lt;&gt;""),$C141*Thresholds_Rates!$F$16,IF(AND(OR($B$4="Clinical Lecturer / Medical Research Fellow",$B$4="Clinical Consultant - Old Contract (GP)"),$B141&lt;&gt;""),$C141*Thresholds_Rates!$F$16,IF(AND(OR($B$4="APM Level 7",$B$4="R&amp;T Level 7"),E141&lt;&gt;""),$C141*Thresholds_Rates!$F$16,IF(SUMIF(Grades!$A:$A,$B$4,Grades!$BP:$BP)=1,$C141*Thresholds_Rates!$F$16,"")))))))</f>
        <v/>
      </c>
      <c r="G141" s="24" t="str">
        <f ca="1">IF(B141="","",IF(SUMIF(Grades!$A:$A,$B$4,Grades!$BQ:$BQ)=0,"-",IF(AND($B$4="Salary Points 1 to 57",B141&gt;Thresholds_Rates!$C$17),"-",IF(AND($B$4="Salary Points 1 to 57",B141&lt;=Thresholds_Rates!$C$17),$C141*Thresholds_Rates!$F$17,IF(AND(OR($B$4="New Consultant Contract"),$B141&lt;&gt;""),$C141*Thresholds_Rates!$F$17,IF(AND(OR($B$4="Clinical Lecturer / Medical Research Fellow",$B$4="Clinical Consultant - Old Contract (GP)"),$B141&lt;&gt;""),$C141*Thresholds_Rates!$F$17,IF(AND(OR($B$4="APM Level 7",$B$4="R&amp;T Level 7"),F141&lt;&gt;""),$C141*Thresholds_Rates!$F$17,IF(SUMIF(Grades!$A:$A,$B$4,Grades!$BQ:$BQ)=1,$C141*Thresholds_Rates!$F$17,""))))))))</f>
        <v/>
      </c>
      <c r="H141" s="24"/>
      <c r="I141" s="24"/>
      <c r="J141" s="4"/>
      <c r="K141" s="24" t="str">
        <f t="shared" ca="1" si="13"/>
        <v/>
      </c>
      <c r="L141" s="24" t="str">
        <f t="shared" ca="1" si="14"/>
        <v/>
      </c>
      <c r="M141" s="24" t="str">
        <f t="shared" ca="1" si="15"/>
        <v/>
      </c>
      <c r="N141" s="24" t="str">
        <f t="shared" ca="1" si="16"/>
        <v/>
      </c>
      <c r="O141" s="24" t="str">
        <f t="shared" ca="1" si="17"/>
        <v/>
      </c>
      <c r="Q141" s="27"/>
      <c r="R141" s="28"/>
      <c r="S141" s="27"/>
      <c r="T141" s="28"/>
    </row>
    <row r="142" spans="2:20" x14ac:dyDescent="0.25">
      <c r="B142" s="4" t="str">
        <f ca="1">IFERROR(INDEX(Points_Lookup!$A:$A,MATCH($Y144,Points_Lookup!$AE:$AE,0)),"")</f>
        <v/>
      </c>
      <c r="C142" s="24" t="str">
        <f ca="1">IF(B142="","",IF($B$4="Apprenticeship",SUMIF(Points_Lookup!$AA:$AA,B142,Points_Lookup!$AC:$AC),IF(AND(OR($B$4="New Consultant Contract"),$B142&lt;&gt;""),INDEX(Points_Lookup!$K:$K,MATCH($B142,Points_Lookup!$J:$J,0)),IF(AND(OR($B$4="Clinical Lecturer / Medical Research Fellow",$B$4="Clinical Consultant - Old Contract (GP)"),$B142&lt;&gt;""),INDEX(Points_Lookup!$H:$H,MATCH($B142,Points_Lookup!$G:$G,0)),IF(AND(OR($B$4="APM Level 7",$B$4="R&amp;T Level 7",$B$4="APM Level 8"),B142&lt;&gt;""),INDEX(Points_Lookup!$E:$E,MATCH($Y142,Points_Lookup!$AE:$AE,0)),IF($B$4="R&amp;T Level 5 - Clinical Lecturers (Vet School)",SUMIF(Points_Lookup!$M:$M,$B142,Points_Lookup!$P:$P),IF($B$4="R&amp;T Level 6 - Clinical Associate Professors and Clinical Readers (Vet School)",SUMIF(Points_Lookup!$T:$T,$B142,Points_Lookup!$W:$W),IFERROR(INDEX(Points_Lookup!$B:$B,MATCH($Y142,Points_Lookup!$AE:$AE,0)),""))))))))</f>
        <v/>
      </c>
      <c r="D142" s="39"/>
      <c r="E142" s="24" t="str">
        <f ca="1">IF($B142="","",IF(AND($B$4="Salary Points 2 to 57",B142&lt;Thresholds_Rates!$C$16),"-",IF(SUMIF(Grades!$A:$A,$B$4,Grades!$BO:$BO)=0,"-",IF(AND($B$4="Salary Points 2 to 57",B142&gt;=Thresholds_Rates!$C$16),$C142*Thresholds_Rates!$F$15,IF(AND(OR($B$4="New Consultant Contract"),$B142&lt;&gt;""),$C142*Thresholds_Rates!$F$15,IF(AND(OR($B$4="Clinical Lecturer / Medical Research Fellow",$B$4="Clinical Consultant - Old Contract (GP)"),$B142&lt;&gt;""),$C142*Thresholds_Rates!$F$15,IF(OR($B$4="APM Level 7",$B$4="R&amp;T Level 7"),$C142*Thresholds_Rates!$F$15,IF(SUMIF(Grades!$A:$A,$B$4,Grades!$BO:$BO)=1,$C142*Thresholds_Rates!$F$15,""))))))))</f>
        <v/>
      </c>
      <c r="F142" s="24" t="str">
        <f ca="1">IF(B142="","",IF($B$4="Salary Points 1 to 57","-",IF(SUMIF(Grades!$A:$A,$B$4,Grades!$BP:$BP)=0,"-",IF(AND(OR($B$4="New Consultant Contract"),$B142&lt;&gt;""),$C142*Thresholds_Rates!$F$16,IF(AND(OR($B$4="Clinical Lecturer / Medical Research Fellow",$B$4="Clinical Consultant - Old Contract (GP)"),$B142&lt;&gt;""),$C142*Thresholds_Rates!$F$16,IF(AND(OR($B$4="APM Level 7",$B$4="R&amp;T Level 7"),E142&lt;&gt;""),$C142*Thresholds_Rates!$F$16,IF(SUMIF(Grades!$A:$A,$B$4,Grades!$BP:$BP)=1,$C142*Thresholds_Rates!$F$16,"")))))))</f>
        <v/>
      </c>
      <c r="G142" s="24" t="str">
        <f ca="1">IF(B142="","",IF(SUMIF(Grades!$A:$A,$B$4,Grades!$BQ:$BQ)=0,"-",IF(AND($B$4="Salary Points 1 to 57",B142&gt;Thresholds_Rates!$C$17),"-",IF(AND($B$4="Salary Points 1 to 57",B142&lt;=Thresholds_Rates!$C$17),$C142*Thresholds_Rates!$F$17,IF(AND(OR($B$4="New Consultant Contract"),$B142&lt;&gt;""),$C142*Thresholds_Rates!$F$17,IF(AND(OR($B$4="Clinical Lecturer / Medical Research Fellow",$B$4="Clinical Consultant - Old Contract (GP)"),$B142&lt;&gt;""),$C142*Thresholds_Rates!$F$17,IF(AND(OR($B$4="APM Level 7",$B$4="R&amp;T Level 7"),F142&lt;&gt;""),$C142*Thresholds_Rates!$F$17,IF(SUMIF(Grades!$A:$A,$B$4,Grades!$BQ:$BQ)=1,$C142*Thresholds_Rates!$F$17,""))))))))</f>
        <v/>
      </c>
      <c r="H142" s="24"/>
      <c r="I142" s="24"/>
      <c r="J142" s="4"/>
      <c r="K142" s="24" t="str">
        <f t="shared" ca="1" si="13"/>
        <v/>
      </c>
      <c r="L142" s="24" t="str">
        <f t="shared" ca="1" si="14"/>
        <v/>
      </c>
      <c r="M142" s="24" t="str">
        <f t="shared" ca="1" si="15"/>
        <v/>
      </c>
      <c r="N142" s="24" t="str">
        <f t="shared" ca="1" si="16"/>
        <v/>
      </c>
      <c r="O142" s="24" t="str">
        <f t="shared" ca="1" si="17"/>
        <v/>
      </c>
      <c r="Q142" s="27"/>
      <c r="R142" s="28"/>
      <c r="S142" s="27"/>
      <c r="T142" s="28"/>
    </row>
    <row r="143" spans="2:20" x14ac:dyDescent="0.25">
      <c r="B143" s="4" t="str">
        <f ca="1">IFERROR(INDEX(Points_Lookup!$A:$A,MATCH($Y145,Points_Lookup!$AE:$AE,0)),"")</f>
        <v/>
      </c>
      <c r="C143" s="24" t="str">
        <f ca="1">IF(B143="","",IF($B$4="Apprenticeship",SUMIF(Points_Lookup!$AA:$AA,B143,Points_Lookup!$AC:$AC),IF(AND(OR($B$4="New Consultant Contract"),$B143&lt;&gt;""),INDEX(Points_Lookup!$K:$K,MATCH($B143,Points_Lookup!$J:$J,0)),IF(AND(OR($B$4="Clinical Lecturer / Medical Research Fellow",$B$4="Clinical Consultant - Old Contract (GP)"),$B143&lt;&gt;""),INDEX(Points_Lookup!$H:$H,MATCH($B143,Points_Lookup!$G:$G,0)),IF(AND(OR($B$4="APM Level 7",$B$4="R&amp;T Level 7",$B$4="APM Level 8"),B143&lt;&gt;""),INDEX(Points_Lookup!$E:$E,MATCH($Y143,Points_Lookup!$AE:$AE,0)),IF($B$4="R&amp;T Level 5 - Clinical Lecturers (Vet School)",SUMIF(Points_Lookup!$M:$M,$B143,Points_Lookup!$P:$P),IF($B$4="R&amp;T Level 6 - Clinical Associate Professors and Clinical Readers (Vet School)",SUMIF(Points_Lookup!$T:$T,$B143,Points_Lookup!$W:$W),IFERROR(INDEX(Points_Lookup!$B:$B,MATCH($Y143,Points_Lookup!$AE:$AE,0)),""))))))))</f>
        <v/>
      </c>
      <c r="D143" s="39"/>
      <c r="E143" s="24" t="str">
        <f ca="1">IF($B143="","",IF(AND($B$4="Salary Points 2 to 57",B143&lt;Thresholds_Rates!$C$16),"-",IF(SUMIF(Grades!$A:$A,$B$4,Grades!$BO:$BO)=0,"-",IF(AND($B$4="Salary Points 2 to 57",B143&gt;=Thresholds_Rates!$C$16),$C143*Thresholds_Rates!$F$15,IF(AND(OR($B$4="New Consultant Contract"),$B143&lt;&gt;""),$C143*Thresholds_Rates!$F$15,IF(AND(OR($B$4="Clinical Lecturer / Medical Research Fellow",$B$4="Clinical Consultant - Old Contract (GP)"),$B143&lt;&gt;""),$C143*Thresholds_Rates!$F$15,IF(OR($B$4="APM Level 7",$B$4="R&amp;T Level 7"),$C143*Thresholds_Rates!$F$15,IF(SUMIF(Grades!$A:$A,$B$4,Grades!$BO:$BO)=1,$C143*Thresholds_Rates!$F$15,""))))))))</f>
        <v/>
      </c>
      <c r="F143" s="24" t="str">
        <f ca="1">IF(B143="","",IF($B$4="Salary Points 1 to 57","-",IF(SUMIF(Grades!$A:$A,$B$4,Grades!$BP:$BP)=0,"-",IF(AND(OR($B$4="New Consultant Contract"),$B143&lt;&gt;""),$C143*Thresholds_Rates!$F$16,IF(AND(OR($B$4="Clinical Lecturer / Medical Research Fellow",$B$4="Clinical Consultant - Old Contract (GP)"),$B143&lt;&gt;""),$C143*Thresholds_Rates!$F$16,IF(AND(OR($B$4="APM Level 7",$B$4="R&amp;T Level 7"),E143&lt;&gt;""),$C143*Thresholds_Rates!$F$16,IF(SUMIF(Grades!$A:$A,$B$4,Grades!$BP:$BP)=1,$C143*Thresholds_Rates!$F$16,"")))))))</f>
        <v/>
      </c>
      <c r="G143" s="24" t="str">
        <f ca="1">IF(B143="","",IF(SUMIF(Grades!$A:$A,$B$4,Grades!$BQ:$BQ)=0,"-",IF(AND($B$4="Salary Points 1 to 57",B143&gt;Thresholds_Rates!$C$17),"-",IF(AND($B$4="Salary Points 1 to 57",B143&lt;=Thresholds_Rates!$C$17),$C143*Thresholds_Rates!$F$17,IF(AND(OR($B$4="New Consultant Contract"),$B143&lt;&gt;""),$C143*Thresholds_Rates!$F$17,IF(AND(OR($B$4="Clinical Lecturer / Medical Research Fellow",$B$4="Clinical Consultant - Old Contract (GP)"),$B143&lt;&gt;""),$C143*Thresholds_Rates!$F$17,IF(AND(OR($B$4="APM Level 7",$B$4="R&amp;T Level 7"),F143&lt;&gt;""),$C143*Thresholds_Rates!$F$17,IF(SUMIF(Grades!$A:$A,$B$4,Grades!$BQ:$BQ)=1,$C143*Thresholds_Rates!$F$17,""))))))))</f>
        <v/>
      </c>
      <c r="H143" s="24"/>
      <c r="I143" s="24"/>
      <c r="J143" s="4"/>
      <c r="K143" s="24" t="str">
        <f t="shared" ca="1" si="13"/>
        <v/>
      </c>
      <c r="L143" s="24" t="str">
        <f t="shared" ca="1" si="14"/>
        <v/>
      </c>
      <c r="M143" s="24" t="str">
        <f t="shared" ca="1" si="15"/>
        <v/>
      </c>
      <c r="N143" s="24" t="str">
        <f t="shared" ca="1" si="16"/>
        <v/>
      </c>
      <c r="O143" s="24" t="str">
        <f t="shared" ca="1" si="17"/>
        <v/>
      </c>
      <c r="Q143" s="27"/>
      <c r="R143" s="28"/>
      <c r="S143" s="27"/>
      <c r="T143" s="28"/>
    </row>
    <row r="144" spans="2:20" x14ac:dyDescent="0.25">
      <c r="B144" s="4" t="str">
        <f ca="1">IFERROR(INDEX(Points_Lookup!$A:$A,MATCH($Y146,Points_Lookup!$AE:$AE,0)),"")</f>
        <v/>
      </c>
      <c r="C144" s="24" t="str">
        <f ca="1">IF(B144="","",IF($B$4="Apprenticeship",SUMIF(Points_Lookup!$AA:$AA,B144,Points_Lookup!$AC:$AC),IF(AND(OR($B$4="New Consultant Contract"),$B144&lt;&gt;""),INDEX(Points_Lookup!$K:$K,MATCH($B144,Points_Lookup!$J:$J,0)),IF(AND(OR($B$4="Clinical Lecturer / Medical Research Fellow",$B$4="Clinical Consultant - Old Contract (GP)"),$B144&lt;&gt;""),INDEX(Points_Lookup!$H:$H,MATCH($B144,Points_Lookup!$G:$G,0)),IF(AND(OR($B$4="APM Level 7",$B$4="R&amp;T Level 7",$B$4="APM Level 8"),B144&lt;&gt;""),INDEX(Points_Lookup!$E:$E,MATCH($Y144,Points_Lookup!$AE:$AE,0)),IF($B$4="R&amp;T Level 5 - Clinical Lecturers (Vet School)",SUMIF(Points_Lookup!$M:$M,$B144,Points_Lookup!$P:$P),IF($B$4="R&amp;T Level 6 - Clinical Associate Professors and Clinical Readers (Vet School)",SUMIF(Points_Lookup!$T:$T,$B144,Points_Lookup!$W:$W),IFERROR(INDEX(Points_Lookup!$B:$B,MATCH($Y144,Points_Lookup!$AE:$AE,0)),""))))))))</f>
        <v/>
      </c>
      <c r="D144" s="39"/>
      <c r="E144" s="24" t="str">
        <f ca="1">IF($B144="","",IF(AND($B$4="Salary Points 2 to 57",B144&lt;Thresholds_Rates!$C$16),"-",IF(SUMIF(Grades!$A:$A,$B$4,Grades!$BO:$BO)=0,"-",IF(AND($B$4="Salary Points 2 to 57",B144&gt;=Thresholds_Rates!$C$16),$C144*Thresholds_Rates!$F$15,IF(AND(OR($B$4="New Consultant Contract"),$B144&lt;&gt;""),$C144*Thresholds_Rates!$F$15,IF(AND(OR($B$4="Clinical Lecturer / Medical Research Fellow",$B$4="Clinical Consultant - Old Contract (GP)"),$B144&lt;&gt;""),$C144*Thresholds_Rates!$F$15,IF(OR($B$4="APM Level 7",$B$4="R&amp;T Level 7"),$C144*Thresholds_Rates!$F$15,IF(SUMIF(Grades!$A:$A,$B$4,Grades!$BO:$BO)=1,$C144*Thresholds_Rates!$F$15,""))))))))</f>
        <v/>
      </c>
      <c r="F144" s="24" t="str">
        <f ca="1">IF(B144="","",IF($B$4="Salary Points 1 to 57","-",IF(SUMIF(Grades!$A:$A,$B$4,Grades!$BP:$BP)=0,"-",IF(AND(OR($B$4="New Consultant Contract"),$B144&lt;&gt;""),$C144*Thresholds_Rates!$F$16,IF(AND(OR($B$4="Clinical Lecturer / Medical Research Fellow",$B$4="Clinical Consultant - Old Contract (GP)"),$B144&lt;&gt;""),$C144*Thresholds_Rates!$F$16,IF(AND(OR($B$4="APM Level 7",$B$4="R&amp;T Level 7"),E144&lt;&gt;""),$C144*Thresholds_Rates!$F$16,IF(SUMIF(Grades!$A:$A,$B$4,Grades!$BP:$BP)=1,$C144*Thresholds_Rates!$F$16,"")))))))</f>
        <v/>
      </c>
      <c r="G144" s="24" t="str">
        <f ca="1">IF(B144="","",IF(SUMIF(Grades!$A:$A,$B$4,Grades!$BQ:$BQ)=0,"-",IF(AND($B$4="Salary Points 1 to 57",B144&gt;Thresholds_Rates!$C$17),"-",IF(AND($B$4="Salary Points 1 to 57",B144&lt;=Thresholds_Rates!$C$17),$C144*Thresholds_Rates!$F$17,IF(AND(OR($B$4="New Consultant Contract"),$B144&lt;&gt;""),$C144*Thresholds_Rates!$F$17,IF(AND(OR($B$4="Clinical Lecturer / Medical Research Fellow",$B$4="Clinical Consultant - Old Contract (GP)"),$B144&lt;&gt;""),$C144*Thresholds_Rates!$F$17,IF(AND(OR($B$4="APM Level 7",$B$4="R&amp;T Level 7"),F144&lt;&gt;""),$C144*Thresholds_Rates!$F$17,IF(SUMIF(Grades!$A:$A,$B$4,Grades!$BQ:$BQ)=1,$C144*Thresholds_Rates!$F$17,""))))))))</f>
        <v/>
      </c>
      <c r="H144" s="24"/>
      <c r="I144" s="24"/>
      <c r="J144" s="4"/>
      <c r="K144" s="24" t="str">
        <f t="shared" ca="1" si="13"/>
        <v/>
      </c>
      <c r="L144" s="24" t="str">
        <f t="shared" ca="1" si="14"/>
        <v/>
      </c>
      <c r="M144" s="24" t="str">
        <f t="shared" ca="1" si="15"/>
        <v/>
      </c>
      <c r="N144" s="24" t="str">
        <f t="shared" ca="1" si="16"/>
        <v/>
      </c>
      <c r="O144" s="24" t="str">
        <f t="shared" ca="1" si="17"/>
        <v/>
      </c>
      <c r="Q144" s="27"/>
      <c r="R144" s="28"/>
      <c r="S144" s="27"/>
      <c r="T144" s="28"/>
    </row>
    <row r="145" spans="2:20" x14ac:dyDescent="0.25">
      <c r="B145" s="4" t="str">
        <f ca="1">IFERROR(INDEX(Points_Lookup!$A:$A,MATCH($Y147,Points_Lookup!$AE:$AE,0)),"")</f>
        <v/>
      </c>
      <c r="C145" s="24" t="str">
        <f ca="1">IF(B145="","",IF($B$4="Apprenticeship",SUMIF(Points_Lookup!$AA:$AA,B145,Points_Lookup!$AC:$AC),IF(AND(OR($B$4="New Consultant Contract"),$B145&lt;&gt;""),INDEX(Points_Lookup!$K:$K,MATCH($B145,Points_Lookup!$J:$J,0)),IF(AND(OR($B$4="Clinical Lecturer / Medical Research Fellow",$B$4="Clinical Consultant - Old Contract (GP)"),$B145&lt;&gt;""),INDEX(Points_Lookup!$H:$H,MATCH($B145,Points_Lookup!$G:$G,0)),IF(AND(OR($B$4="APM Level 7",$B$4="R&amp;T Level 7",$B$4="APM Level 8"),B145&lt;&gt;""),INDEX(Points_Lookup!$E:$E,MATCH($Y145,Points_Lookup!$AE:$AE,0)),IF($B$4="R&amp;T Level 5 - Clinical Lecturers (Vet School)",SUMIF(Points_Lookup!$M:$M,$B145,Points_Lookup!$P:$P),IF($B$4="R&amp;T Level 6 - Clinical Associate Professors and Clinical Readers (Vet School)",SUMIF(Points_Lookup!$T:$T,$B145,Points_Lookup!$W:$W),IFERROR(INDEX(Points_Lookup!$B:$B,MATCH($Y145,Points_Lookup!$AE:$AE,0)),""))))))))</f>
        <v/>
      </c>
      <c r="D145" s="39"/>
      <c r="E145" s="24" t="str">
        <f ca="1">IF($B145="","",IF(AND($B$4="Salary Points 2 to 57",B145&lt;Thresholds_Rates!$C$16),"-",IF(SUMIF(Grades!$A:$A,$B$4,Grades!$BO:$BO)=0,"-",IF(AND($B$4="Salary Points 2 to 57",B145&gt;=Thresholds_Rates!$C$16),$C145*Thresholds_Rates!$F$15,IF(AND(OR($B$4="New Consultant Contract"),$B145&lt;&gt;""),$C145*Thresholds_Rates!$F$15,IF(AND(OR($B$4="Clinical Lecturer / Medical Research Fellow",$B$4="Clinical Consultant - Old Contract (GP)"),$B145&lt;&gt;""),$C145*Thresholds_Rates!$F$15,IF(OR($B$4="APM Level 7",$B$4="R&amp;T Level 7"),$C145*Thresholds_Rates!$F$15,IF(SUMIF(Grades!$A:$A,$B$4,Grades!$BO:$BO)=1,$C145*Thresholds_Rates!$F$15,""))))))))</f>
        <v/>
      </c>
      <c r="F145" s="24" t="str">
        <f ca="1">IF(B145="","",IF($B$4="Salary Points 1 to 57","-",IF(SUMIF(Grades!$A:$A,$B$4,Grades!$BP:$BP)=0,"-",IF(AND(OR($B$4="New Consultant Contract"),$B145&lt;&gt;""),$C145*Thresholds_Rates!$F$16,IF(AND(OR($B$4="Clinical Lecturer / Medical Research Fellow",$B$4="Clinical Consultant - Old Contract (GP)"),$B145&lt;&gt;""),$C145*Thresholds_Rates!$F$16,IF(AND(OR($B$4="APM Level 7",$B$4="R&amp;T Level 7"),E145&lt;&gt;""),$C145*Thresholds_Rates!$F$16,IF(SUMIF(Grades!$A:$A,$B$4,Grades!$BP:$BP)=1,$C145*Thresholds_Rates!$F$16,"")))))))</f>
        <v/>
      </c>
      <c r="G145" s="24" t="str">
        <f ca="1">IF(B145="","",IF(SUMIF(Grades!$A:$A,$B$4,Grades!$BQ:$BQ)=0,"-",IF(AND($B$4="Salary Points 1 to 57",B145&gt;Thresholds_Rates!$C$17),"-",IF(AND($B$4="Salary Points 1 to 57",B145&lt;=Thresholds_Rates!$C$17),$C145*Thresholds_Rates!$F$17,IF(AND(OR($B$4="New Consultant Contract"),$B145&lt;&gt;""),$C145*Thresholds_Rates!$F$17,IF(AND(OR($B$4="Clinical Lecturer / Medical Research Fellow",$B$4="Clinical Consultant - Old Contract (GP)"),$B145&lt;&gt;""),$C145*Thresholds_Rates!$F$17,IF(AND(OR($B$4="APM Level 7",$B$4="R&amp;T Level 7"),F145&lt;&gt;""),$C145*Thresholds_Rates!$F$17,IF(SUMIF(Grades!$A:$A,$B$4,Grades!$BQ:$BQ)=1,$C145*Thresholds_Rates!$F$17,""))))))))</f>
        <v/>
      </c>
      <c r="H145" s="24"/>
      <c r="I145" s="24"/>
      <c r="J145" s="4"/>
      <c r="K145" s="24" t="str">
        <f t="shared" ca="1" si="13"/>
        <v/>
      </c>
      <c r="L145" s="24" t="str">
        <f t="shared" ca="1" si="14"/>
        <v/>
      </c>
      <c r="M145" s="24" t="str">
        <f t="shared" ca="1" si="15"/>
        <v/>
      </c>
      <c r="N145" s="24" t="str">
        <f t="shared" ca="1" si="16"/>
        <v/>
      </c>
      <c r="O145" s="24" t="str">
        <f t="shared" ca="1" si="17"/>
        <v/>
      </c>
      <c r="Q145" s="27"/>
      <c r="R145" s="28"/>
      <c r="S145" s="27"/>
      <c r="T145" s="28"/>
    </row>
    <row r="146" spans="2:20" x14ac:dyDescent="0.25">
      <c r="B146" s="4" t="str">
        <f ca="1">IFERROR(INDEX(Points_Lookup!$A:$A,MATCH($Y148,Points_Lookup!$AE:$AE,0)),"")</f>
        <v/>
      </c>
      <c r="C146" s="24" t="str">
        <f ca="1">IF(B146="","",IF($B$4="Apprenticeship",SUMIF(Points_Lookup!$AA:$AA,B146,Points_Lookup!$AC:$AC),IF(AND(OR($B$4="New Consultant Contract"),$B146&lt;&gt;""),INDEX(Points_Lookup!$K:$K,MATCH($B146,Points_Lookup!$J:$J,0)),IF(AND(OR($B$4="Clinical Lecturer / Medical Research Fellow",$B$4="Clinical Consultant - Old Contract (GP)"),$B146&lt;&gt;""),INDEX(Points_Lookup!$H:$H,MATCH($B146,Points_Lookup!$G:$G,0)),IF(AND(OR($B$4="APM Level 7",$B$4="R&amp;T Level 7",$B$4="APM Level 8"),B146&lt;&gt;""),INDEX(Points_Lookup!$E:$E,MATCH($Y146,Points_Lookup!$AE:$AE,0)),IF($B$4="R&amp;T Level 5 - Clinical Lecturers (Vet School)",SUMIF(Points_Lookup!$M:$M,$B146,Points_Lookup!$P:$P),IF($B$4="R&amp;T Level 6 - Clinical Associate Professors and Clinical Readers (Vet School)",SUMIF(Points_Lookup!$T:$T,$B146,Points_Lookup!$W:$W),IFERROR(INDEX(Points_Lookup!$B:$B,MATCH($Y146,Points_Lookup!$AE:$AE,0)),""))))))))</f>
        <v/>
      </c>
      <c r="D146" s="39"/>
      <c r="E146" s="24" t="str">
        <f ca="1">IF($B146="","",IF(AND($B$4="Salary Points 2 to 57",B146&lt;Thresholds_Rates!$C$16),"-",IF(SUMIF(Grades!$A:$A,$B$4,Grades!$BO:$BO)=0,"-",IF(AND($B$4="Salary Points 2 to 57",B146&gt;=Thresholds_Rates!$C$16),$C146*Thresholds_Rates!$F$15,IF(AND(OR($B$4="New Consultant Contract"),$B146&lt;&gt;""),$C146*Thresholds_Rates!$F$15,IF(AND(OR($B$4="Clinical Lecturer / Medical Research Fellow",$B$4="Clinical Consultant - Old Contract (GP)"),$B146&lt;&gt;""),$C146*Thresholds_Rates!$F$15,IF(OR($B$4="APM Level 7",$B$4="R&amp;T Level 7"),$C146*Thresholds_Rates!$F$15,IF(SUMIF(Grades!$A:$A,$B$4,Grades!$BO:$BO)=1,$C146*Thresholds_Rates!$F$15,""))))))))</f>
        <v/>
      </c>
      <c r="F146" s="24" t="str">
        <f ca="1">IF(B146="","",IF($B$4="Salary Points 1 to 57","-",IF(SUMIF(Grades!$A:$A,$B$4,Grades!$BP:$BP)=0,"-",IF(AND(OR($B$4="New Consultant Contract"),$B146&lt;&gt;""),$C146*Thresholds_Rates!$F$16,IF(AND(OR($B$4="Clinical Lecturer / Medical Research Fellow",$B$4="Clinical Consultant - Old Contract (GP)"),$B146&lt;&gt;""),$C146*Thresholds_Rates!$F$16,IF(AND(OR($B$4="APM Level 7",$B$4="R&amp;T Level 7"),E146&lt;&gt;""),$C146*Thresholds_Rates!$F$16,IF(SUMIF(Grades!$A:$A,$B$4,Grades!$BP:$BP)=1,$C146*Thresholds_Rates!$F$16,"")))))))</f>
        <v/>
      </c>
      <c r="G146" s="24" t="str">
        <f ca="1">IF(B146="","",IF(SUMIF(Grades!$A:$A,$B$4,Grades!$BQ:$BQ)=0,"-",IF(AND($B$4="Salary Points 1 to 57",B146&gt;Thresholds_Rates!$C$17),"-",IF(AND($B$4="Salary Points 1 to 57",B146&lt;=Thresholds_Rates!$C$17),$C146*Thresholds_Rates!$F$17,IF(AND(OR($B$4="New Consultant Contract"),$B146&lt;&gt;""),$C146*Thresholds_Rates!$F$17,IF(AND(OR($B$4="Clinical Lecturer / Medical Research Fellow",$B$4="Clinical Consultant - Old Contract (GP)"),$B146&lt;&gt;""),$C146*Thresholds_Rates!$F$17,IF(AND(OR($B$4="APM Level 7",$B$4="R&amp;T Level 7"),F146&lt;&gt;""),$C146*Thresholds_Rates!$F$17,IF(SUMIF(Grades!$A:$A,$B$4,Grades!$BQ:$BQ)=1,$C146*Thresholds_Rates!$F$17,""))))))))</f>
        <v/>
      </c>
      <c r="H146" s="24"/>
      <c r="I146" s="24"/>
      <c r="J146" s="4"/>
      <c r="K146" s="24" t="str">
        <f t="shared" ca="1" si="13"/>
        <v/>
      </c>
      <c r="L146" s="24" t="str">
        <f t="shared" ca="1" si="14"/>
        <v/>
      </c>
      <c r="M146" s="24" t="str">
        <f t="shared" ca="1" si="15"/>
        <v/>
      </c>
      <c r="N146" s="24" t="str">
        <f t="shared" ca="1" si="16"/>
        <v/>
      </c>
      <c r="O146" s="24" t="str">
        <f t="shared" ca="1" si="17"/>
        <v/>
      </c>
      <c r="Q146" s="27"/>
      <c r="R146" s="28"/>
      <c r="S146" s="27"/>
      <c r="T146" s="28"/>
    </row>
    <row r="147" spans="2:20" x14ac:dyDescent="0.25">
      <c r="B147" s="4" t="str">
        <f ca="1">IFERROR(INDEX(Points_Lookup!$A:$A,MATCH($Y149,Points_Lookup!$AE:$AE,0)),"")</f>
        <v/>
      </c>
      <c r="C147" s="24" t="str">
        <f ca="1">IF(B147="","",IF($B$4="Apprenticeship",SUMIF(Points_Lookup!$AA:$AA,B147,Points_Lookup!$AC:$AC),IF(AND(OR($B$4="New Consultant Contract"),$B147&lt;&gt;""),INDEX(Points_Lookup!$K:$K,MATCH($B147,Points_Lookup!$J:$J,0)),IF(AND(OR($B$4="Clinical Lecturer / Medical Research Fellow",$B$4="Clinical Consultant - Old Contract (GP)"),$B147&lt;&gt;""),INDEX(Points_Lookup!$H:$H,MATCH($B147,Points_Lookup!$G:$G,0)),IF(AND(OR($B$4="APM Level 7",$B$4="R&amp;T Level 7",$B$4="APM Level 8"),B147&lt;&gt;""),INDEX(Points_Lookup!$E:$E,MATCH($Y147,Points_Lookup!$AE:$AE,0)),IF($B$4="R&amp;T Level 5 - Clinical Lecturers (Vet School)",SUMIF(Points_Lookup!$M:$M,$B147,Points_Lookup!$P:$P),IF($B$4="R&amp;T Level 6 - Clinical Associate Professors and Clinical Readers (Vet School)",SUMIF(Points_Lookup!$T:$T,$B147,Points_Lookup!$W:$W),IFERROR(INDEX(Points_Lookup!$B:$B,MATCH($Y147,Points_Lookup!$AE:$AE,0)),""))))))))</f>
        <v/>
      </c>
      <c r="D147" s="39"/>
      <c r="E147" s="24" t="str">
        <f ca="1">IF($B147="","",IF(AND($B$4="Salary Points 2 to 57",B147&lt;Thresholds_Rates!$C$16),"-",IF(SUMIF(Grades!$A:$A,$B$4,Grades!$BO:$BO)=0,"-",IF(AND($B$4="Salary Points 2 to 57",B147&gt;=Thresholds_Rates!$C$16),$C147*Thresholds_Rates!$F$15,IF(AND(OR($B$4="New Consultant Contract"),$B147&lt;&gt;""),$C147*Thresholds_Rates!$F$15,IF(AND(OR($B$4="Clinical Lecturer / Medical Research Fellow",$B$4="Clinical Consultant - Old Contract (GP)"),$B147&lt;&gt;""),$C147*Thresholds_Rates!$F$15,IF(OR($B$4="APM Level 7",$B$4="R&amp;T Level 7"),$C147*Thresholds_Rates!$F$15,IF(SUMIF(Grades!$A:$A,$B$4,Grades!$BO:$BO)=1,$C147*Thresholds_Rates!$F$15,""))))))))</f>
        <v/>
      </c>
      <c r="F147" s="24" t="str">
        <f ca="1">IF(B147="","",IF($B$4="Salary Points 1 to 57","-",IF(SUMIF(Grades!$A:$A,$B$4,Grades!$BP:$BP)=0,"-",IF(AND(OR($B$4="New Consultant Contract"),$B147&lt;&gt;""),$C147*Thresholds_Rates!$F$16,IF(AND(OR($B$4="Clinical Lecturer / Medical Research Fellow",$B$4="Clinical Consultant - Old Contract (GP)"),$B147&lt;&gt;""),$C147*Thresholds_Rates!$F$16,IF(AND(OR($B$4="APM Level 7",$B$4="R&amp;T Level 7"),E147&lt;&gt;""),$C147*Thresholds_Rates!$F$16,IF(SUMIF(Grades!$A:$A,$B$4,Grades!$BP:$BP)=1,$C147*Thresholds_Rates!$F$16,"")))))))</f>
        <v/>
      </c>
      <c r="G147" s="24" t="str">
        <f ca="1">IF(B147="","",IF(SUMIF(Grades!$A:$A,$B$4,Grades!$BQ:$BQ)=0,"-",IF(AND($B$4="Salary Points 1 to 57",B147&gt;Thresholds_Rates!$C$17),"-",IF(AND($B$4="Salary Points 1 to 57",B147&lt;=Thresholds_Rates!$C$17),$C147*Thresholds_Rates!$F$17,IF(AND(OR($B$4="New Consultant Contract"),$B147&lt;&gt;""),$C147*Thresholds_Rates!$F$17,IF(AND(OR($B$4="Clinical Lecturer / Medical Research Fellow",$B$4="Clinical Consultant - Old Contract (GP)"),$B147&lt;&gt;""),$C147*Thresholds_Rates!$F$17,IF(AND(OR($B$4="APM Level 7",$B$4="R&amp;T Level 7"),F147&lt;&gt;""),$C147*Thresholds_Rates!$F$17,IF(SUMIF(Grades!$A:$A,$B$4,Grades!$BQ:$BQ)=1,$C147*Thresholds_Rates!$F$17,""))))))))</f>
        <v/>
      </c>
      <c r="H147" s="24"/>
      <c r="I147" s="24"/>
      <c r="J147" s="4"/>
      <c r="K147" s="24" t="str">
        <f t="shared" ca="1" si="13"/>
        <v/>
      </c>
      <c r="L147" s="24" t="str">
        <f t="shared" ca="1" si="14"/>
        <v/>
      </c>
      <c r="M147" s="24" t="str">
        <f t="shared" ca="1" si="15"/>
        <v/>
      </c>
      <c r="N147" s="24" t="str">
        <f t="shared" ca="1" si="16"/>
        <v/>
      </c>
      <c r="O147" s="24" t="str">
        <f t="shared" ca="1" si="17"/>
        <v/>
      </c>
      <c r="Q147" s="27"/>
      <c r="R147" s="28"/>
      <c r="S147" s="27"/>
      <c r="T147" s="28"/>
    </row>
    <row r="148" spans="2:20" x14ac:dyDescent="0.25">
      <c r="B148" s="4" t="str">
        <f ca="1">IFERROR(INDEX(Points_Lookup!$A:$A,MATCH($Y150,Points_Lookup!$AE:$AE,0)),"")</f>
        <v/>
      </c>
      <c r="C148" s="24" t="str">
        <f ca="1">IF(B148="","",IF($B$4="Apprenticeship",SUMIF(Points_Lookup!$AA:$AA,B148,Points_Lookup!$AC:$AC),IF(AND(OR($B$4="New Consultant Contract"),$B148&lt;&gt;""),INDEX(Points_Lookup!$K:$K,MATCH($B148,Points_Lookup!$J:$J,0)),IF(AND(OR($B$4="Clinical Lecturer / Medical Research Fellow",$B$4="Clinical Consultant - Old Contract (GP)"),$B148&lt;&gt;""),INDEX(Points_Lookup!$H:$H,MATCH($B148,Points_Lookup!$G:$G,0)),IF(AND(OR($B$4="APM Level 7",$B$4="R&amp;T Level 7",$B$4="APM Level 8"),B148&lt;&gt;""),INDEX(Points_Lookup!$E:$E,MATCH($Y148,Points_Lookup!$AE:$AE,0)),IF($B$4="R&amp;T Level 5 - Clinical Lecturers (Vet School)",SUMIF(Points_Lookup!$M:$M,$B148,Points_Lookup!$P:$P),IF($B$4="R&amp;T Level 6 - Clinical Associate Professors and Clinical Readers (Vet School)",SUMIF(Points_Lookup!$T:$T,$B148,Points_Lookup!$W:$W),IFERROR(INDEX(Points_Lookup!$B:$B,MATCH($Y148,Points_Lookup!$AE:$AE,0)),""))))))))</f>
        <v/>
      </c>
      <c r="D148" s="39"/>
      <c r="E148" s="24" t="str">
        <f ca="1">IF($B148="","",IF(AND($B$4="Salary Points 2 to 57",B148&lt;Thresholds_Rates!$C$16),"-",IF(SUMIF(Grades!$A:$A,$B$4,Grades!$BO:$BO)=0,"-",IF(AND($B$4="Salary Points 2 to 57",B148&gt;=Thresholds_Rates!$C$16),$C148*Thresholds_Rates!$F$15,IF(AND(OR($B$4="New Consultant Contract"),$B148&lt;&gt;""),$C148*Thresholds_Rates!$F$15,IF(AND(OR($B$4="Clinical Lecturer / Medical Research Fellow",$B$4="Clinical Consultant - Old Contract (GP)"),$B148&lt;&gt;""),$C148*Thresholds_Rates!$F$15,IF(OR($B$4="APM Level 7",$B$4="R&amp;T Level 7"),$C148*Thresholds_Rates!$F$15,IF(SUMIF(Grades!$A:$A,$B$4,Grades!$BO:$BO)=1,$C148*Thresholds_Rates!$F$15,""))))))))</f>
        <v/>
      </c>
      <c r="F148" s="24" t="str">
        <f ca="1">IF(B148="","",IF($B$4="Salary Points 1 to 57","-",IF(SUMIF(Grades!$A:$A,$B$4,Grades!$BP:$BP)=0,"-",IF(AND(OR($B$4="New Consultant Contract"),$B148&lt;&gt;""),$C148*Thresholds_Rates!$F$16,IF(AND(OR($B$4="Clinical Lecturer / Medical Research Fellow",$B$4="Clinical Consultant - Old Contract (GP)"),$B148&lt;&gt;""),$C148*Thresholds_Rates!$F$16,IF(AND(OR($B$4="APM Level 7",$B$4="R&amp;T Level 7"),E148&lt;&gt;""),$C148*Thresholds_Rates!$F$16,IF(SUMIF(Grades!$A:$A,$B$4,Grades!$BP:$BP)=1,$C148*Thresholds_Rates!$F$16,"")))))))</f>
        <v/>
      </c>
      <c r="G148" s="24" t="str">
        <f ca="1">IF(B148="","",IF(SUMIF(Grades!$A:$A,$B$4,Grades!$BQ:$BQ)=0,"-",IF(AND($B$4="Salary Points 1 to 57",B148&gt;Thresholds_Rates!$C$17),"-",IF(AND($B$4="Salary Points 1 to 57",B148&lt;=Thresholds_Rates!$C$17),$C148*Thresholds_Rates!$F$17,IF(AND(OR($B$4="New Consultant Contract"),$B148&lt;&gt;""),$C148*Thresholds_Rates!$F$17,IF(AND(OR($B$4="Clinical Lecturer / Medical Research Fellow",$B$4="Clinical Consultant - Old Contract (GP)"),$B148&lt;&gt;""),$C148*Thresholds_Rates!$F$17,IF(AND(OR($B$4="APM Level 7",$B$4="R&amp;T Level 7"),F148&lt;&gt;""),$C148*Thresholds_Rates!$F$17,IF(SUMIF(Grades!$A:$A,$B$4,Grades!$BQ:$BQ)=1,$C148*Thresholds_Rates!$F$17,""))))))))</f>
        <v/>
      </c>
      <c r="H148" s="24"/>
      <c r="I148" s="24"/>
      <c r="J148" s="4"/>
      <c r="K148" s="24" t="str">
        <f t="shared" ca="1" si="13"/>
        <v/>
      </c>
      <c r="L148" s="24" t="str">
        <f t="shared" ca="1" si="14"/>
        <v/>
      </c>
      <c r="M148" s="24" t="str">
        <f t="shared" ca="1" si="15"/>
        <v/>
      </c>
      <c r="N148" s="24" t="str">
        <f t="shared" ca="1" si="16"/>
        <v/>
      </c>
      <c r="O148" s="24" t="str">
        <f t="shared" ca="1" si="17"/>
        <v/>
      </c>
      <c r="Q148" s="27"/>
      <c r="R148" s="28"/>
      <c r="S148" s="27"/>
      <c r="T148" s="28"/>
    </row>
    <row r="149" spans="2:20" x14ac:dyDescent="0.25">
      <c r="B149" s="4" t="str">
        <f ca="1">IFERROR(INDEX(Points_Lookup!$A:$A,MATCH($Y151,Points_Lookup!$AE:$AE,0)),"")</f>
        <v/>
      </c>
      <c r="C149" s="24" t="str">
        <f ca="1">IF(B149="","",IF($B$4="Apprenticeship",SUMIF(Points_Lookup!$AA:$AA,B149,Points_Lookup!$AC:$AC),IF(AND(OR($B$4="New Consultant Contract"),$B149&lt;&gt;""),INDEX(Points_Lookup!$K:$K,MATCH($B149,Points_Lookup!$J:$J,0)),IF(AND(OR($B$4="Clinical Lecturer / Medical Research Fellow",$B$4="Clinical Consultant - Old Contract (GP)"),$B149&lt;&gt;""),INDEX(Points_Lookup!$H:$H,MATCH($B149,Points_Lookup!$G:$G,0)),IF(AND(OR($B$4="APM Level 7",$B$4="R&amp;T Level 7",$B$4="APM Level 8"),B149&lt;&gt;""),INDEX(Points_Lookup!$E:$E,MATCH($Y149,Points_Lookup!$AE:$AE,0)),IF($B$4="R&amp;T Level 5 - Clinical Lecturers (Vet School)",SUMIF(Points_Lookup!$M:$M,$B149,Points_Lookup!$P:$P),IF($B$4="R&amp;T Level 6 - Clinical Associate Professors and Clinical Readers (Vet School)",SUMIF(Points_Lookup!$T:$T,$B149,Points_Lookup!$W:$W),IFERROR(INDEX(Points_Lookup!$B:$B,MATCH($Y149,Points_Lookup!$AE:$AE,0)),""))))))))</f>
        <v/>
      </c>
      <c r="D149" s="39"/>
      <c r="E149" s="24" t="str">
        <f ca="1">IF($B149="","",IF(AND($B$4="Salary Points 2 to 57",B149&lt;Thresholds_Rates!$C$16),"-",IF(SUMIF(Grades!$A:$A,$B$4,Grades!$BO:$BO)=0,"-",IF(AND($B$4="Salary Points 2 to 57",B149&gt;=Thresholds_Rates!$C$16),$C149*Thresholds_Rates!$F$15,IF(AND(OR($B$4="New Consultant Contract"),$B149&lt;&gt;""),$C149*Thresholds_Rates!$F$15,IF(AND(OR($B$4="Clinical Lecturer / Medical Research Fellow",$B$4="Clinical Consultant - Old Contract (GP)"),$B149&lt;&gt;""),$C149*Thresholds_Rates!$F$15,IF(OR($B$4="APM Level 7",$B$4="R&amp;T Level 7"),$C149*Thresholds_Rates!$F$15,IF(SUMIF(Grades!$A:$A,$B$4,Grades!$BO:$BO)=1,$C149*Thresholds_Rates!$F$15,""))))))))</f>
        <v/>
      </c>
      <c r="F149" s="24" t="str">
        <f ca="1">IF(B149="","",IF($B$4="Salary Points 1 to 57","-",IF(SUMIF(Grades!$A:$A,$B$4,Grades!$BP:$BP)=0,"-",IF(AND(OR($B$4="New Consultant Contract"),$B149&lt;&gt;""),$C149*Thresholds_Rates!$F$16,IF(AND(OR($B$4="Clinical Lecturer / Medical Research Fellow",$B$4="Clinical Consultant - Old Contract (GP)"),$B149&lt;&gt;""),$C149*Thresholds_Rates!$F$16,IF(AND(OR($B$4="APM Level 7",$B$4="R&amp;T Level 7"),E149&lt;&gt;""),$C149*Thresholds_Rates!$F$16,IF(SUMIF(Grades!$A:$A,$B$4,Grades!$BP:$BP)=1,$C149*Thresholds_Rates!$F$16,"")))))))</f>
        <v/>
      </c>
      <c r="G149" s="24" t="str">
        <f ca="1">IF(B149="","",IF(SUMIF(Grades!$A:$A,$B$4,Grades!$BQ:$BQ)=0,"-",IF(AND($B$4="Salary Points 1 to 57",B149&gt;Thresholds_Rates!$C$17),"-",IF(AND($B$4="Salary Points 1 to 57",B149&lt;=Thresholds_Rates!$C$17),$C149*Thresholds_Rates!$F$17,IF(AND(OR($B$4="New Consultant Contract"),$B149&lt;&gt;""),$C149*Thresholds_Rates!$F$17,IF(AND(OR($B$4="Clinical Lecturer / Medical Research Fellow",$B$4="Clinical Consultant - Old Contract (GP)"),$B149&lt;&gt;""),$C149*Thresholds_Rates!$F$17,IF(AND(OR($B$4="APM Level 7",$B$4="R&amp;T Level 7"),F149&lt;&gt;""),$C149*Thresholds_Rates!$F$17,IF(SUMIF(Grades!$A:$A,$B$4,Grades!$BQ:$BQ)=1,$C149*Thresholds_Rates!$F$17,""))))))))</f>
        <v/>
      </c>
      <c r="H149" s="24"/>
      <c r="I149" s="24"/>
      <c r="J149" s="4"/>
      <c r="K149" s="24" t="str">
        <f t="shared" ca="1" si="13"/>
        <v/>
      </c>
      <c r="L149" s="24" t="str">
        <f t="shared" ca="1" si="14"/>
        <v/>
      </c>
      <c r="M149" s="24" t="str">
        <f t="shared" ca="1" si="15"/>
        <v/>
      </c>
      <c r="N149" s="24" t="str">
        <f t="shared" ca="1" si="16"/>
        <v/>
      </c>
      <c r="O149" s="24" t="str">
        <f t="shared" ca="1" si="17"/>
        <v/>
      </c>
      <c r="Q149" s="27"/>
      <c r="R149" s="28"/>
      <c r="S149" s="27"/>
      <c r="T149" s="28"/>
    </row>
    <row r="150" spans="2:20" x14ac:dyDescent="0.25">
      <c r="B150" s="4" t="str">
        <f ca="1">IFERROR(INDEX(Points_Lookup!$A:$A,MATCH($Y152,Points_Lookup!$AE:$AE,0)),"")</f>
        <v/>
      </c>
      <c r="C150" s="24" t="str">
        <f ca="1">IF(B150="","",IF($B$4="Apprenticeship",SUMIF(Points_Lookup!$AA:$AA,B150,Points_Lookup!$AC:$AC),IF(AND(OR($B$4="New Consultant Contract"),$B150&lt;&gt;""),INDEX(Points_Lookup!$K:$K,MATCH($B150,Points_Lookup!$J:$J,0)),IF(AND(OR($B$4="Clinical Lecturer / Medical Research Fellow",$B$4="Clinical Consultant - Old Contract (GP)"),$B150&lt;&gt;""),INDEX(Points_Lookup!$H:$H,MATCH($B150,Points_Lookup!$G:$G,0)),IF(AND(OR($B$4="APM Level 7",$B$4="R&amp;T Level 7",$B$4="APM Level 8"),B150&lt;&gt;""),INDEX(Points_Lookup!$E:$E,MATCH($Y150,Points_Lookup!$AE:$AE,0)),IF($B$4="R&amp;T Level 5 - Clinical Lecturers (Vet School)",SUMIF(Points_Lookup!$M:$M,$B150,Points_Lookup!$P:$P),IF($B$4="R&amp;T Level 6 - Clinical Associate Professors and Clinical Readers (Vet School)",SUMIF(Points_Lookup!$T:$T,$B150,Points_Lookup!$W:$W),IFERROR(INDEX(Points_Lookup!$B:$B,MATCH($Y150,Points_Lookup!$AE:$AE,0)),""))))))))</f>
        <v/>
      </c>
      <c r="D150" s="39"/>
      <c r="E150" s="24" t="str">
        <f ca="1">IF($B150="","",IF(AND($B$4="Salary Points 2 to 57",B150&lt;Thresholds_Rates!$C$16),"-",IF(SUMIF(Grades!$A:$A,$B$4,Grades!$BO:$BO)=0,"-",IF(AND($B$4="Salary Points 2 to 57",B150&gt;=Thresholds_Rates!$C$16),$C150*Thresholds_Rates!$F$15,IF(AND(OR($B$4="New Consultant Contract"),$B150&lt;&gt;""),$C150*Thresholds_Rates!$F$15,IF(AND(OR($B$4="Clinical Lecturer / Medical Research Fellow",$B$4="Clinical Consultant - Old Contract (GP)"),$B150&lt;&gt;""),$C150*Thresholds_Rates!$F$15,IF(OR($B$4="APM Level 7",$B$4="R&amp;T Level 7"),$C150*Thresholds_Rates!$F$15,IF(SUMIF(Grades!$A:$A,$B$4,Grades!$BO:$BO)=1,$C150*Thresholds_Rates!$F$15,""))))))))</f>
        <v/>
      </c>
      <c r="F150" s="24" t="str">
        <f ca="1">IF(B150="","",IF($B$4="Salary Points 1 to 57","-",IF(SUMIF(Grades!$A:$A,$B$4,Grades!$BP:$BP)=0,"-",IF(AND(OR($B$4="New Consultant Contract"),$B150&lt;&gt;""),$C150*Thresholds_Rates!$F$16,IF(AND(OR($B$4="Clinical Lecturer / Medical Research Fellow",$B$4="Clinical Consultant - Old Contract (GP)"),$B150&lt;&gt;""),$C150*Thresholds_Rates!$F$16,IF(AND(OR($B$4="APM Level 7",$B$4="R&amp;T Level 7"),E150&lt;&gt;""),$C150*Thresholds_Rates!$F$16,IF(SUMIF(Grades!$A:$A,$B$4,Grades!$BP:$BP)=1,$C150*Thresholds_Rates!$F$16,"")))))))</f>
        <v/>
      </c>
      <c r="G150" s="24" t="str">
        <f ca="1">IF(B150="","",IF(SUMIF(Grades!$A:$A,$B$4,Grades!$BQ:$BQ)=0,"-",IF(AND($B$4="Salary Points 1 to 57",B150&gt;Thresholds_Rates!$C$17),"-",IF(AND($B$4="Salary Points 1 to 57",B150&lt;=Thresholds_Rates!$C$17),$C150*Thresholds_Rates!$F$17,IF(AND(OR($B$4="New Consultant Contract"),$B150&lt;&gt;""),$C150*Thresholds_Rates!$F$17,IF(AND(OR($B$4="Clinical Lecturer / Medical Research Fellow",$B$4="Clinical Consultant - Old Contract (GP)"),$B150&lt;&gt;""),$C150*Thresholds_Rates!$F$17,IF(AND(OR($B$4="APM Level 7",$B$4="R&amp;T Level 7"),F150&lt;&gt;""),$C150*Thresholds_Rates!$F$17,IF(SUMIF(Grades!$A:$A,$B$4,Grades!$BQ:$BQ)=1,$C150*Thresholds_Rates!$F$17,""))))))))</f>
        <v/>
      </c>
      <c r="H150" s="24"/>
      <c r="I150" s="24"/>
      <c r="J150" s="4"/>
      <c r="K150" s="24" t="str">
        <f t="shared" ca="1" si="13"/>
        <v/>
      </c>
      <c r="L150" s="24" t="str">
        <f t="shared" ca="1" si="14"/>
        <v/>
      </c>
      <c r="M150" s="24" t="str">
        <f t="shared" ca="1" si="15"/>
        <v/>
      </c>
      <c r="N150" s="24" t="str">
        <f t="shared" ca="1" si="16"/>
        <v/>
      </c>
      <c r="O150" s="24" t="str">
        <f t="shared" ca="1" si="17"/>
        <v/>
      </c>
      <c r="Q150" s="27"/>
      <c r="R150" s="28"/>
      <c r="S150" s="27"/>
      <c r="T150" s="28"/>
    </row>
    <row r="151" spans="2:20" x14ac:dyDescent="0.25">
      <c r="B151" s="4" t="str">
        <f ca="1">IFERROR(INDEX(Points_Lookup!$A:$A,MATCH($Y153,Points_Lookup!$AE:$AE,0)),"")</f>
        <v/>
      </c>
      <c r="C151" s="24" t="str">
        <f ca="1">IF(B151="","",IF($B$4="Apprenticeship",SUMIF(Points_Lookup!$AA:$AA,B151,Points_Lookup!$AC:$AC),IF(AND(OR($B$4="New Consultant Contract"),$B151&lt;&gt;""),INDEX(Points_Lookup!$K:$K,MATCH($B151,Points_Lookup!$J:$J,0)),IF(AND(OR($B$4="Clinical Lecturer / Medical Research Fellow",$B$4="Clinical Consultant - Old Contract (GP)"),$B151&lt;&gt;""),INDEX(Points_Lookup!$H:$H,MATCH($B151,Points_Lookup!$G:$G,0)),IF(AND(OR($B$4="APM Level 7",$B$4="R&amp;T Level 7",$B$4="APM Level 8"),B151&lt;&gt;""),INDEX(Points_Lookup!$E:$E,MATCH($Y151,Points_Lookup!$AE:$AE,0)),IF($B$4="R&amp;T Level 5 - Clinical Lecturers (Vet School)",SUMIF(Points_Lookup!$M:$M,$B151,Points_Lookup!$P:$P),IF($B$4="R&amp;T Level 6 - Clinical Associate Professors and Clinical Readers (Vet School)",SUMIF(Points_Lookup!$T:$T,$B151,Points_Lookup!$W:$W),IFERROR(INDEX(Points_Lookup!$B:$B,MATCH($Y151,Points_Lookup!$AE:$AE,0)),""))))))))</f>
        <v/>
      </c>
      <c r="D151" s="39"/>
      <c r="E151" s="24" t="str">
        <f ca="1">IF($B151="","",IF(AND($B$4="Salary Points 2 to 57",B151&lt;Thresholds_Rates!$C$16),"-",IF(SUMIF(Grades!$A:$A,$B$4,Grades!$BO:$BO)=0,"-",IF(AND($B$4="Salary Points 2 to 57",B151&gt;=Thresholds_Rates!$C$16),$C151*Thresholds_Rates!$F$15,IF(AND(OR($B$4="New Consultant Contract"),$B151&lt;&gt;""),$C151*Thresholds_Rates!$F$15,IF(AND(OR($B$4="Clinical Lecturer / Medical Research Fellow",$B$4="Clinical Consultant - Old Contract (GP)"),$B151&lt;&gt;""),$C151*Thresholds_Rates!$F$15,IF(OR($B$4="APM Level 7",$B$4="R&amp;T Level 7"),$C151*Thresholds_Rates!$F$15,IF(SUMIF(Grades!$A:$A,$B$4,Grades!$BO:$BO)=1,$C151*Thresholds_Rates!$F$15,""))))))))</f>
        <v/>
      </c>
      <c r="F151" s="24" t="str">
        <f ca="1">IF(B151="","",IF($B$4="Salary Points 1 to 57","-",IF(SUMIF(Grades!$A:$A,$B$4,Grades!$BP:$BP)=0,"-",IF(AND(OR($B$4="New Consultant Contract"),$B151&lt;&gt;""),$C151*Thresholds_Rates!$F$16,IF(AND(OR($B$4="Clinical Lecturer / Medical Research Fellow",$B$4="Clinical Consultant - Old Contract (GP)"),$B151&lt;&gt;""),$C151*Thresholds_Rates!$F$16,IF(AND(OR($B$4="APM Level 7",$B$4="R&amp;T Level 7"),E151&lt;&gt;""),$C151*Thresholds_Rates!$F$16,IF(SUMIF(Grades!$A:$A,$B$4,Grades!$BP:$BP)=1,$C151*Thresholds_Rates!$F$16,"")))))))</f>
        <v/>
      </c>
      <c r="G151" s="24" t="str">
        <f ca="1">IF(B151="","",IF(SUMIF(Grades!$A:$A,$B$4,Grades!$BQ:$BQ)=0,"-",IF(AND($B$4="Salary Points 1 to 57",B151&gt;Thresholds_Rates!$C$17),"-",IF(AND($B$4="Salary Points 1 to 57",B151&lt;=Thresholds_Rates!$C$17),$C151*Thresholds_Rates!$F$17,IF(AND(OR($B$4="New Consultant Contract"),$B151&lt;&gt;""),$C151*Thresholds_Rates!$F$17,IF(AND(OR($B$4="Clinical Lecturer / Medical Research Fellow",$B$4="Clinical Consultant - Old Contract (GP)"),$B151&lt;&gt;""),$C151*Thresholds_Rates!$F$17,IF(AND(OR($B$4="APM Level 7",$B$4="R&amp;T Level 7"),F151&lt;&gt;""),$C151*Thresholds_Rates!$F$17,IF(SUMIF(Grades!$A:$A,$B$4,Grades!$BQ:$BQ)=1,$C151*Thresholds_Rates!$F$17,""))))))))</f>
        <v/>
      </c>
      <c r="H151" s="24"/>
      <c r="I151" s="24"/>
      <c r="J151" s="4"/>
      <c r="K151" s="24" t="str">
        <f t="shared" ca="1" si="13"/>
        <v/>
      </c>
      <c r="L151" s="24" t="str">
        <f t="shared" ca="1" si="14"/>
        <v/>
      </c>
      <c r="M151" s="24" t="str">
        <f t="shared" ca="1" si="15"/>
        <v/>
      </c>
      <c r="N151" s="24" t="str">
        <f t="shared" ca="1" si="16"/>
        <v/>
      </c>
      <c r="O151" s="24" t="str">
        <f t="shared" ca="1" si="17"/>
        <v/>
      </c>
      <c r="Q151" s="27"/>
      <c r="R151" s="28"/>
      <c r="S151" s="27"/>
      <c r="T151" s="28"/>
    </row>
    <row r="152" spans="2:20" x14ac:dyDescent="0.25">
      <c r="B152" s="4" t="str">
        <f ca="1">IFERROR(INDEX(Points_Lookup!$A:$A,MATCH($Y154,Points_Lookup!$AE:$AE,0)),"")</f>
        <v/>
      </c>
      <c r="C152" s="24" t="str">
        <f ca="1">IF(B152="","",IF($B$4="Apprenticeship",SUMIF(Points_Lookup!$AA:$AA,B152,Points_Lookup!$AC:$AC),IF(AND(OR($B$4="New Consultant Contract"),$B152&lt;&gt;""),INDEX(Points_Lookup!$K:$K,MATCH($B152,Points_Lookup!$J:$J,0)),IF(AND(OR($B$4="Clinical Lecturer / Medical Research Fellow",$B$4="Clinical Consultant - Old Contract (GP)"),$B152&lt;&gt;""),INDEX(Points_Lookup!$H:$H,MATCH($B152,Points_Lookup!$G:$G,0)),IF(AND(OR($B$4="APM Level 7",$B$4="R&amp;T Level 7",$B$4="APM Level 8"),B152&lt;&gt;""),INDEX(Points_Lookup!$E:$E,MATCH($Y152,Points_Lookup!$AE:$AE,0)),IF($B$4="R&amp;T Level 5 - Clinical Lecturers (Vet School)",SUMIF(Points_Lookup!$M:$M,$B152,Points_Lookup!$P:$P),IF($B$4="R&amp;T Level 6 - Clinical Associate Professors and Clinical Readers (Vet School)",SUMIF(Points_Lookup!$T:$T,$B152,Points_Lookup!$W:$W),IFERROR(INDEX(Points_Lookup!$B:$B,MATCH($Y152,Points_Lookup!$AE:$AE,0)),""))))))))</f>
        <v/>
      </c>
      <c r="D152" s="39"/>
      <c r="E152" s="24" t="str">
        <f ca="1">IF($B152="","",IF(AND($B$4="Salary Points 2 to 57",B152&lt;Thresholds_Rates!$C$16),"-",IF(SUMIF(Grades!$A:$A,$B$4,Grades!$BO:$BO)=0,"-",IF(AND($B$4="Salary Points 2 to 57",B152&gt;=Thresholds_Rates!$C$16),$C152*Thresholds_Rates!$F$15,IF(AND(OR($B$4="New Consultant Contract"),$B152&lt;&gt;""),$C152*Thresholds_Rates!$F$15,IF(AND(OR($B$4="Clinical Lecturer / Medical Research Fellow",$B$4="Clinical Consultant - Old Contract (GP)"),$B152&lt;&gt;""),$C152*Thresholds_Rates!$F$15,IF(OR($B$4="APM Level 7",$B$4="R&amp;T Level 7"),$C152*Thresholds_Rates!$F$15,IF(SUMIF(Grades!$A:$A,$B$4,Grades!$BO:$BO)=1,$C152*Thresholds_Rates!$F$15,""))))))))</f>
        <v/>
      </c>
      <c r="F152" s="24" t="str">
        <f ca="1">IF(B152="","",IF($B$4="Salary Points 1 to 57","-",IF(SUMIF(Grades!$A:$A,$B$4,Grades!$BP:$BP)=0,"-",IF(AND(OR($B$4="New Consultant Contract"),$B152&lt;&gt;""),$C152*Thresholds_Rates!$F$16,IF(AND(OR($B$4="Clinical Lecturer / Medical Research Fellow",$B$4="Clinical Consultant - Old Contract (GP)"),$B152&lt;&gt;""),$C152*Thresholds_Rates!$F$16,IF(AND(OR($B$4="APM Level 7",$B$4="R&amp;T Level 7"),E152&lt;&gt;""),$C152*Thresholds_Rates!$F$16,IF(SUMIF(Grades!$A:$A,$B$4,Grades!$BP:$BP)=1,$C152*Thresholds_Rates!$F$16,"")))))))</f>
        <v/>
      </c>
      <c r="G152" s="24" t="str">
        <f ca="1">IF(B152="","",IF(SUMIF(Grades!$A:$A,$B$4,Grades!$BQ:$BQ)=0,"-",IF(AND($B$4="Salary Points 1 to 57",B152&gt;Thresholds_Rates!$C$17),"-",IF(AND($B$4="Salary Points 1 to 57",B152&lt;=Thresholds_Rates!$C$17),$C152*Thresholds_Rates!$F$17,IF(AND(OR($B$4="New Consultant Contract"),$B152&lt;&gt;""),$C152*Thresholds_Rates!$F$17,IF(AND(OR($B$4="Clinical Lecturer / Medical Research Fellow",$B$4="Clinical Consultant - Old Contract (GP)"),$B152&lt;&gt;""),$C152*Thresholds_Rates!$F$17,IF(AND(OR($B$4="APM Level 7",$B$4="R&amp;T Level 7"),F152&lt;&gt;""),$C152*Thresholds_Rates!$F$17,IF(SUMIF(Grades!$A:$A,$B$4,Grades!$BQ:$BQ)=1,$C152*Thresholds_Rates!$F$17,""))))))))</f>
        <v/>
      </c>
      <c r="H152" s="24"/>
      <c r="I152" s="24"/>
      <c r="J152" s="4"/>
      <c r="K152" s="24" t="str">
        <f t="shared" ca="1" si="13"/>
        <v/>
      </c>
      <c r="L152" s="24" t="str">
        <f t="shared" ca="1" si="14"/>
        <v/>
      </c>
      <c r="M152" s="24" t="str">
        <f t="shared" ca="1" si="15"/>
        <v/>
      </c>
      <c r="N152" s="24" t="str">
        <f t="shared" ca="1" si="16"/>
        <v/>
      </c>
      <c r="O152" s="24" t="str">
        <f t="shared" ca="1" si="17"/>
        <v/>
      </c>
      <c r="Q152" s="27"/>
      <c r="R152" s="28"/>
      <c r="S152" s="27"/>
      <c r="T152" s="28"/>
    </row>
    <row r="153" spans="2:20" x14ac:dyDescent="0.25">
      <c r="B153" s="4" t="str">
        <f ca="1">IFERROR(INDEX(Points_Lookup!$A:$A,MATCH($Y155,Points_Lookup!$AE:$AE,0)),"")</f>
        <v/>
      </c>
      <c r="C153" s="24" t="str">
        <f ca="1">IF(B153="","",IF($B$4="Apprenticeship",SUMIF(Points_Lookup!$AA:$AA,B153,Points_Lookup!$AC:$AC),IF(AND(OR($B$4="New Consultant Contract"),$B153&lt;&gt;""),INDEX(Points_Lookup!$K:$K,MATCH($B153,Points_Lookup!$J:$J,0)),IF(AND(OR($B$4="Clinical Lecturer / Medical Research Fellow",$B$4="Clinical Consultant - Old Contract (GP)"),$B153&lt;&gt;""),INDEX(Points_Lookup!$H:$H,MATCH($B153,Points_Lookup!$G:$G,0)),IF(AND(OR($B$4="APM Level 7",$B$4="R&amp;T Level 7",$B$4="APM Level 8"),B153&lt;&gt;""),INDEX(Points_Lookup!$E:$E,MATCH($Y153,Points_Lookup!$AE:$AE,0)),IF($B$4="R&amp;T Level 5 - Clinical Lecturers (Vet School)",SUMIF(Points_Lookup!$M:$M,$B153,Points_Lookup!$P:$P),IF($B$4="R&amp;T Level 6 - Clinical Associate Professors and Clinical Readers (Vet School)",SUMIF(Points_Lookup!$T:$T,$B153,Points_Lookup!$W:$W),IFERROR(INDEX(Points_Lookup!$B:$B,MATCH($Y153,Points_Lookup!$AE:$AE,0)),""))))))))</f>
        <v/>
      </c>
      <c r="D153" s="39"/>
      <c r="E153" s="24" t="str">
        <f ca="1">IF($B153="","",IF(AND($B$4="Salary Points 2 to 57",B153&lt;Thresholds_Rates!$C$16),"-",IF(SUMIF(Grades!$A:$A,$B$4,Grades!$BO:$BO)=0,"-",IF(AND($B$4="Salary Points 2 to 57",B153&gt;=Thresholds_Rates!$C$16),$C153*Thresholds_Rates!$F$15,IF(AND(OR($B$4="New Consultant Contract"),$B153&lt;&gt;""),$C153*Thresholds_Rates!$F$15,IF(AND(OR($B$4="Clinical Lecturer / Medical Research Fellow",$B$4="Clinical Consultant - Old Contract (GP)"),$B153&lt;&gt;""),$C153*Thresholds_Rates!$F$15,IF(OR($B$4="APM Level 7",$B$4="R&amp;T Level 7"),$C153*Thresholds_Rates!$F$15,IF(SUMIF(Grades!$A:$A,$B$4,Grades!$BO:$BO)=1,$C153*Thresholds_Rates!$F$15,""))))))))</f>
        <v/>
      </c>
      <c r="F153" s="24" t="str">
        <f ca="1">IF(B153="","",IF($B$4="Salary Points 1 to 57","-",IF(SUMIF(Grades!$A:$A,$B$4,Grades!$BP:$BP)=0,"-",IF(AND(OR($B$4="New Consultant Contract"),$B153&lt;&gt;""),$C153*Thresholds_Rates!$F$16,IF(AND(OR($B$4="Clinical Lecturer / Medical Research Fellow",$B$4="Clinical Consultant - Old Contract (GP)"),$B153&lt;&gt;""),$C153*Thresholds_Rates!$F$16,IF(AND(OR($B$4="APM Level 7",$B$4="R&amp;T Level 7"),E153&lt;&gt;""),$C153*Thresholds_Rates!$F$16,IF(SUMIF(Grades!$A:$A,$B$4,Grades!$BP:$BP)=1,$C153*Thresholds_Rates!$F$16,"")))))))</f>
        <v/>
      </c>
      <c r="G153" s="24" t="str">
        <f ca="1">IF(B153="","",IF(SUMIF(Grades!$A:$A,$B$4,Grades!$BQ:$BQ)=0,"-",IF(AND($B$4="Salary Points 1 to 57",B153&gt;Thresholds_Rates!$C$17),"-",IF(AND($B$4="Salary Points 1 to 57",B153&lt;=Thresholds_Rates!$C$17),$C153*Thresholds_Rates!$F$17,IF(AND(OR($B$4="New Consultant Contract"),$B153&lt;&gt;""),$C153*Thresholds_Rates!$F$17,IF(AND(OR($B$4="Clinical Lecturer / Medical Research Fellow",$B$4="Clinical Consultant - Old Contract (GP)"),$B153&lt;&gt;""),$C153*Thresholds_Rates!$F$17,IF(AND(OR($B$4="APM Level 7",$B$4="R&amp;T Level 7"),F153&lt;&gt;""),$C153*Thresholds_Rates!$F$17,IF(SUMIF(Grades!$A:$A,$B$4,Grades!$BQ:$BQ)=1,$C153*Thresholds_Rates!$F$17,""))))))))</f>
        <v/>
      </c>
      <c r="H153" s="24"/>
      <c r="I153" s="24"/>
      <c r="J153" s="4"/>
      <c r="K153" s="24" t="str">
        <f t="shared" ca="1" si="13"/>
        <v/>
      </c>
      <c r="L153" s="24" t="str">
        <f t="shared" ca="1" si="14"/>
        <v/>
      </c>
      <c r="M153" s="24" t="str">
        <f t="shared" ca="1" si="15"/>
        <v/>
      </c>
      <c r="N153" s="24" t="str">
        <f t="shared" ca="1" si="16"/>
        <v/>
      </c>
      <c r="O153" s="24" t="str">
        <f t="shared" ca="1" si="17"/>
        <v/>
      </c>
      <c r="Q153" s="27"/>
      <c r="R153" s="28"/>
      <c r="S153" s="27"/>
      <c r="T153" s="28"/>
    </row>
    <row r="154" spans="2:20" x14ac:dyDescent="0.25">
      <c r="B154" s="4" t="str">
        <f ca="1">IFERROR(INDEX(Points_Lookup!$A:$A,MATCH($Y156,Points_Lookup!$AE:$AE,0)),"")</f>
        <v/>
      </c>
      <c r="C154" s="24" t="str">
        <f ca="1">IF(B154="","",IF($B$4="Apprenticeship",SUMIF(Points_Lookup!$AA:$AA,B154,Points_Lookup!$AC:$AC),IF(AND(OR($B$4="New Consultant Contract"),$B154&lt;&gt;""),INDEX(Points_Lookup!$K:$K,MATCH($B154,Points_Lookup!$J:$J,0)),IF(AND(OR($B$4="Clinical Lecturer / Medical Research Fellow",$B$4="Clinical Consultant - Old Contract (GP)"),$B154&lt;&gt;""),INDEX(Points_Lookup!$H:$H,MATCH($B154,Points_Lookup!$G:$G,0)),IF(AND(OR($B$4="APM Level 7",$B$4="R&amp;T Level 7",$B$4="APM Level 8"),B154&lt;&gt;""),INDEX(Points_Lookup!$E:$E,MATCH($Y154,Points_Lookup!$AE:$AE,0)),IF($B$4="R&amp;T Level 5 - Clinical Lecturers (Vet School)",SUMIF(Points_Lookup!$M:$M,$B154,Points_Lookup!$P:$P),IF($B$4="R&amp;T Level 6 - Clinical Associate Professors and Clinical Readers (Vet School)",SUMIF(Points_Lookup!$T:$T,$B154,Points_Lookup!$W:$W),IFERROR(INDEX(Points_Lookup!$B:$B,MATCH($Y154,Points_Lookup!$AE:$AE,0)),""))))))))</f>
        <v/>
      </c>
      <c r="D154" s="39"/>
      <c r="E154" s="24" t="str">
        <f ca="1">IF($B154="","",IF(AND($B$4="Salary Points 2 to 57",B154&lt;Thresholds_Rates!$C$16),"-",IF(SUMIF(Grades!$A:$A,$B$4,Grades!$BO:$BO)=0,"-",IF(AND($B$4="Salary Points 2 to 57",B154&gt;=Thresholds_Rates!$C$16),$C154*Thresholds_Rates!$F$15,IF(AND(OR($B$4="New Consultant Contract"),$B154&lt;&gt;""),$C154*Thresholds_Rates!$F$15,IF(AND(OR($B$4="Clinical Lecturer / Medical Research Fellow",$B$4="Clinical Consultant - Old Contract (GP)"),$B154&lt;&gt;""),$C154*Thresholds_Rates!$F$15,IF(OR($B$4="APM Level 7",$B$4="R&amp;T Level 7"),$C154*Thresholds_Rates!$F$15,IF(SUMIF(Grades!$A:$A,$B$4,Grades!$BO:$BO)=1,$C154*Thresholds_Rates!$F$15,""))))))))</f>
        <v/>
      </c>
      <c r="F154" s="24" t="str">
        <f ca="1">IF(B154="","",IF($B$4="Salary Points 1 to 57","-",IF(SUMIF(Grades!$A:$A,$B$4,Grades!$BP:$BP)=0,"-",IF(AND(OR($B$4="New Consultant Contract"),$B154&lt;&gt;""),$C154*Thresholds_Rates!$F$16,IF(AND(OR($B$4="Clinical Lecturer / Medical Research Fellow",$B$4="Clinical Consultant - Old Contract (GP)"),$B154&lt;&gt;""),$C154*Thresholds_Rates!$F$16,IF(AND(OR($B$4="APM Level 7",$B$4="R&amp;T Level 7"),E154&lt;&gt;""),$C154*Thresholds_Rates!$F$16,IF(SUMIF(Grades!$A:$A,$B$4,Grades!$BP:$BP)=1,$C154*Thresholds_Rates!$F$16,"")))))))</f>
        <v/>
      </c>
      <c r="G154" s="24" t="str">
        <f ca="1">IF(B154="","",IF(SUMIF(Grades!$A:$A,$B$4,Grades!$BQ:$BQ)=0,"-",IF(AND($B$4="Salary Points 1 to 57",B154&gt;Thresholds_Rates!$C$17),"-",IF(AND($B$4="Salary Points 1 to 57",B154&lt;=Thresholds_Rates!$C$17),$C154*Thresholds_Rates!$F$17,IF(AND(OR($B$4="New Consultant Contract"),$B154&lt;&gt;""),$C154*Thresholds_Rates!$F$17,IF(AND(OR($B$4="Clinical Lecturer / Medical Research Fellow",$B$4="Clinical Consultant - Old Contract (GP)"),$B154&lt;&gt;""),$C154*Thresholds_Rates!$F$17,IF(AND(OR($B$4="APM Level 7",$B$4="R&amp;T Level 7"),F154&lt;&gt;""),$C154*Thresholds_Rates!$F$17,IF(SUMIF(Grades!$A:$A,$B$4,Grades!$BQ:$BQ)=1,$C154*Thresholds_Rates!$F$17,""))))))))</f>
        <v/>
      </c>
      <c r="H154" s="24"/>
      <c r="I154" s="24"/>
      <c r="J154" s="4"/>
      <c r="K154" s="24" t="str">
        <f t="shared" ca="1" si="13"/>
        <v/>
      </c>
      <c r="L154" s="24" t="str">
        <f t="shared" ca="1" si="14"/>
        <v/>
      </c>
      <c r="M154" s="24" t="str">
        <f t="shared" ca="1" si="15"/>
        <v/>
      </c>
      <c r="N154" s="24" t="str">
        <f t="shared" ca="1" si="16"/>
        <v/>
      </c>
      <c r="O154" s="24" t="str">
        <f t="shared" ca="1" si="17"/>
        <v/>
      </c>
      <c r="Q154" s="27"/>
      <c r="R154" s="28"/>
      <c r="S154" s="27"/>
      <c r="T154" s="28"/>
    </row>
    <row r="155" spans="2:20" x14ac:dyDescent="0.25">
      <c r="B155" s="4" t="str">
        <f ca="1">IFERROR(INDEX(Points_Lookup!$A:$A,MATCH($Y157,Points_Lookup!$AE:$AE,0)),"")</f>
        <v/>
      </c>
      <c r="C155" s="24" t="str">
        <f ca="1">IF(B155="","",IF($B$4="Apprenticeship",SUMIF(Points_Lookup!$AA:$AA,B155,Points_Lookup!$AC:$AC),IF(AND(OR($B$4="New Consultant Contract"),$B155&lt;&gt;""),INDEX(Points_Lookup!$K:$K,MATCH($B155,Points_Lookup!$J:$J,0)),IF(AND(OR($B$4="Clinical Lecturer / Medical Research Fellow",$B$4="Clinical Consultant - Old Contract (GP)"),$B155&lt;&gt;""),INDEX(Points_Lookup!$H:$H,MATCH($B155,Points_Lookup!$G:$G,0)),IF(AND(OR($B$4="APM Level 7",$B$4="R&amp;T Level 7",$B$4="APM Level 8"),B155&lt;&gt;""),INDEX(Points_Lookup!$E:$E,MATCH($Y155,Points_Lookup!$AE:$AE,0)),IF($B$4="R&amp;T Level 5 - Clinical Lecturers (Vet School)",SUMIF(Points_Lookup!$M:$M,$B155,Points_Lookup!$P:$P),IF($B$4="R&amp;T Level 6 - Clinical Associate Professors and Clinical Readers (Vet School)",SUMIF(Points_Lookup!$T:$T,$B155,Points_Lookup!$W:$W),IFERROR(INDEX(Points_Lookup!$B:$B,MATCH($Y155,Points_Lookup!$AE:$AE,0)),""))))))))</f>
        <v/>
      </c>
      <c r="D155" s="39"/>
      <c r="E155" s="24" t="str">
        <f ca="1">IF($B155="","",IF(AND($B$4="Salary Points 2 to 57",B155&lt;Thresholds_Rates!$C$16),"-",IF(SUMIF(Grades!$A:$A,$B$4,Grades!$BO:$BO)=0,"-",IF(AND($B$4="Salary Points 2 to 57",B155&gt;=Thresholds_Rates!$C$16),$C155*Thresholds_Rates!$F$15,IF(AND(OR($B$4="New Consultant Contract"),$B155&lt;&gt;""),$C155*Thresholds_Rates!$F$15,IF(AND(OR($B$4="Clinical Lecturer / Medical Research Fellow",$B$4="Clinical Consultant - Old Contract (GP)"),$B155&lt;&gt;""),$C155*Thresholds_Rates!$F$15,IF(OR($B$4="APM Level 7",$B$4="R&amp;T Level 7"),$C155*Thresholds_Rates!$F$15,IF(SUMIF(Grades!$A:$A,$B$4,Grades!$BO:$BO)=1,$C155*Thresholds_Rates!$F$15,""))))))))</f>
        <v/>
      </c>
      <c r="F155" s="24" t="str">
        <f ca="1">IF(B155="","",IF($B$4="Salary Points 1 to 57","-",IF(SUMIF(Grades!$A:$A,$B$4,Grades!$BP:$BP)=0,"-",IF(AND(OR($B$4="New Consultant Contract"),$B155&lt;&gt;""),$C155*Thresholds_Rates!$F$16,IF(AND(OR($B$4="Clinical Lecturer / Medical Research Fellow",$B$4="Clinical Consultant - Old Contract (GP)"),$B155&lt;&gt;""),$C155*Thresholds_Rates!$F$16,IF(AND(OR($B$4="APM Level 7",$B$4="R&amp;T Level 7"),E155&lt;&gt;""),$C155*Thresholds_Rates!$F$16,IF(SUMIF(Grades!$A:$A,$B$4,Grades!$BP:$BP)=1,$C155*Thresholds_Rates!$F$16,"")))))))</f>
        <v/>
      </c>
      <c r="G155" s="24" t="str">
        <f ca="1">IF(B155="","",IF(SUMIF(Grades!$A:$A,$B$4,Grades!$BQ:$BQ)=0,"-",IF(AND($B$4="Salary Points 1 to 57",B155&gt;Thresholds_Rates!$C$17),"-",IF(AND($B$4="Salary Points 1 to 57",B155&lt;=Thresholds_Rates!$C$17),$C155*Thresholds_Rates!$F$17,IF(AND(OR($B$4="New Consultant Contract"),$B155&lt;&gt;""),$C155*Thresholds_Rates!$F$17,IF(AND(OR($B$4="Clinical Lecturer / Medical Research Fellow",$B$4="Clinical Consultant - Old Contract (GP)"),$B155&lt;&gt;""),$C155*Thresholds_Rates!$F$17,IF(AND(OR($B$4="APM Level 7",$B$4="R&amp;T Level 7"),F155&lt;&gt;""),$C155*Thresholds_Rates!$F$17,IF(SUMIF(Grades!$A:$A,$B$4,Grades!$BQ:$BQ)=1,$C155*Thresholds_Rates!$F$17,""))))))))</f>
        <v/>
      </c>
      <c r="H155" s="24"/>
      <c r="I155" s="24"/>
      <c r="J155" s="4"/>
      <c r="K155" s="24" t="str">
        <f t="shared" ca="1" si="13"/>
        <v/>
      </c>
      <c r="L155" s="24" t="str">
        <f t="shared" ca="1" si="14"/>
        <v/>
      </c>
      <c r="M155" s="24" t="str">
        <f t="shared" ca="1" si="15"/>
        <v/>
      </c>
      <c r="N155" s="24" t="str">
        <f t="shared" ca="1" si="16"/>
        <v/>
      </c>
      <c r="O155" s="24" t="str">
        <f t="shared" ca="1" si="17"/>
        <v/>
      </c>
      <c r="Q155" s="27"/>
      <c r="R155" s="28"/>
      <c r="S155" s="27"/>
      <c r="T155" s="28"/>
    </row>
    <row r="156" spans="2:20" x14ac:dyDescent="0.25">
      <c r="B156" s="4" t="str">
        <f ca="1">IFERROR(INDEX(Points_Lookup!$A:$A,MATCH($Y158,Points_Lookup!$AE:$AE,0)),"")</f>
        <v/>
      </c>
      <c r="C156" s="24" t="str">
        <f ca="1">IF(B156="","",IF($B$4="Apprenticeship",SUMIF(Points_Lookup!$AA:$AA,B156,Points_Lookup!$AC:$AC),IF(AND(OR($B$4="New Consultant Contract"),$B156&lt;&gt;""),INDEX(Points_Lookup!$K:$K,MATCH($B156,Points_Lookup!$J:$J,0)),IF(AND(OR($B$4="Clinical Lecturer / Medical Research Fellow",$B$4="Clinical Consultant - Old Contract (GP)"),$B156&lt;&gt;""),INDEX(Points_Lookup!$H:$H,MATCH($B156,Points_Lookup!$G:$G,0)),IF(AND(OR($B$4="APM Level 7",$B$4="R&amp;T Level 7",$B$4="APM Level 8"),B156&lt;&gt;""),INDEX(Points_Lookup!$E:$E,MATCH($Y156,Points_Lookup!$AE:$AE,0)),IF($B$4="R&amp;T Level 5 - Clinical Lecturers (Vet School)",SUMIF(Points_Lookup!$M:$M,$B156,Points_Lookup!$P:$P),IF($B$4="R&amp;T Level 6 - Clinical Associate Professors and Clinical Readers (Vet School)",SUMIF(Points_Lookup!$T:$T,$B156,Points_Lookup!$W:$W),IFERROR(INDEX(Points_Lookup!$B:$B,MATCH($Y156,Points_Lookup!$AE:$AE,0)),""))))))))</f>
        <v/>
      </c>
      <c r="D156" s="39"/>
      <c r="E156" s="24" t="str">
        <f ca="1">IF($B156="","",IF(AND($B$4="Salary Points 2 to 57",B156&lt;Thresholds_Rates!$C$16),"-",IF(SUMIF(Grades!$A:$A,$B$4,Grades!$BO:$BO)=0,"-",IF(AND($B$4="Salary Points 2 to 57",B156&gt;=Thresholds_Rates!$C$16),$C156*Thresholds_Rates!$F$15,IF(AND(OR($B$4="New Consultant Contract"),$B156&lt;&gt;""),$C156*Thresholds_Rates!$F$15,IF(AND(OR($B$4="Clinical Lecturer / Medical Research Fellow",$B$4="Clinical Consultant - Old Contract (GP)"),$B156&lt;&gt;""),$C156*Thresholds_Rates!$F$15,IF(OR($B$4="APM Level 7",$B$4="R&amp;T Level 7"),$C156*Thresholds_Rates!$F$15,IF(SUMIF(Grades!$A:$A,$B$4,Grades!$BO:$BO)=1,$C156*Thresholds_Rates!$F$15,""))))))))</f>
        <v/>
      </c>
      <c r="F156" s="24" t="str">
        <f ca="1">IF(B156="","",IF($B$4="Salary Points 1 to 57","-",IF(SUMIF(Grades!$A:$A,$B$4,Grades!$BP:$BP)=0,"-",IF(AND(OR($B$4="New Consultant Contract"),$B156&lt;&gt;""),$C156*Thresholds_Rates!$F$16,IF(AND(OR($B$4="Clinical Lecturer / Medical Research Fellow",$B$4="Clinical Consultant - Old Contract (GP)"),$B156&lt;&gt;""),$C156*Thresholds_Rates!$F$16,IF(AND(OR($B$4="APM Level 7",$B$4="R&amp;T Level 7"),E156&lt;&gt;""),$C156*Thresholds_Rates!$F$16,IF(SUMIF(Grades!$A:$A,$B$4,Grades!$BP:$BP)=1,$C156*Thresholds_Rates!$F$16,"")))))))</f>
        <v/>
      </c>
      <c r="G156" s="24" t="str">
        <f ca="1">IF(B156="","",IF(SUMIF(Grades!$A:$A,$B$4,Grades!$BQ:$BQ)=0,"-",IF(AND($B$4="Salary Points 1 to 57",B156&gt;Thresholds_Rates!$C$17),"-",IF(AND($B$4="Salary Points 1 to 57",B156&lt;=Thresholds_Rates!$C$17),$C156*Thresholds_Rates!$F$17,IF(AND(OR($B$4="New Consultant Contract"),$B156&lt;&gt;""),$C156*Thresholds_Rates!$F$17,IF(AND(OR($B$4="Clinical Lecturer / Medical Research Fellow",$B$4="Clinical Consultant - Old Contract (GP)"),$B156&lt;&gt;""),$C156*Thresholds_Rates!$F$17,IF(AND(OR($B$4="APM Level 7",$B$4="R&amp;T Level 7"),F156&lt;&gt;""),$C156*Thresholds_Rates!$F$17,IF(SUMIF(Grades!$A:$A,$B$4,Grades!$BQ:$BQ)=1,$C156*Thresholds_Rates!$F$17,""))))))))</f>
        <v/>
      </c>
      <c r="H156" s="24"/>
      <c r="I156" s="24"/>
      <c r="J156" s="4"/>
      <c r="K156" s="24" t="str">
        <f t="shared" ca="1" si="13"/>
        <v/>
      </c>
      <c r="L156" s="24" t="str">
        <f t="shared" ca="1" si="14"/>
        <v/>
      </c>
      <c r="M156" s="24" t="str">
        <f t="shared" ca="1" si="15"/>
        <v/>
      </c>
      <c r="N156" s="24" t="str">
        <f t="shared" ca="1" si="16"/>
        <v/>
      </c>
      <c r="O156" s="24" t="str">
        <f t="shared" ca="1" si="17"/>
        <v/>
      </c>
      <c r="Q156" s="27"/>
      <c r="R156" s="28"/>
      <c r="S156" s="27"/>
      <c r="T156" s="28"/>
    </row>
    <row r="157" spans="2:20" x14ac:dyDescent="0.25">
      <c r="B157" s="4" t="str">
        <f ca="1">IFERROR(INDEX(Points_Lookup!$A:$A,MATCH($Y159,Points_Lookup!$AE:$AE,0)),"")</f>
        <v/>
      </c>
      <c r="C157" s="24" t="str">
        <f ca="1">IF(B157="","",IF($B$4="Apprenticeship",SUMIF(Points_Lookup!$AA:$AA,B157,Points_Lookup!$AC:$AC),IF(AND(OR($B$4="New Consultant Contract"),$B157&lt;&gt;""),INDEX(Points_Lookup!$K:$K,MATCH($B157,Points_Lookup!$J:$J,0)),IF(AND(OR($B$4="Clinical Lecturer / Medical Research Fellow",$B$4="Clinical Consultant - Old Contract (GP)"),$B157&lt;&gt;""),INDEX(Points_Lookup!$H:$H,MATCH($B157,Points_Lookup!$G:$G,0)),IF(AND(OR($B$4="APM Level 7",$B$4="R&amp;T Level 7",$B$4="APM Level 8"),B157&lt;&gt;""),INDEX(Points_Lookup!$E:$E,MATCH($Y157,Points_Lookup!$AE:$AE,0)),IF($B$4="R&amp;T Level 5 - Clinical Lecturers (Vet School)",SUMIF(Points_Lookup!$M:$M,$B157,Points_Lookup!$P:$P),IF($B$4="R&amp;T Level 6 - Clinical Associate Professors and Clinical Readers (Vet School)",SUMIF(Points_Lookup!$T:$T,$B157,Points_Lookup!$W:$W),IFERROR(INDEX(Points_Lookup!$B:$B,MATCH($Y157,Points_Lookup!$AE:$AE,0)),""))))))))</f>
        <v/>
      </c>
      <c r="D157" s="39"/>
      <c r="E157" s="24" t="str">
        <f ca="1">IF($B157="","",IF(AND($B$4="Salary Points 2 to 57",B157&lt;Thresholds_Rates!$C$16),"-",IF(SUMIF(Grades!$A:$A,$B$4,Grades!$BO:$BO)=0,"-",IF(AND($B$4="Salary Points 2 to 57",B157&gt;=Thresholds_Rates!$C$16),$C157*Thresholds_Rates!$F$15,IF(AND(OR($B$4="New Consultant Contract"),$B157&lt;&gt;""),$C157*Thresholds_Rates!$F$15,IF(AND(OR($B$4="Clinical Lecturer / Medical Research Fellow",$B$4="Clinical Consultant - Old Contract (GP)"),$B157&lt;&gt;""),$C157*Thresholds_Rates!$F$15,IF(OR($B$4="APM Level 7",$B$4="R&amp;T Level 7"),$C157*Thresholds_Rates!$F$15,IF(SUMIF(Grades!$A:$A,$B$4,Grades!$BO:$BO)=1,$C157*Thresholds_Rates!$F$15,""))))))))</f>
        <v/>
      </c>
      <c r="F157" s="24" t="str">
        <f ca="1">IF(B157="","",IF($B$4="Salary Points 1 to 57","-",IF(SUMIF(Grades!$A:$A,$B$4,Grades!$BP:$BP)=0,"-",IF(AND(OR($B$4="New Consultant Contract"),$B157&lt;&gt;""),$C157*Thresholds_Rates!$F$16,IF(AND(OR($B$4="Clinical Lecturer / Medical Research Fellow",$B$4="Clinical Consultant - Old Contract (GP)"),$B157&lt;&gt;""),$C157*Thresholds_Rates!$F$16,IF(AND(OR($B$4="APM Level 7",$B$4="R&amp;T Level 7"),E157&lt;&gt;""),$C157*Thresholds_Rates!$F$16,IF(SUMIF(Grades!$A:$A,$B$4,Grades!$BP:$BP)=1,$C157*Thresholds_Rates!$F$16,"")))))))</f>
        <v/>
      </c>
      <c r="G157" s="24" t="str">
        <f ca="1">IF(B157="","",IF(SUMIF(Grades!$A:$A,$B$4,Grades!$BQ:$BQ)=0,"-",IF(AND($B$4="Salary Points 1 to 57",B157&gt;Thresholds_Rates!$C$17),"-",IF(AND($B$4="Salary Points 1 to 57",B157&lt;=Thresholds_Rates!$C$17),$C157*Thresholds_Rates!$F$17,IF(AND(OR($B$4="New Consultant Contract"),$B157&lt;&gt;""),$C157*Thresholds_Rates!$F$17,IF(AND(OR($B$4="Clinical Lecturer / Medical Research Fellow",$B$4="Clinical Consultant - Old Contract (GP)"),$B157&lt;&gt;""),$C157*Thresholds_Rates!$F$17,IF(AND(OR($B$4="APM Level 7",$B$4="R&amp;T Level 7"),F157&lt;&gt;""),$C157*Thresholds_Rates!$F$17,IF(SUMIF(Grades!$A:$A,$B$4,Grades!$BQ:$BQ)=1,$C157*Thresholds_Rates!$F$17,""))))))))</f>
        <v/>
      </c>
      <c r="H157" s="24"/>
      <c r="I157" s="24"/>
      <c r="J157" s="4"/>
      <c r="K157" s="24" t="str">
        <f t="shared" ca="1" si="13"/>
        <v/>
      </c>
      <c r="L157" s="24" t="str">
        <f t="shared" ca="1" si="14"/>
        <v/>
      </c>
      <c r="M157" s="24" t="str">
        <f t="shared" ca="1" si="15"/>
        <v/>
      </c>
      <c r="N157" s="24" t="str">
        <f t="shared" ca="1" si="16"/>
        <v/>
      </c>
      <c r="O157" s="24" t="str">
        <f t="shared" ca="1" si="17"/>
        <v/>
      </c>
      <c r="Q157" s="27"/>
      <c r="R157" s="28"/>
      <c r="S157" s="27"/>
      <c r="T157" s="28"/>
    </row>
    <row r="158" spans="2:20" x14ac:dyDescent="0.25">
      <c r="B158" s="4" t="str">
        <f ca="1">IFERROR(INDEX(Points_Lookup!$A:$A,MATCH($Y160,Points_Lookup!$AE:$AE,0)),"")</f>
        <v/>
      </c>
      <c r="C158" s="24" t="str">
        <f ca="1">IF(B158="","",IF($B$4="Apprenticeship",SUMIF(Points_Lookup!$AA:$AA,B158,Points_Lookup!$AC:$AC),IF(AND(OR($B$4="New Consultant Contract"),$B158&lt;&gt;""),INDEX(Points_Lookup!$K:$K,MATCH($B158,Points_Lookup!$J:$J,0)),IF(AND(OR($B$4="Clinical Lecturer / Medical Research Fellow",$B$4="Clinical Consultant - Old Contract (GP)"),$B158&lt;&gt;""),INDEX(Points_Lookup!$H:$H,MATCH($B158,Points_Lookup!$G:$G,0)),IF(AND(OR($B$4="APM Level 7",$B$4="R&amp;T Level 7",$B$4="APM Level 8"),B158&lt;&gt;""),INDEX(Points_Lookup!$E:$E,MATCH($Y158,Points_Lookup!$AE:$AE,0)),IF($B$4="R&amp;T Level 5 - Clinical Lecturers (Vet School)",SUMIF(Points_Lookup!$M:$M,$B158,Points_Lookup!$P:$P),IF($B$4="R&amp;T Level 6 - Clinical Associate Professors and Clinical Readers (Vet School)",SUMIF(Points_Lookup!$T:$T,$B158,Points_Lookup!$W:$W),IFERROR(INDEX(Points_Lookup!$B:$B,MATCH($Y158,Points_Lookup!$AE:$AE,0)),""))))))))</f>
        <v/>
      </c>
      <c r="D158" s="39"/>
      <c r="E158" s="24" t="str">
        <f ca="1">IF($B158="","",IF(AND($B$4="Salary Points 2 to 57",B158&lt;Thresholds_Rates!$C$16),"-",IF(SUMIF(Grades!$A:$A,$B$4,Grades!$BO:$BO)=0,"-",IF(AND($B$4="Salary Points 2 to 57",B158&gt;=Thresholds_Rates!$C$16),$C158*Thresholds_Rates!$F$15,IF(AND(OR($B$4="New Consultant Contract"),$B158&lt;&gt;""),$C158*Thresholds_Rates!$F$15,IF(AND(OR($B$4="Clinical Lecturer / Medical Research Fellow",$B$4="Clinical Consultant - Old Contract (GP)"),$B158&lt;&gt;""),$C158*Thresholds_Rates!$F$15,IF(OR($B$4="APM Level 7",$B$4="R&amp;T Level 7"),$C158*Thresholds_Rates!$F$15,IF(SUMIF(Grades!$A:$A,$B$4,Grades!$BO:$BO)=1,$C158*Thresholds_Rates!$F$15,""))))))))</f>
        <v/>
      </c>
      <c r="F158" s="24" t="str">
        <f ca="1">IF(B158="","",IF($B$4="Salary Points 1 to 57","-",IF(SUMIF(Grades!$A:$A,$B$4,Grades!$BP:$BP)=0,"-",IF(AND(OR($B$4="New Consultant Contract"),$B158&lt;&gt;""),$C158*Thresholds_Rates!$F$16,IF(AND(OR($B$4="Clinical Lecturer / Medical Research Fellow",$B$4="Clinical Consultant - Old Contract (GP)"),$B158&lt;&gt;""),$C158*Thresholds_Rates!$F$16,IF(AND(OR($B$4="APM Level 7",$B$4="R&amp;T Level 7"),E158&lt;&gt;""),$C158*Thresholds_Rates!$F$16,IF(SUMIF(Grades!$A:$A,$B$4,Grades!$BP:$BP)=1,$C158*Thresholds_Rates!$F$16,"")))))))</f>
        <v/>
      </c>
      <c r="G158" s="24" t="str">
        <f ca="1">IF(B158="","",IF(SUMIF(Grades!$A:$A,$B$4,Grades!$BQ:$BQ)=0,"-",IF(AND($B$4="Salary Points 1 to 57",B158&gt;Thresholds_Rates!$C$17),"-",IF(AND($B$4="Salary Points 1 to 57",B158&lt;=Thresholds_Rates!$C$17),$C158*Thresholds_Rates!$F$17,IF(AND(OR($B$4="New Consultant Contract"),$B158&lt;&gt;""),$C158*Thresholds_Rates!$F$17,IF(AND(OR($B$4="Clinical Lecturer / Medical Research Fellow",$B$4="Clinical Consultant - Old Contract (GP)"),$B158&lt;&gt;""),$C158*Thresholds_Rates!$F$17,IF(AND(OR($B$4="APM Level 7",$B$4="R&amp;T Level 7"),F158&lt;&gt;""),$C158*Thresholds_Rates!$F$17,IF(SUMIF(Grades!$A:$A,$B$4,Grades!$BQ:$BQ)=1,$C158*Thresholds_Rates!$F$17,""))))))))</f>
        <v/>
      </c>
      <c r="H158" s="24"/>
      <c r="I158" s="24"/>
      <c r="J158" s="4"/>
      <c r="K158" s="24" t="str">
        <f t="shared" ca="1" si="13"/>
        <v/>
      </c>
      <c r="L158" s="24" t="str">
        <f t="shared" ca="1" si="14"/>
        <v/>
      </c>
      <c r="M158" s="24" t="str">
        <f t="shared" ca="1" si="15"/>
        <v/>
      </c>
      <c r="N158" s="24" t="str">
        <f t="shared" ca="1" si="16"/>
        <v/>
      </c>
      <c r="O158" s="24" t="str">
        <f t="shared" ca="1" si="17"/>
        <v/>
      </c>
      <c r="Q158" s="27"/>
      <c r="R158" s="28"/>
      <c r="S158" s="27"/>
      <c r="T158" s="28"/>
    </row>
    <row r="159" spans="2:20" x14ac:dyDescent="0.25">
      <c r="B159" s="4" t="str">
        <f ca="1">IFERROR(INDEX(Points_Lookup!$A:$A,MATCH($Y161,Points_Lookup!$AE:$AE,0)),"")</f>
        <v/>
      </c>
      <c r="C159" s="24" t="str">
        <f ca="1">IF(B159="","",IF($B$4="Apprenticeship",SUMIF(Points_Lookup!$AA:$AA,B159,Points_Lookup!$AC:$AC),IF(AND(OR($B$4="New Consultant Contract"),$B159&lt;&gt;""),INDEX(Points_Lookup!$K:$K,MATCH($B159,Points_Lookup!$J:$J,0)),IF(AND(OR($B$4="Clinical Lecturer / Medical Research Fellow",$B$4="Clinical Consultant - Old Contract (GP)"),$B159&lt;&gt;""),INDEX(Points_Lookup!$H:$H,MATCH($B159,Points_Lookup!$G:$G,0)),IF(AND(OR($B$4="APM Level 7",$B$4="R&amp;T Level 7",$B$4="APM Level 8"),B159&lt;&gt;""),INDEX(Points_Lookup!$E:$E,MATCH($Y159,Points_Lookup!$AE:$AE,0)),IF($B$4="R&amp;T Level 5 - Clinical Lecturers (Vet School)",SUMIF(Points_Lookup!$M:$M,$B159,Points_Lookup!$P:$P),IF($B$4="R&amp;T Level 6 - Clinical Associate Professors and Clinical Readers (Vet School)",SUMIF(Points_Lookup!$T:$T,$B159,Points_Lookup!$W:$W),IFERROR(INDEX(Points_Lookup!$B:$B,MATCH($Y159,Points_Lookup!$AE:$AE,0)),""))))))))</f>
        <v/>
      </c>
      <c r="D159" s="39"/>
      <c r="E159" s="24" t="str">
        <f ca="1">IF($B159="","",IF(AND($B$4="Salary Points 2 to 57",B159&lt;Thresholds_Rates!$C$16),"-",IF(SUMIF(Grades!$A:$A,$B$4,Grades!$BO:$BO)=0,"-",IF(AND($B$4="Salary Points 2 to 57",B159&gt;=Thresholds_Rates!$C$16),$C159*Thresholds_Rates!$F$15,IF(AND(OR($B$4="New Consultant Contract"),$B159&lt;&gt;""),$C159*Thresholds_Rates!$F$15,IF(AND(OR($B$4="Clinical Lecturer / Medical Research Fellow",$B$4="Clinical Consultant - Old Contract (GP)"),$B159&lt;&gt;""),$C159*Thresholds_Rates!$F$15,IF(OR($B$4="APM Level 7",$B$4="R&amp;T Level 7"),$C159*Thresholds_Rates!$F$15,IF(SUMIF(Grades!$A:$A,$B$4,Grades!$BO:$BO)=1,$C159*Thresholds_Rates!$F$15,""))))))))</f>
        <v/>
      </c>
      <c r="F159" s="24" t="str">
        <f ca="1">IF(B159="","",IF($B$4="Salary Points 1 to 57","-",IF(SUMIF(Grades!$A:$A,$B$4,Grades!$BP:$BP)=0,"-",IF(AND(OR($B$4="New Consultant Contract"),$B159&lt;&gt;""),$C159*Thresholds_Rates!$F$16,IF(AND(OR($B$4="Clinical Lecturer / Medical Research Fellow",$B$4="Clinical Consultant - Old Contract (GP)"),$B159&lt;&gt;""),$C159*Thresholds_Rates!$F$16,IF(AND(OR($B$4="APM Level 7",$B$4="R&amp;T Level 7"),E159&lt;&gt;""),$C159*Thresholds_Rates!$F$16,IF(SUMIF(Grades!$A:$A,$B$4,Grades!$BP:$BP)=1,$C159*Thresholds_Rates!$F$16,"")))))))</f>
        <v/>
      </c>
      <c r="G159" s="24" t="str">
        <f ca="1">IF(B159="","",IF(SUMIF(Grades!$A:$A,$B$4,Grades!$BQ:$BQ)=0,"-",IF(AND($B$4="Salary Points 1 to 57",B159&gt;Thresholds_Rates!$C$17),"-",IF(AND($B$4="Salary Points 1 to 57",B159&lt;=Thresholds_Rates!$C$17),$C159*Thresholds_Rates!$F$17,IF(AND(OR($B$4="New Consultant Contract"),$B159&lt;&gt;""),$C159*Thresholds_Rates!$F$17,IF(AND(OR($B$4="Clinical Lecturer / Medical Research Fellow",$B$4="Clinical Consultant - Old Contract (GP)"),$B159&lt;&gt;""),$C159*Thresholds_Rates!$F$17,IF(AND(OR($B$4="APM Level 7",$B$4="R&amp;T Level 7"),F159&lt;&gt;""),$C159*Thresholds_Rates!$F$17,IF(SUMIF(Grades!$A:$A,$B$4,Grades!$BQ:$BQ)=1,$C159*Thresholds_Rates!$F$17,""))))))))</f>
        <v/>
      </c>
      <c r="H159" s="24"/>
      <c r="I159" s="24"/>
      <c r="J159" s="4"/>
      <c r="K159" s="24" t="str">
        <f t="shared" ca="1" si="13"/>
        <v/>
      </c>
      <c r="L159" s="24" t="str">
        <f t="shared" ca="1" si="14"/>
        <v/>
      </c>
      <c r="M159" s="24" t="str">
        <f t="shared" ca="1" si="15"/>
        <v/>
      </c>
      <c r="N159" s="24" t="str">
        <f t="shared" ca="1" si="16"/>
        <v/>
      </c>
      <c r="O159" s="24" t="str">
        <f t="shared" ca="1" si="17"/>
        <v/>
      </c>
      <c r="Q159" s="27"/>
      <c r="R159" s="28"/>
      <c r="S159" s="27"/>
      <c r="T159" s="28"/>
    </row>
    <row r="160" spans="2:20" x14ac:dyDescent="0.25">
      <c r="B160" s="4" t="str">
        <f ca="1">IFERROR(INDEX(Points_Lookup!$A:$A,MATCH($Y162,Points_Lookup!$AE:$AE,0)),"")</f>
        <v/>
      </c>
      <c r="C160" s="24" t="str">
        <f ca="1">IF(B160="","",IF($B$4="Apprenticeship",SUMIF(Points_Lookup!$AA:$AA,B160,Points_Lookup!$AC:$AC),IF(AND(OR($B$4="New Consultant Contract"),$B160&lt;&gt;""),INDEX(Points_Lookup!$K:$K,MATCH($B160,Points_Lookup!$J:$J,0)),IF(AND(OR($B$4="Clinical Lecturer / Medical Research Fellow",$B$4="Clinical Consultant - Old Contract (GP)"),$B160&lt;&gt;""),INDEX(Points_Lookup!$H:$H,MATCH($B160,Points_Lookup!$G:$G,0)),IF(AND(OR($B$4="APM Level 7",$B$4="R&amp;T Level 7",$B$4="APM Level 8"),B160&lt;&gt;""),INDEX(Points_Lookup!$E:$E,MATCH($Y160,Points_Lookup!$AE:$AE,0)),IF($B$4="R&amp;T Level 5 - Clinical Lecturers (Vet School)",SUMIF(Points_Lookup!$M:$M,$B160,Points_Lookup!$P:$P),IF($B$4="R&amp;T Level 6 - Clinical Associate Professors and Clinical Readers (Vet School)",SUMIF(Points_Lookup!$T:$T,$B160,Points_Lookup!$W:$W),IFERROR(INDEX(Points_Lookup!$B:$B,MATCH($Y160,Points_Lookup!$AE:$AE,0)),""))))))))</f>
        <v/>
      </c>
      <c r="D160" s="39"/>
      <c r="E160" s="24" t="str">
        <f ca="1">IF($B160="","",IF(AND($B$4="Salary Points 2 to 57",B160&lt;Thresholds_Rates!$C$16),"-",IF(SUMIF(Grades!$A:$A,$B$4,Grades!$BO:$BO)=0,"-",IF(AND($B$4="Salary Points 2 to 57",B160&gt;=Thresholds_Rates!$C$16),$C160*Thresholds_Rates!$F$15,IF(AND(OR($B$4="New Consultant Contract"),$B160&lt;&gt;""),$C160*Thresholds_Rates!$F$15,IF(AND(OR($B$4="Clinical Lecturer / Medical Research Fellow",$B$4="Clinical Consultant - Old Contract (GP)"),$B160&lt;&gt;""),$C160*Thresholds_Rates!$F$15,IF(OR($B$4="APM Level 7",$B$4="R&amp;T Level 7"),$C160*Thresholds_Rates!$F$15,IF(SUMIF(Grades!$A:$A,$B$4,Grades!$BO:$BO)=1,$C160*Thresholds_Rates!$F$15,""))))))))</f>
        <v/>
      </c>
      <c r="F160" s="24" t="str">
        <f ca="1">IF(B160="","",IF($B$4="Salary Points 1 to 57","-",IF(SUMIF(Grades!$A:$A,$B$4,Grades!$BP:$BP)=0,"-",IF(AND(OR($B$4="New Consultant Contract"),$B160&lt;&gt;""),$C160*Thresholds_Rates!$F$16,IF(AND(OR($B$4="Clinical Lecturer / Medical Research Fellow",$B$4="Clinical Consultant - Old Contract (GP)"),$B160&lt;&gt;""),$C160*Thresholds_Rates!$F$16,IF(AND(OR($B$4="APM Level 7",$B$4="R&amp;T Level 7"),E160&lt;&gt;""),$C160*Thresholds_Rates!$F$16,IF(SUMIF(Grades!$A:$A,$B$4,Grades!$BP:$BP)=1,$C160*Thresholds_Rates!$F$16,"")))))))</f>
        <v/>
      </c>
      <c r="G160" s="24" t="str">
        <f ca="1">IF(B160="","",IF(SUMIF(Grades!$A:$A,$B$4,Grades!$BQ:$BQ)=0,"-",IF(AND($B$4="Salary Points 1 to 57",B160&gt;Thresholds_Rates!$C$17),"-",IF(AND($B$4="Salary Points 1 to 57",B160&lt;=Thresholds_Rates!$C$17),$C160*Thresholds_Rates!$F$17,IF(AND(OR($B$4="New Consultant Contract"),$B160&lt;&gt;""),$C160*Thresholds_Rates!$F$17,IF(AND(OR($B$4="Clinical Lecturer / Medical Research Fellow",$B$4="Clinical Consultant - Old Contract (GP)"),$B160&lt;&gt;""),$C160*Thresholds_Rates!$F$17,IF(AND(OR($B$4="APM Level 7",$B$4="R&amp;T Level 7"),F160&lt;&gt;""),$C160*Thresholds_Rates!$F$17,IF(SUMIF(Grades!$A:$A,$B$4,Grades!$BQ:$BQ)=1,$C160*Thresholds_Rates!$F$17,""))))))))</f>
        <v/>
      </c>
      <c r="H160" s="24"/>
      <c r="I160" s="24"/>
      <c r="J160" s="4"/>
      <c r="K160" s="24" t="str">
        <f t="shared" ca="1" si="13"/>
        <v/>
      </c>
      <c r="L160" s="24" t="str">
        <f t="shared" ca="1" si="14"/>
        <v/>
      </c>
      <c r="M160" s="24" t="str">
        <f t="shared" ca="1" si="15"/>
        <v/>
      </c>
      <c r="N160" s="24" t="str">
        <f t="shared" ca="1" si="16"/>
        <v/>
      </c>
      <c r="O160" s="24" t="str">
        <f t="shared" ca="1" si="17"/>
        <v/>
      </c>
      <c r="Q160" s="27"/>
      <c r="R160" s="28"/>
      <c r="S160" s="27"/>
      <c r="T160" s="28"/>
    </row>
    <row r="161" spans="2:20" x14ac:dyDescent="0.25">
      <c r="B161" s="4" t="str">
        <f ca="1">IFERROR(INDEX(Points_Lookup!$A:$A,MATCH($Y163,Points_Lookup!$AE:$AE,0)),"")</f>
        <v/>
      </c>
      <c r="C161" s="24" t="str">
        <f ca="1">IF(B161="","",IF($B$4="Apprenticeship",SUMIF(Points_Lookup!$AA:$AA,B161,Points_Lookup!$AC:$AC),IF(AND(OR($B$4="New Consultant Contract"),$B161&lt;&gt;""),INDEX(Points_Lookup!$K:$K,MATCH($B161,Points_Lookup!$J:$J,0)),IF(AND(OR($B$4="Clinical Lecturer / Medical Research Fellow",$B$4="Clinical Consultant - Old Contract (GP)"),$B161&lt;&gt;""),INDEX(Points_Lookup!$H:$H,MATCH($B161,Points_Lookup!$G:$G,0)),IF(AND(OR($B$4="APM Level 7",$B$4="R&amp;T Level 7",$B$4="APM Level 8"),B161&lt;&gt;""),INDEX(Points_Lookup!$E:$E,MATCH($Y161,Points_Lookup!$AE:$AE,0)),IF($B$4="R&amp;T Level 5 - Clinical Lecturers (Vet School)",SUMIF(Points_Lookup!$M:$M,$B161,Points_Lookup!$P:$P),IF($B$4="R&amp;T Level 6 - Clinical Associate Professors and Clinical Readers (Vet School)",SUMIF(Points_Lookup!$T:$T,$B161,Points_Lookup!$W:$W),IFERROR(INDEX(Points_Lookup!$B:$B,MATCH($Y161,Points_Lookup!$AE:$AE,0)),""))))))))</f>
        <v/>
      </c>
      <c r="D161" s="39"/>
      <c r="E161" s="24" t="str">
        <f ca="1">IF($B161="","",IF(AND($B$4="Salary Points 2 to 57",B161&lt;Thresholds_Rates!$C$16),"-",IF(SUMIF(Grades!$A:$A,$B$4,Grades!$BO:$BO)=0,"-",IF(AND($B$4="Salary Points 2 to 57",B161&gt;=Thresholds_Rates!$C$16),$C161*Thresholds_Rates!$F$15,IF(AND(OR($B$4="New Consultant Contract"),$B161&lt;&gt;""),$C161*Thresholds_Rates!$F$15,IF(AND(OR($B$4="Clinical Lecturer / Medical Research Fellow",$B$4="Clinical Consultant - Old Contract (GP)"),$B161&lt;&gt;""),$C161*Thresholds_Rates!$F$15,IF(OR($B$4="APM Level 7",$B$4="R&amp;T Level 7"),$C161*Thresholds_Rates!$F$15,IF(SUMIF(Grades!$A:$A,$B$4,Grades!$BO:$BO)=1,$C161*Thresholds_Rates!$F$15,""))))))))</f>
        <v/>
      </c>
      <c r="F161" s="24" t="str">
        <f ca="1">IF(B161="","",IF($B$4="Salary Points 1 to 57","-",IF(SUMIF(Grades!$A:$A,$B$4,Grades!$BP:$BP)=0,"-",IF(AND(OR($B$4="New Consultant Contract"),$B161&lt;&gt;""),$C161*Thresholds_Rates!$F$16,IF(AND(OR($B$4="Clinical Lecturer / Medical Research Fellow",$B$4="Clinical Consultant - Old Contract (GP)"),$B161&lt;&gt;""),$C161*Thresholds_Rates!$F$16,IF(AND(OR($B$4="APM Level 7",$B$4="R&amp;T Level 7"),E161&lt;&gt;""),$C161*Thresholds_Rates!$F$16,IF(SUMIF(Grades!$A:$A,$B$4,Grades!$BP:$BP)=1,$C161*Thresholds_Rates!$F$16,"")))))))</f>
        <v/>
      </c>
      <c r="G161" s="24" t="str">
        <f ca="1">IF(B161="","",IF(SUMIF(Grades!$A:$A,$B$4,Grades!$BQ:$BQ)=0,"-",IF(AND($B$4="Salary Points 1 to 57",B161&gt;Thresholds_Rates!$C$17),"-",IF(AND($B$4="Salary Points 1 to 57",B161&lt;=Thresholds_Rates!$C$17),$C161*Thresholds_Rates!$F$17,IF(AND(OR($B$4="New Consultant Contract"),$B161&lt;&gt;""),$C161*Thresholds_Rates!$F$17,IF(AND(OR($B$4="Clinical Lecturer / Medical Research Fellow",$B$4="Clinical Consultant - Old Contract (GP)"),$B161&lt;&gt;""),$C161*Thresholds_Rates!$F$17,IF(AND(OR($B$4="APM Level 7",$B$4="R&amp;T Level 7"),F161&lt;&gt;""),$C161*Thresholds_Rates!$F$17,IF(SUMIF(Grades!$A:$A,$B$4,Grades!$BQ:$BQ)=1,$C161*Thresholds_Rates!$F$17,""))))))))</f>
        <v/>
      </c>
      <c r="H161" s="24"/>
      <c r="I161" s="24"/>
      <c r="J161" s="4"/>
      <c r="K161" s="24" t="str">
        <f t="shared" ca="1" si="13"/>
        <v/>
      </c>
      <c r="L161" s="24" t="str">
        <f t="shared" ca="1" si="14"/>
        <v/>
      </c>
      <c r="M161" s="24" t="str">
        <f t="shared" ca="1" si="15"/>
        <v/>
      </c>
      <c r="N161" s="24" t="str">
        <f t="shared" ca="1" si="16"/>
        <v/>
      </c>
      <c r="O161" s="24" t="str">
        <f t="shared" ca="1" si="17"/>
        <v/>
      </c>
      <c r="Q161" s="27"/>
      <c r="R161" s="28"/>
      <c r="S161" s="27"/>
      <c r="T161" s="28"/>
    </row>
    <row r="162" spans="2:20" x14ac:dyDescent="0.25">
      <c r="B162" s="4" t="str">
        <f ca="1">IFERROR(INDEX(Points_Lookup!$A:$A,MATCH($Y164,Points_Lookup!$AE:$AE,0)),"")</f>
        <v/>
      </c>
      <c r="C162" s="24" t="str">
        <f ca="1">IF(B162="","",IF($B$4="Apprenticeship",SUMIF(Points_Lookup!$AA:$AA,B162,Points_Lookup!$AC:$AC),IF(AND(OR($B$4="New Consultant Contract"),$B162&lt;&gt;""),INDEX(Points_Lookup!$K:$K,MATCH($B162,Points_Lookup!$J:$J,0)),IF(AND(OR($B$4="Clinical Lecturer / Medical Research Fellow",$B$4="Clinical Consultant - Old Contract (GP)"),$B162&lt;&gt;""),INDEX(Points_Lookup!$H:$H,MATCH($B162,Points_Lookup!$G:$G,0)),IF(AND(OR($B$4="APM Level 7",$B$4="R&amp;T Level 7",$B$4="APM Level 8"),B162&lt;&gt;""),INDEX(Points_Lookup!$E:$E,MATCH($Y162,Points_Lookup!$AE:$AE,0)),IF($B$4="R&amp;T Level 5 - Clinical Lecturers (Vet School)",SUMIF(Points_Lookup!$M:$M,$B162,Points_Lookup!$P:$P),IF($B$4="R&amp;T Level 6 - Clinical Associate Professors and Clinical Readers (Vet School)",SUMIF(Points_Lookup!$T:$T,$B162,Points_Lookup!$W:$W),IFERROR(INDEX(Points_Lookup!$B:$B,MATCH($Y162,Points_Lookup!$AE:$AE,0)),""))))))))</f>
        <v/>
      </c>
      <c r="D162" s="39"/>
      <c r="E162" s="24" t="str">
        <f ca="1">IF($B162="","",IF(AND($B$4="Salary Points 2 to 57",B162&lt;Thresholds_Rates!$C$16),"-",IF(SUMIF(Grades!$A:$A,$B$4,Grades!$BO:$BO)=0,"-",IF(AND($B$4="Salary Points 2 to 57",B162&gt;=Thresholds_Rates!$C$16),$C162*Thresholds_Rates!$F$15,IF(AND(OR($B$4="New Consultant Contract"),$B162&lt;&gt;""),$C162*Thresholds_Rates!$F$15,IF(AND(OR($B$4="Clinical Lecturer / Medical Research Fellow",$B$4="Clinical Consultant - Old Contract (GP)"),$B162&lt;&gt;""),$C162*Thresholds_Rates!$F$15,IF(OR($B$4="APM Level 7",$B$4="R&amp;T Level 7"),$C162*Thresholds_Rates!$F$15,IF(SUMIF(Grades!$A:$A,$B$4,Grades!$BO:$BO)=1,$C162*Thresholds_Rates!$F$15,""))))))))</f>
        <v/>
      </c>
      <c r="F162" s="24" t="str">
        <f ca="1">IF(B162="","",IF($B$4="Salary Points 1 to 57","-",IF(SUMIF(Grades!$A:$A,$B$4,Grades!$BP:$BP)=0,"-",IF(AND(OR($B$4="New Consultant Contract"),$B162&lt;&gt;""),$C162*Thresholds_Rates!$F$16,IF(AND(OR($B$4="Clinical Lecturer / Medical Research Fellow",$B$4="Clinical Consultant - Old Contract (GP)"),$B162&lt;&gt;""),$C162*Thresholds_Rates!$F$16,IF(AND(OR($B$4="APM Level 7",$B$4="R&amp;T Level 7"),E162&lt;&gt;""),$C162*Thresholds_Rates!$F$16,IF(SUMIF(Grades!$A:$A,$B$4,Grades!$BP:$BP)=1,$C162*Thresholds_Rates!$F$16,"")))))))</f>
        <v/>
      </c>
      <c r="G162" s="24" t="str">
        <f ca="1">IF(B162="","",IF(SUMIF(Grades!$A:$A,$B$4,Grades!$BQ:$BQ)=0,"-",IF(AND($B$4="Salary Points 1 to 57",B162&gt;Thresholds_Rates!$C$17),"-",IF(AND($B$4="Salary Points 1 to 57",B162&lt;=Thresholds_Rates!$C$17),$C162*Thresholds_Rates!$F$17,IF(AND(OR($B$4="New Consultant Contract"),$B162&lt;&gt;""),$C162*Thresholds_Rates!$F$17,IF(AND(OR($B$4="Clinical Lecturer / Medical Research Fellow",$B$4="Clinical Consultant - Old Contract (GP)"),$B162&lt;&gt;""),$C162*Thresholds_Rates!$F$17,IF(AND(OR($B$4="APM Level 7",$B$4="R&amp;T Level 7"),F162&lt;&gt;""),$C162*Thresholds_Rates!$F$17,IF(SUMIF(Grades!$A:$A,$B$4,Grades!$BQ:$BQ)=1,$C162*Thresholds_Rates!$F$17,""))))))))</f>
        <v/>
      </c>
      <c r="H162" s="24"/>
      <c r="I162" s="24"/>
      <c r="J162" s="4"/>
      <c r="K162" s="24" t="str">
        <f t="shared" ca="1" si="13"/>
        <v/>
      </c>
      <c r="L162" s="24" t="str">
        <f t="shared" ca="1" si="14"/>
        <v/>
      </c>
      <c r="M162" s="24" t="str">
        <f t="shared" ca="1" si="15"/>
        <v/>
      </c>
      <c r="N162" s="24" t="str">
        <f t="shared" ca="1" si="16"/>
        <v/>
      </c>
      <c r="O162" s="24" t="str">
        <f t="shared" ca="1" si="17"/>
        <v/>
      </c>
      <c r="Q162" s="27"/>
      <c r="R162" s="28"/>
      <c r="S162" s="27"/>
      <c r="T162" s="28"/>
    </row>
    <row r="163" spans="2:20" x14ac:dyDescent="0.25">
      <c r="B163" s="4" t="str">
        <f ca="1">IFERROR(INDEX(Points_Lookup!$A:$A,MATCH($Y165,Points_Lookup!$AE:$AE,0)),"")</f>
        <v/>
      </c>
      <c r="C163" s="24" t="str">
        <f ca="1">IF(B163="","",IF($B$4="Apprenticeship",SUMIF(Points_Lookup!$AA:$AA,B163,Points_Lookup!$AC:$AC),IF(AND(OR($B$4="New Consultant Contract"),$B163&lt;&gt;""),INDEX(Points_Lookup!$K:$K,MATCH($B163,Points_Lookup!$J:$J,0)),IF(AND(OR($B$4="Clinical Lecturer / Medical Research Fellow",$B$4="Clinical Consultant - Old Contract (GP)"),$B163&lt;&gt;""),INDEX(Points_Lookup!$H:$H,MATCH($B163,Points_Lookup!$G:$G,0)),IF(AND(OR($B$4="APM Level 7",$B$4="R&amp;T Level 7",$B$4="APM Level 8"),B163&lt;&gt;""),INDEX(Points_Lookup!$E:$E,MATCH($Y163,Points_Lookup!$AE:$AE,0)),IF($B$4="R&amp;T Level 5 - Clinical Lecturers (Vet School)",SUMIF(Points_Lookup!$M:$M,$B163,Points_Lookup!$P:$P),IF($B$4="R&amp;T Level 6 - Clinical Associate Professors and Clinical Readers (Vet School)",SUMIF(Points_Lookup!$T:$T,$B163,Points_Lookup!$W:$W),IFERROR(INDEX(Points_Lookup!$B:$B,MATCH($Y163,Points_Lookup!$AE:$AE,0)),""))))))))</f>
        <v/>
      </c>
      <c r="D163" s="39"/>
      <c r="E163" s="24" t="str">
        <f ca="1">IF($B163="","",IF(AND($B$4="Salary Points 2 to 57",B163&lt;Thresholds_Rates!$C$16),"-",IF(SUMIF(Grades!$A:$A,$B$4,Grades!$BO:$BO)=0,"-",IF(AND($B$4="Salary Points 2 to 57",B163&gt;=Thresholds_Rates!$C$16),$C163*Thresholds_Rates!$F$15,IF(AND(OR($B$4="New Consultant Contract"),$B163&lt;&gt;""),$C163*Thresholds_Rates!$F$15,IF(AND(OR($B$4="Clinical Lecturer / Medical Research Fellow",$B$4="Clinical Consultant - Old Contract (GP)"),$B163&lt;&gt;""),$C163*Thresholds_Rates!$F$15,IF(OR($B$4="APM Level 7",$B$4="R&amp;T Level 7"),$C163*Thresholds_Rates!$F$15,IF(SUMIF(Grades!$A:$A,$B$4,Grades!$BO:$BO)=1,$C163*Thresholds_Rates!$F$15,""))))))))</f>
        <v/>
      </c>
      <c r="F163" s="24" t="str">
        <f ca="1">IF(B163="","",IF($B$4="Salary Points 1 to 57","-",IF(SUMIF(Grades!$A:$A,$B$4,Grades!$BP:$BP)=0,"-",IF(AND(OR($B$4="New Consultant Contract"),$B163&lt;&gt;""),$C163*Thresholds_Rates!$F$16,IF(AND(OR($B$4="Clinical Lecturer / Medical Research Fellow",$B$4="Clinical Consultant - Old Contract (GP)"),$B163&lt;&gt;""),$C163*Thresholds_Rates!$F$16,IF(AND(OR($B$4="APM Level 7",$B$4="R&amp;T Level 7"),E163&lt;&gt;""),$C163*Thresholds_Rates!$F$16,IF(SUMIF(Grades!$A:$A,$B$4,Grades!$BP:$BP)=1,$C163*Thresholds_Rates!$F$16,"")))))))</f>
        <v/>
      </c>
      <c r="G163" s="24" t="str">
        <f ca="1">IF(B163="","",IF(SUMIF(Grades!$A:$A,$B$4,Grades!$BQ:$BQ)=0,"-",IF(AND($B$4="Salary Points 1 to 57",B163&gt;Thresholds_Rates!$C$17),"-",IF(AND($B$4="Salary Points 1 to 57",B163&lt;=Thresholds_Rates!$C$17),$C163*Thresholds_Rates!$F$17,IF(AND(OR($B$4="New Consultant Contract"),$B163&lt;&gt;""),$C163*Thresholds_Rates!$F$17,IF(AND(OR($B$4="Clinical Lecturer / Medical Research Fellow",$B$4="Clinical Consultant - Old Contract (GP)"),$B163&lt;&gt;""),$C163*Thresholds_Rates!$F$17,IF(AND(OR($B$4="APM Level 7",$B$4="R&amp;T Level 7"),F163&lt;&gt;""),$C163*Thresholds_Rates!$F$17,IF(SUMIF(Grades!$A:$A,$B$4,Grades!$BQ:$BQ)=1,$C163*Thresholds_Rates!$F$17,""))))))))</f>
        <v/>
      </c>
      <c r="H163" s="24"/>
      <c r="I163" s="24"/>
      <c r="J163" s="4"/>
      <c r="K163" s="24" t="str">
        <f t="shared" ca="1" si="13"/>
        <v/>
      </c>
      <c r="L163" s="24" t="str">
        <f t="shared" ca="1" si="14"/>
        <v/>
      </c>
      <c r="M163" s="24" t="str">
        <f t="shared" ca="1" si="15"/>
        <v/>
      </c>
      <c r="N163" s="24" t="str">
        <f t="shared" ca="1" si="16"/>
        <v/>
      </c>
      <c r="O163" s="24" t="str">
        <f t="shared" ca="1" si="17"/>
        <v/>
      </c>
      <c r="Q163" s="27"/>
      <c r="R163" s="28"/>
      <c r="S163" s="27"/>
      <c r="T163" s="28"/>
    </row>
    <row r="164" spans="2:20" x14ac:dyDescent="0.25">
      <c r="B164" s="4" t="str">
        <f ca="1">IFERROR(INDEX(Points_Lookup!$A:$A,MATCH($Y166,Points_Lookup!$AE:$AE,0)),"")</f>
        <v/>
      </c>
      <c r="C164" s="24" t="str">
        <f ca="1">IF(B164="","",IF($B$4="Apprenticeship",SUMIF(Points_Lookup!$AA:$AA,B164,Points_Lookup!$AC:$AC),IF(AND(OR($B$4="New Consultant Contract"),$B164&lt;&gt;""),INDEX(Points_Lookup!$K:$K,MATCH($B164,Points_Lookup!$J:$J,0)),IF(AND(OR($B$4="Clinical Lecturer / Medical Research Fellow",$B$4="Clinical Consultant - Old Contract (GP)"),$B164&lt;&gt;""),INDEX(Points_Lookup!$H:$H,MATCH($B164,Points_Lookup!$G:$G,0)),IF(AND(OR($B$4="APM Level 7",$B$4="R&amp;T Level 7",$B$4="APM Level 8"),B164&lt;&gt;""),INDEX(Points_Lookup!$E:$E,MATCH($Y164,Points_Lookup!$AE:$AE,0)),IF($B$4="R&amp;T Level 5 - Clinical Lecturers (Vet School)",SUMIF(Points_Lookup!$M:$M,$B164,Points_Lookup!$P:$P),IF($B$4="R&amp;T Level 6 - Clinical Associate Professors and Clinical Readers (Vet School)",SUMIF(Points_Lookup!$T:$T,$B164,Points_Lookup!$W:$W),IFERROR(INDEX(Points_Lookup!$B:$B,MATCH($Y164,Points_Lookup!$AE:$AE,0)),""))))))))</f>
        <v/>
      </c>
      <c r="D164" s="39"/>
      <c r="E164" s="24" t="str">
        <f ca="1">IF($B164="","",IF(AND($B$4="Salary Points 2 to 57",B164&lt;Thresholds_Rates!$C$16),"-",IF(SUMIF(Grades!$A:$A,$B$4,Grades!$BO:$BO)=0,"-",IF(AND($B$4="Salary Points 2 to 57",B164&gt;=Thresholds_Rates!$C$16),$C164*Thresholds_Rates!$F$15,IF(AND(OR($B$4="New Consultant Contract"),$B164&lt;&gt;""),$C164*Thresholds_Rates!$F$15,IF(AND(OR($B$4="Clinical Lecturer / Medical Research Fellow",$B$4="Clinical Consultant - Old Contract (GP)"),$B164&lt;&gt;""),$C164*Thresholds_Rates!$F$15,IF(OR($B$4="APM Level 7",$B$4="R&amp;T Level 7"),$C164*Thresholds_Rates!$F$15,IF(SUMIF(Grades!$A:$A,$B$4,Grades!$BO:$BO)=1,$C164*Thresholds_Rates!$F$15,""))))))))</f>
        <v/>
      </c>
      <c r="F164" s="24" t="str">
        <f ca="1">IF(B164="","",IF($B$4="Salary Points 1 to 57","-",IF(SUMIF(Grades!$A:$A,$B$4,Grades!$BP:$BP)=0,"-",IF(AND(OR($B$4="New Consultant Contract"),$B164&lt;&gt;""),$C164*Thresholds_Rates!$F$16,IF(AND(OR($B$4="Clinical Lecturer / Medical Research Fellow",$B$4="Clinical Consultant - Old Contract (GP)"),$B164&lt;&gt;""),$C164*Thresholds_Rates!$F$16,IF(AND(OR($B$4="APM Level 7",$B$4="R&amp;T Level 7"),E164&lt;&gt;""),$C164*Thresholds_Rates!$F$16,IF(SUMIF(Grades!$A:$A,$B$4,Grades!$BP:$BP)=1,$C164*Thresholds_Rates!$F$16,"")))))))</f>
        <v/>
      </c>
      <c r="G164" s="24" t="str">
        <f ca="1">IF(B164="","",IF(SUMIF(Grades!$A:$A,$B$4,Grades!$BQ:$BQ)=0,"-",IF(AND($B$4="Salary Points 1 to 57",B164&gt;Thresholds_Rates!$C$17),"-",IF(AND($B$4="Salary Points 1 to 57",B164&lt;=Thresholds_Rates!$C$17),$C164*Thresholds_Rates!$F$17,IF(AND(OR($B$4="New Consultant Contract"),$B164&lt;&gt;""),$C164*Thresholds_Rates!$F$17,IF(AND(OR($B$4="Clinical Lecturer / Medical Research Fellow",$B$4="Clinical Consultant - Old Contract (GP)"),$B164&lt;&gt;""),$C164*Thresholds_Rates!$F$17,IF(AND(OR($B$4="APM Level 7",$B$4="R&amp;T Level 7"),F164&lt;&gt;""),$C164*Thresholds_Rates!$F$17,IF(SUMIF(Grades!$A:$A,$B$4,Grades!$BQ:$BQ)=1,$C164*Thresholds_Rates!$F$17,""))))))))</f>
        <v/>
      </c>
      <c r="H164" s="24"/>
      <c r="I164" s="24"/>
      <c r="J164" s="4"/>
      <c r="K164" s="24" t="str">
        <f t="shared" ca="1" si="13"/>
        <v/>
      </c>
      <c r="L164" s="24" t="str">
        <f t="shared" ca="1" si="14"/>
        <v/>
      </c>
      <c r="M164" s="24" t="str">
        <f t="shared" ca="1" si="15"/>
        <v/>
      </c>
      <c r="N164" s="24" t="str">
        <f t="shared" ca="1" si="16"/>
        <v/>
      </c>
      <c r="O164" s="24" t="str">
        <f t="shared" ca="1" si="17"/>
        <v/>
      </c>
      <c r="Q164" s="27"/>
      <c r="R164" s="28"/>
      <c r="S164" s="27"/>
      <c r="T164" s="28"/>
    </row>
    <row r="165" spans="2:20" x14ac:dyDescent="0.25">
      <c r="B165" s="4" t="str">
        <f ca="1">IFERROR(INDEX(Points_Lookup!$A:$A,MATCH($Y167,Points_Lookup!$AE:$AE,0)),"")</f>
        <v/>
      </c>
      <c r="C165" s="24" t="str">
        <f ca="1">IF(B165="","",IF($B$4="Apprenticeship",SUMIF(Points_Lookup!$AA:$AA,B165,Points_Lookup!$AC:$AC),IF(AND(OR($B$4="New Consultant Contract"),$B165&lt;&gt;""),INDEX(Points_Lookup!$K:$K,MATCH($B165,Points_Lookup!$J:$J,0)),IF(AND(OR($B$4="Clinical Lecturer / Medical Research Fellow",$B$4="Clinical Consultant - Old Contract (GP)"),$B165&lt;&gt;""),INDEX(Points_Lookup!$H:$H,MATCH($B165,Points_Lookup!$G:$G,0)),IF(AND(OR($B$4="APM Level 7",$B$4="R&amp;T Level 7",$B$4="APM Level 8"),B165&lt;&gt;""),INDEX(Points_Lookup!$E:$E,MATCH($Y165,Points_Lookup!$AE:$AE,0)),IF($B$4="R&amp;T Level 5 - Clinical Lecturers (Vet School)",SUMIF(Points_Lookup!$M:$M,$B165,Points_Lookup!$P:$P),IF($B$4="R&amp;T Level 6 - Clinical Associate Professors and Clinical Readers (Vet School)",SUMIF(Points_Lookup!$T:$T,$B165,Points_Lookup!$W:$W),IFERROR(INDEX(Points_Lookup!$B:$B,MATCH($Y165,Points_Lookup!$AE:$AE,0)),""))))))))</f>
        <v/>
      </c>
      <c r="D165" s="39"/>
      <c r="E165" s="24" t="str">
        <f ca="1">IF($B165="","",IF(AND($B$4="Salary Points 2 to 57",B165&lt;Thresholds_Rates!$C$16),"-",IF(SUMIF(Grades!$A:$A,$B$4,Grades!$BO:$BO)=0,"-",IF(AND($B$4="Salary Points 2 to 57",B165&gt;=Thresholds_Rates!$C$16),$C165*Thresholds_Rates!$F$15,IF(AND(OR($B$4="New Consultant Contract"),$B165&lt;&gt;""),$C165*Thresholds_Rates!$F$15,IF(AND(OR($B$4="Clinical Lecturer / Medical Research Fellow",$B$4="Clinical Consultant - Old Contract (GP)"),$B165&lt;&gt;""),$C165*Thresholds_Rates!$F$15,IF(OR($B$4="APM Level 7",$B$4="R&amp;T Level 7"),$C165*Thresholds_Rates!$F$15,IF(SUMIF(Grades!$A:$A,$B$4,Grades!$BO:$BO)=1,$C165*Thresholds_Rates!$F$15,""))))))))</f>
        <v/>
      </c>
      <c r="F165" s="24" t="str">
        <f ca="1">IF(B165="","",IF($B$4="Salary Points 1 to 57","-",IF(SUMIF(Grades!$A:$A,$B$4,Grades!$BP:$BP)=0,"-",IF(AND(OR($B$4="New Consultant Contract"),$B165&lt;&gt;""),$C165*Thresholds_Rates!$F$16,IF(AND(OR($B$4="Clinical Lecturer / Medical Research Fellow",$B$4="Clinical Consultant - Old Contract (GP)"),$B165&lt;&gt;""),$C165*Thresholds_Rates!$F$16,IF(AND(OR($B$4="APM Level 7",$B$4="R&amp;T Level 7"),E165&lt;&gt;""),$C165*Thresholds_Rates!$F$16,IF(SUMIF(Grades!$A:$A,$B$4,Grades!$BP:$BP)=1,$C165*Thresholds_Rates!$F$16,"")))))))</f>
        <v/>
      </c>
      <c r="G165" s="24" t="str">
        <f ca="1">IF(B165="","",IF(SUMIF(Grades!$A:$A,$B$4,Grades!$BQ:$BQ)=0,"-",IF(AND($B$4="Salary Points 1 to 57",B165&gt;Thresholds_Rates!$C$17),"-",IF(AND($B$4="Salary Points 1 to 57",B165&lt;=Thresholds_Rates!$C$17),$C165*Thresholds_Rates!$F$17,IF(AND(OR($B$4="New Consultant Contract"),$B165&lt;&gt;""),$C165*Thresholds_Rates!$F$17,IF(AND(OR($B$4="Clinical Lecturer / Medical Research Fellow",$B$4="Clinical Consultant - Old Contract (GP)"),$B165&lt;&gt;""),$C165*Thresholds_Rates!$F$17,IF(AND(OR($B$4="APM Level 7",$B$4="R&amp;T Level 7"),F165&lt;&gt;""),$C165*Thresholds_Rates!$F$17,IF(SUMIF(Grades!$A:$A,$B$4,Grades!$BQ:$BQ)=1,$C165*Thresholds_Rates!$F$17,""))))))))</f>
        <v/>
      </c>
      <c r="H165" s="24"/>
      <c r="I165" s="24"/>
      <c r="J165" s="4"/>
      <c r="K165" s="24" t="str">
        <f t="shared" ca="1" si="13"/>
        <v/>
      </c>
      <c r="L165" s="24" t="str">
        <f t="shared" ca="1" si="14"/>
        <v/>
      </c>
      <c r="M165" s="24" t="str">
        <f t="shared" ca="1" si="15"/>
        <v/>
      </c>
      <c r="N165" s="24" t="str">
        <f t="shared" ca="1" si="16"/>
        <v/>
      </c>
      <c r="O165" s="24" t="str">
        <f t="shared" ca="1" si="17"/>
        <v/>
      </c>
      <c r="Q165" s="27"/>
      <c r="R165" s="28"/>
      <c r="S165" s="27"/>
      <c r="T165" s="28"/>
    </row>
    <row r="166" spans="2:20" x14ac:dyDescent="0.25">
      <c r="B166" s="4" t="str">
        <f ca="1">IFERROR(INDEX(Points_Lookup!$A:$A,MATCH($Y168,Points_Lookup!$AE:$AE,0)),"")</f>
        <v/>
      </c>
      <c r="C166" s="24" t="str">
        <f ca="1">IF(B166="","",IF($B$4="Apprenticeship",SUMIF(Points_Lookup!$AA:$AA,B166,Points_Lookup!$AC:$AC),IF(AND(OR($B$4="New Consultant Contract"),$B166&lt;&gt;""),INDEX(Points_Lookup!$K:$K,MATCH($B166,Points_Lookup!$J:$J,0)),IF(AND(OR($B$4="Clinical Lecturer / Medical Research Fellow",$B$4="Clinical Consultant - Old Contract (GP)"),$B166&lt;&gt;""),INDEX(Points_Lookup!$H:$H,MATCH($B166,Points_Lookup!$G:$G,0)),IF(AND(OR($B$4="APM Level 7",$B$4="R&amp;T Level 7",$B$4="APM Level 8"),B166&lt;&gt;""),INDEX(Points_Lookup!$E:$E,MATCH($Y166,Points_Lookup!$AE:$AE,0)),IF($B$4="R&amp;T Level 5 - Clinical Lecturers (Vet School)",SUMIF(Points_Lookup!$M:$M,$B166,Points_Lookup!$P:$P),IF($B$4="R&amp;T Level 6 - Clinical Associate Professors and Clinical Readers (Vet School)",SUMIF(Points_Lookup!$T:$T,$B166,Points_Lookup!$W:$W),IFERROR(INDEX(Points_Lookup!$B:$B,MATCH($Y166,Points_Lookup!$AE:$AE,0)),""))))))))</f>
        <v/>
      </c>
      <c r="D166" s="39"/>
      <c r="E166" s="24" t="str">
        <f ca="1">IF($B166="","",IF(AND($B$4="Salary Points 2 to 57",B166&lt;Thresholds_Rates!$C$16),"-",IF(SUMIF(Grades!$A:$A,$B$4,Grades!$BO:$BO)=0,"-",IF(AND($B$4="Salary Points 2 to 57",B166&gt;=Thresholds_Rates!$C$16),$C166*Thresholds_Rates!$F$15,IF(AND(OR($B$4="New Consultant Contract"),$B166&lt;&gt;""),$C166*Thresholds_Rates!$F$15,IF(AND(OR($B$4="Clinical Lecturer / Medical Research Fellow",$B$4="Clinical Consultant - Old Contract (GP)"),$B166&lt;&gt;""),$C166*Thresholds_Rates!$F$15,IF(OR($B$4="APM Level 7",$B$4="R&amp;T Level 7"),$C166*Thresholds_Rates!$F$15,IF(SUMIF(Grades!$A:$A,$B$4,Grades!$BO:$BO)=1,$C166*Thresholds_Rates!$F$15,""))))))))</f>
        <v/>
      </c>
      <c r="F166" s="24" t="str">
        <f ca="1">IF(B166="","",IF($B$4="Salary Points 1 to 57","-",IF(SUMIF(Grades!$A:$A,$B$4,Grades!$BP:$BP)=0,"-",IF(AND(OR($B$4="New Consultant Contract"),$B166&lt;&gt;""),$C166*Thresholds_Rates!$F$16,IF(AND(OR($B$4="Clinical Lecturer / Medical Research Fellow",$B$4="Clinical Consultant - Old Contract (GP)"),$B166&lt;&gt;""),$C166*Thresholds_Rates!$F$16,IF(AND(OR($B$4="APM Level 7",$B$4="R&amp;T Level 7"),E166&lt;&gt;""),$C166*Thresholds_Rates!$F$16,IF(SUMIF(Grades!$A:$A,$B$4,Grades!$BP:$BP)=1,$C166*Thresholds_Rates!$F$16,"")))))))</f>
        <v/>
      </c>
      <c r="G166" s="24" t="str">
        <f ca="1">IF(B166="","",IF(SUMIF(Grades!$A:$A,$B$4,Grades!$BQ:$BQ)=0,"-",IF(AND($B$4="Salary Points 1 to 57",B166&gt;Thresholds_Rates!$C$17),"-",IF(AND($B$4="Salary Points 1 to 57",B166&lt;=Thresholds_Rates!$C$17),$C166*Thresholds_Rates!$F$17,IF(AND(OR($B$4="New Consultant Contract"),$B166&lt;&gt;""),$C166*Thresholds_Rates!$F$17,IF(AND(OR($B$4="Clinical Lecturer / Medical Research Fellow",$B$4="Clinical Consultant - Old Contract (GP)"),$B166&lt;&gt;""),$C166*Thresholds_Rates!$F$17,IF(AND(OR($B$4="APM Level 7",$B$4="R&amp;T Level 7"),F166&lt;&gt;""),$C166*Thresholds_Rates!$F$17,IF(SUMIF(Grades!$A:$A,$B$4,Grades!$BQ:$BQ)=1,$C166*Thresholds_Rates!$F$17,""))))))))</f>
        <v/>
      </c>
      <c r="H166" s="24"/>
      <c r="I166" s="24"/>
      <c r="J166" s="4"/>
      <c r="K166" s="24" t="str">
        <f t="shared" ca="1" si="13"/>
        <v/>
      </c>
      <c r="L166" s="24" t="str">
        <f t="shared" ca="1" si="14"/>
        <v/>
      </c>
      <c r="M166" s="24" t="str">
        <f t="shared" ca="1" si="15"/>
        <v/>
      </c>
      <c r="N166" s="24" t="str">
        <f t="shared" ca="1" si="16"/>
        <v/>
      </c>
      <c r="O166" s="24" t="str">
        <f t="shared" ca="1" si="17"/>
        <v/>
      </c>
      <c r="Q166" s="27"/>
      <c r="R166" s="28"/>
      <c r="S166" s="27"/>
      <c r="T166" s="28"/>
    </row>
    <row r="167" spans="2:20" x14ac:dyDescent="0.25">
      <c r="B167" s="4" t="str">
        <f ca="1">IFERROR(INDEX(Points_Lookup!$A:$A,MATCH($Y169,Points_Lookup!$AE:$AE,0)),"")</f>
        <v/>
      </c>
      <c r="C167" s="24" t="str">
        <f ca="1">IF(B167="","",IF($B$4="Apprenticeship",SUMIF(Points_Lookup!$AA:$AA,B167,Points_Lookup!$AC:$AC),IF(AND(OR($B$4="New Consultant Contract"),$B167&lt;&gt;""),INDEX(Points_Lookup!$K:$K,MATCH($B167,Points_Lookup!$J:$J,0)),IF(AND(OR($B$4="Clinical Lecturer / Medical Research Fellow",$B$4="Clinical Consultant - Old Contract (GP)"),$B167&lt;&gt;""),INDEX(Points_Lookup!$H:$H,MATCH($B167,Points_Lookup!$G:$G,0)),IF(AND(OR($B$4="APM Level 7",$B$4="R&amp;T Level 7",$B$4="APM Level 8"),B167&lt;&gt;""),INDEX(Points_Lookup!$E:$E,MATCH($Y167,Points_Lookup!$AE:$AE,0)),IF($B$4="R&amp;T Level 5 - Clinical Lecturers (Vet School)",SUMIF(Points_Lookup!$M:$M,$B167,Points_Lookup!$P:$P),IF($B$4="R&amp;T Level 6 - Clinical Associate Professors and Clinical Readers (Vet School)",SUMIF(Points_Lookup!$T:$T,$B167,Points_Lookup!$W:$W),IFERROR(INDEX(Points_Lookup!$B:$B,MATCH($Y167,Points_Lookup!$AE:$AE,0)),""))))))))</f>
        <v/>
      </c>
      <c r="D167" s="39"/>
      <c r="E167" s="24" t="str">
        <f ca="1">IF($B167="","",IF(AND($B$4="Salary Points 2 to 57",B167&lt;Thresholds_Rates!$C$16),"-",IF(SUMIF(Grades!$A:$A,$B$4,Grades!$BO:$BO)=0,"-",IF(AND($B$4="Salary Points 2 to 57",B167&gt;=Thresholds_Rates!$C$16),$C167*Thresholds_Rates!$F$15,IF(AND(OR($B$4="New Consultant Contract"),$B167&lt;&gt;""),$C167*Thresholds_Rates!$F$15,IF(AND(OR($B$4="Clinical Lecturer / Medical Research Fellow",$B$4="Clinical Consultant - Old Contract (GP)"),$B167&lt;&gt;""),$C167*Thresholds_Rates!$F$15,IF(OR($B$4="APM Level 7",$B$4="R&amp;T Level 7"),$C167*Thresholds_Rates!$F$15,IF(SUMIF(Grades!$A:$A,$B$4,Grades!$BO:$BO)=1,$C167*Thresholds_Rates!$F$15,""))))))))</f>
        <v/>
      </c>
      <c r="F167" s="24" t="str">
        <f ca="1">IF(B167="","",IF($B$4="Salary Points 1 to 57","-",IF(SUMIF(Grades!$A:$A,$B$4,Grades!$BP:$BP)=0,"-",IF(AND(OR($B$4="New Consultant Contract"),$B167&lt;&gt;""),$C167*Thresholds_Rates!$F$16,IF(AND(OR($B$4="Clinical Lecturer / Medical Research Fellow",$B$4="Clinical Consultant - Old Contract (GP)"),$B167&lt;&gt;""),$C167*Thresholds_Rates!$F$16,IF(AND(OR($B$4="APM Level 7",$B$4="R&amp;T Level 7"),E167&lt;&gt;""),$C167*Thresholds_Rates!$F$16,IF(SUMIF(Grades!$A:$A,$B$4,Grades!$BP:$BP)=1,$C167*Thresholds_Rates!$F$16,"")))))))</f>
        <v/>
      </c>
      <c r="G167" s="24" t="str">
        <f ca="1">IF(B167="","",IF(SUMIF(Grades!$A:$A,$B$4,Grades!$BQ:$BQ)=0,"-",IF(AND($B$4="Salary Points 1 to 57",B167&gt;Thresholds_Rates!$C$17),"-",IF(AND($B$4="Salary Points 1 to 57",B167&lt;=Thresholds_Rates!$C$17),$C167*Thresholds_Rates!$F$17,IF(AND(OR($B$4="New Consultant Contract"),$B167&lt;&gt;""),$C167*Thresholds_Rates!$F$17,IF(AND(OR($B$4="Clinical Lecturer / Medical Research Fellow",$B$4="Clinical Consultant - Old Contract (GP)"),$B167&lt;&gt;""),$C167*Thresholds_Rates!$F$17,IF(AND(OR($B$4="APM Level 7",$B$4="R&amp;T Level 7"),F167&lt;&gt;""),$C167*Thresholds_Rates!$F$17,IF(SUMIF(Grades!$A:$A,$B$4,Grades!$BQ:$BQ)=1,$C167*Thresholds_Rates!$F$17,""))))))))</f>
        <v/>
      </c>
      <c r="H167" s="24"/>
      <c r="I167" s="24"/>
      <c r="J167" s="4"/>
      <c r="K167" s="24" t="str">
        <f t="shared" ca="1" si="13"/>
        <v/>
      </c>
      <c r="L167" s="24" t="str">
        <f t="shared" ca="1" si="14"/>
        <v/>
      </c>
      <c r="M167" s="24" t="str">
        <f t="shared" ca="1" si="15"/>
        <v/>
      </c>
      <c r="N167" s="24" t="str">
        <f t="shared" ca="1" si="16"/>
        <v/>
      </c>
      <c r="O167" s="24" t="str">
        <f t="shared" ca="1" si="17"/>
        <v/>
      </c>
      <c r="Q167" s="27"/>
      <c r="R167" s="28"/>
      <c r="S167" s="27"/>
      <c r="T167" s="28"/>
    </row>
    <row r="168" spans="2:20" x14ac:dyDescent="0.25">
      <c r="B168" s="4" t="str">
        <f ca="1">IFERROR(INDEX(Points_Lookup!$A:$A,MATCH($Y170,Points_Lookup!$AE:$AE,0)),"")</f>
        <v/>
      </c>
      <c r="C168" s="24" t="str">
        <f ca="1">IF(B168="","",IF($B$4="Apprenticeship",SUMIF(Points_Lookup!$AA:$AA,B168,Points_Lookup!$AC:$AC),IF(AND(OR($B$4="New Consultant Contract"),$B168&lt;&gt;""),INDEX(Points_Lookup!$K:$K,MATCH($B168,Points_Lookup!$J:$J,0)),IF(AND(OR($B$4="Clinical Lecturer / Medical Research Fellow",$B$4="Clinical Consultant - Old Contract (GP)"),$B168&lt;&gt;""),INDEX(Points_Lookup!$H:$H,MATCH($B168,Points_Lookup!$G:$G,0)),IF(AND(OR($B$4="APM Level 7",$B$4="R&amp;T Level 7",$B$4="APM Level 8"),B168&lt;&gt;""),INDEX(Points_Lookup!$E:$E,MATCH($Y168,Points_Lookup!$AE:$AE,0)),IF($B$4="R&amp;T Level 5 - Clinical Lecturers (Vet School)",SUMIF(Points_Lookup!$M:$M,$B168,Points_Lookup!$P:$P),IF($B$4="R&amp;T Level 6 - Clinical Associate Professors and Clinical Readers (Vet School)",SUMIF(Points_Lookup!$T:$T,$B168,Points_Lookup!$W:$W),IFERROR(INDEX(Points_Lookup!$B:$B,MATCH($Y168,Points_Lookup!$AE:$AE,0)),""))))))))</f>
        <v/>
      </c>
      <c r="D168" s="39"/>
      <c r="E168" s="24" t="str">
        <f ca="1">IF($B168="","",IF(AND($B$4="Salary Points 2 to 57",B168&lt;Thresholds_Rates!$C$16),"-",IF(SUMIF(Grades!$A:$A,$B$4,Grades!$BO:$BO)=0,"-",IF(AND($B$4="Salary Points 2 to 57",B168&gt;=Thresholds_Rates!$C$16),$C168*Thresholds_Rates!$F$15,IF(AND(OR($B$4="New Consultant Contract"),$B168&lt;&gt;""),$C168*Thresholds_Rates!$F$15,IF(AND(OR($B$4="Clinical Lecturer / Medical Research Fellow",$B$4="Clinical Consultant - Old Contract (GP)"),$B168&lt;&gt;""),$C168*Thresholds_Rates!$F$15,IF(OR($B$4="APM Level 7",$B$4="R&amp;T Level 7"),$C168*Thresholds_Rates!$F$15,IF(SUMIF(Grades!$A:$A,$B$4,Grades!$BO:$BO)=1,$C168*Thresholds_Rates!$F$15,""))))))))</f>
        <v/>
      </c>
      <c r="F168" s="24" t="str">
        <f ca="1">IF(B168="","",IF($B$4="Salary Points 1 to 57","-",IF(SUMIF(Grades!$A:$A,$B$4,Grades!$BP:$BP)=0,"-",IF(AND(OR($B$4="New Consultant Contract"),$B168&lt;&gt;""),$C168*Thresholds_Rates!$F$16,IF(AND(OR($B$4="Clinical Lecturer / Medical Research Fellow",$B$4="Clinical Consultant - Old Contract (GP)"),$B168&lt;&gt;""),$C168*Thresholds_Rates!$F$16,IF(AND(OR($B$4="APM Level 7",$B$4="R&amp;T Level 7"),E168&lt;&gt;""),$C168*Thresholds_Rates!$F$16,IF(SUMIF(Grades!$A:$A,$B$4,Grades!$BP:$BP)=1,$C168*Thresholds_Rates!$F$16,"")))))))</f>
        <v/>
      </c>
      <c r="G168" s="24" t="str">
        <f ca="1">IF(B168="","",IF(SUMIF(Grades!$A:$A,$B$4,Grades!$BQ:$BQ)=0,"-",IF(AND($B$4="Salary Points 1 to 57",B168&gt;Thresholds_Rates!$C$17),"-",IF(AND($B$4="Salary Points 1 to 57",B168&lt;=Thresholds_Rates!$C$17),$C168*Thresholds_Rates!$F$17,IF(AND(OR($B$4="New Consultant Contract"),$B168&lt;&gt;""),$C168*Thresholds_Rates!$F$17,IF(AND(OR($B$4="Clinical Lecturer / Medical Research Fellow",$B$4="Clinical Consultant - Old Contract (GP)"),$B168&lt;&gt;""),$C168*Thresholds_Rates!$F$17,IF(AND(OR($B$4="APM Level 7",$B$4="R&amp;T Level 7"),F168&lt;&gt;""),$C168*Thresholds_Rates!$F$17,IF(SUMIF(Grades!$A:$A,$B$4,Grades!$BQ:$BQ)=1,$C168*Thresholds_Rates!$F$17,""))))))))</f>
        <v/>
      </c>
      <c r="H168" s="24"/>
      <c r="I168" s="24"/>
      <c r="J168" s="4"/>
      <c r="K168" s="24" t="str">
        <f t="shared" ca="1" si="13"/>
        <v/>
      </c>
      <c r="L168" s="24" t="str">
        <f t="shared" ca="1" si="14"/>
        <v/>
      </c>
      <c r="M168" s="24" t="str">
        <f t="shared" ca="1" si="15"/>
        <v/>
      </c>
      <c r="N168" s="24" t="str">
        <f t="shared" ca="1" si="16"/>
        <v/>
      </c>
      <c r="O168" s="24" t="str">
        <f t="shared" ca="1" si="17"/>
        <v/>
      </c>
      <c r="Q168" s="27"/>
      <c r="R168" s="28"/>
      <c r="S168" s="27"/>
      <c r="T168" s="28"/>
    </row>
    <row r="169" spans="2:20" x14ac:dyDescent="0.25">
      <c r="B169" s="4" t="str">
        <f ca="1">IFERROR(INDEX(Points_Lookup!$A:$A,MATCH($Y171,Points_Lookup!$AE:$AE,0)),"")</f>
        <v/>
      </c>
      <c r="C169" s="24" t="str">
        <f ca="1">IF(B169="","",IF($B$4="Apprenticeship",SUMIF(Points_Lookup!$AA:$AA,B169,Points_Lookup!$AC:$AC),IF(AND(OR($B$4="New Consultant Contract"),$B169&lt;&gt;""),INDEX(Points_Lookup!$K:$K,MATCH($B169,Points_Lookup!$J:$J,0)),IF(AND(OR($B$4="Clinical Lecturer / Medical Research Fellow",$B$4="Clinical Consultant - Old Contract (GP)"),$B169&lt;&gt;""),INDEX(Points_Lookup!$H:$H,MATCH($B169,Points_Lookup!$G:$G,0)),IF(AND(OR($B$4="APM Level 7",$B$4="R&amp;T Level 7",$B$4="APM Level 8"),B169&lt;&gt;""),INDEX(Points_Lookup!$E:$E,MATCH($Y169,Points_Lookup!$AE:$AE,0)),IF($B$4="R&amp;T Level 5 - Clinical Lecturers (Vet School)",SUMIF(Points_Lookup!$M:$M,$B169,Points_Lookup!$P:$P),IF($B$4="R&amp;T Level 6 - Clinical Associate Professors and Clinical Readers (Vet School)",SUMIF(Points_Lookup!$T:$T,$B169,Points_Lookup!$W:$W),IFERROR(INDEX(Points_Lookup!$B:$B,MATCH($Y169,Points_Lookup!$AE:$AE,0)),""))))))))</f>
        <v/>
      </c>
      <c r="D169" s="39"/>
      <c r="E169" s="24" t="str">
        <f ca="1">IF($B169="","",IF(AND($B$4="Salary Points 2 to 57",B169&lt;Thresholds_Rates!$C$16),"-",IF(SUMIF(Grades!$A:$A,$B$4,Grades!$BO:$BO)=0,"-",IF(AND($B$4="Salary Points 2 to 57",B169&gt;=Thresholds_Rates!$C$16),$C169*Thresholds_Rates!$F$15,IF(AND(OR($B$4="New Consultant Contract"),$B169&lt;&gt;""),$C169*Thresholds_Rates!$F$15,IF(AND(OR($B$4="Clinical Lecturer / Medical Research Fellow",$B$4="Clinical Consultant - Old Contract (GP)"),$B169&lt;&gt;""),$C169*Thresholds_Rates!$F$15,IF(OR($B$4="APM Level 7",$B$4="R&amp;T Level 7"),$C169*Thresholds_Rates!$F$15,IF(SUMIF(Grades!$A:$A,$B$4,Grades!$BO:$BO)=1,$C169*Thresholds_Rates!$F$15,""))))))))</f>
        <v/>
      </c>
      <c r="F169" s="24" t="str">
        <f ca="1">IF(B169="","",IF($B$4="Salary Points 1 to 57","-",IF(SUMIF(Grades!$A:$A,$B$4,Grades!$BP:$BP)=0,"-",IF(AND(OR($B$4="New Consultant Contract"),$B169&lt;&gt;""),$C169*Thresholds_Rates!$F$16,IF(AND(OR($B$4="Clinical Lecturer / Medical Research Fellow",$B$4="Clinical Consultant - Old Contract (GP)"),$B169&lt;&gt;""),$C169*Thresholds_Rates!$F$16,IF(AND(OR($B$4="APM Level 7",$B$4="R&amp;T Level 7"),E169&lt;&gt;""),$C169*Thresholds_Rates!$F$16,IF(SUMIF(Grades!$A:$A,$B$4,Grades!$BP:$BP)=1,$C169*Thresholds_Rates!$F$16,"")))))))</f>
        <v/>
      </c>
      <c r="G169" s="24" t="str">
        <f ca="1">IF(B169="","",IF(SUMIF(Grades!$A:$A,$B$4,Grades!$BQ:$BQ)=0,"-",IF(AND($B$4="Salary Points 1 to 57",B169&gt;Thresholds_Rates!$C$17),"-",IF(AND($B$4="Salary Points 1 to 57",B169&lt;=Thresholds_Rates!$C$17),$C169*Thresholds_Rates!$F$17,IF(AND(OR($B$4="New Consultant Contract"),$B169&lt;&gt;""),$C169*Thresholds_Rates!$F$17,IF(AND(OR($B$4="Clinical Lecturer / Medical Research Fellow",$B$4="Clinical Consultant - Old Contract (GP)"),$B169&lt;&gt;""),$C169*Thresholds_Rates!$F$17,IF(AND(OR($B$4="APM Level 7",$B$4="R&amp;T Level 7"),F169&lt;&gt;""),$C169*Thresholds_Rates!$F$17,IF(SUMIF(Grades!$A:$A,$B$4,Grades!$BQ:$BQ)=1,$C169*Thresholds_Rates!$F$17,""))))))))</f>
        <v/>
      </c>
      <c r="H169" s="24"/>
      <c r="I169" s="24"/>
      <c r="J169" s="4"/>
      <c r="K169" s="24" t="str">
        <f t="shared" ca="1" si="13"/>
        <v/>
      </c>
      <c r="L169" s="24" t="str">
        <f t="shared" ca="1" si="14"/>
        <v/>
      </c>
      <c r="M169" s="24" t="str">
        <f t="shared" ca="1" si="15"/>
        <v/>
      </c>
      <c r="N169" s="24" t="str">
        <f t="shared" ca="1" si="16"/>
        <v/>
      </c>
      <c r="O169" s="24" t="str">
        <f t="shared" ca="1" si="17"/>
        <v/>
      </c>
      <c r="Q169" s="27"/>
      <c r="R169" s="28"/>
      <c r="S169" s="27"/>
      <c r="T169" s="28"/>
    </row>
    <row r="170" spans="2:20" x14ac:dyDescent="0.25">
      <c r="B170" s="4" t="str">
        <f ca="1">IFERROR(INDEX(Points_Lookup!$A:$A,MATCH($Y172,Points_Lookup!$AE:$AE,0)),"")</f>
        <v/>
      </c>
      <c r="C170" s="24" t="str">
        <f ca="1">IF(B170="","",IF($B$4="Apprenticeship",SUMIF(Points_Lookup!$AA:$AA,B170,Points_Lookup!$AC:$AC),IF(AND(OR($B$4="New Consultant Contract"),$B170&lt;&gt;""),INDEX(Points_Lookup!$K:$K,MATCH($B170,Points_Lookup!$J:$J,0)),IF(AND(OR($B$4="Clinical Lecturer / Medical Research Fellow",$B$4="Clinical Consultant - Old Contract (GP)"),$B170&lt;&gt;""),INDEX(Points_Lookup!$H:$H,MATCH($B170,Points_Lookup!$G:$G,0)),IF(AND(OR($B$4="APM Level 7",$B$4="R&amp;T Level 7",$B$4="APM Level 8"),B170&lt;&gt;""),INDEX(Points_Lookup!$E:$E,MATCH($Y170,Points_Lookup!$AE:$AE,0)),IF($B$4="R&amp;T Level 5 - Clinical Lecturers (Vet School)",SUMIF(Points_Lookup!$M:$M,$B170,Points_Lookup!$P:$P),IF($B$4="R&amp;T Level 6 - Clinical Associate Professors and Clinical Readers (Vet School)",SUMIF(Points_Lookup!$T:$T,$B170,Points_Lookup!$W:$W),IFERROR(INDEX(Points_Lookup!$B:$B,MATCH($Y170,Points_Lookup!$AE:$AE,0)),""))))))))</f>
        <v/>
      </c>
      <c r="D170" s="39"/>
      <c r="E170" s="24" t="str">
        <f ca="1">IF($B170="","",IF(AND($B$4="Salary Points 2 to 57",B170&lt;Thresholds_Rates!$C$16),"-",IF(SUMIF(Grades!$A:$A,$B$4,Grades!$BO:$BO)=0,"-",IF(AND($B$4="Salary Points 2 to 57",B170&gt;=Thresholds_Rates!$C$16),$C170*Thresholds_Rates!$F$15,IF(AND(OR($B$4="New Consultant Contract"),$B170&lt;&gt;""),$C170*Thresholds_Rates!$F$15,IF(AND(OR($B$4="Clinical Lecturer / Medical Research Fellow",$B$4="Clinical Consultant - Old Contract (GP)"),$B170&lt;&gt;""),$C170*Thresholds_Rates!$F$15,IF(OR($B$4="APM Level 7",$B$4="R&amp;T Level 7"),$C170*Thresholds_Rates!$F$15,IF(SUMIF(Grades!$A:$A,$B$4,Grades!$BO:$BO)=1,$C170*Thresholds_Rates!$F$15,""))))))))</f>
        <v/>
      </c>
      <c r="F170" s="24" t="str">
        <f ca="1">IF(B170="","",IF($B$4="Salary Points 1 to 57","-",IF(SUMIF(Grades!$A:$A,$B$4,Grades!$BP:$BP)=0,"-",IF(AND(OR($B$4="New Consultant Contract"),$B170&lt;&gt;""),$C170*Thresholds_Rates!$F$16,IF(AND(OR($B$4="Clinical Lecturer / Medical Research Fellow",$B$4="Clinical Consultant - Old Contract (GP)"),$B170&lt;&gt;""),$C170*Thresholds_Rates!$F$16,IF(AND(OR($B$4="APM Level 7",$B$4="R&amp;T Level 7"),E170&lt;&gt;""),$C170*Thresholds_Rates!$F$16,IF(SUMIF(Grades!$A:$A,$B$4,Grades!$BP:$BP)=1,$C170*Thresholds_Rates!$F$16,"")))))))</f>
        <v/>
      </c>
      <c r="G170" s="24" t="str">
        <f ca="1">IF(B170="","",IF(SUMIF(Grades!$A:$A,$B$4,Grades!$BQ:$BQ)=0,"-",IF(AND($B$4="Salary Points 1 to 57",B170&gt;Thresholds_Rates!$C$17),"-",IF(AND($B$4="Salary Points 1 to 57",B170&lt;=Thresholds_Rates!$C$17),$C170*Thresholds_Rates!$F$17,IF(AND(OR($B$4="New Consultant Contract"),$B170&lt;&gt;""),$C170*Thresholds_Rates!$F$17,IF(AND(OR($B$4="Clinical Lecturer / Medical Research Fellow",$B$4="Clinical Consultant - Old Contract (GP)"),$B170&lt;&gt;""),$C170*Thresholds_Rates!$F$17,IF(AND(OR($B$4="APM Level 7",$B$4="R&amp;T Level 7"),F170&lt;&gt;""),$C170*Thresholds_Rates!$F$17,IF(SUMIF(Grades!$A:$A,$B$4,Grades!$BQ:$BQ)=1,$C170*Thresholds_Rates!$F$17,""))))))))</f>
        <v/>
      </c>
      <c r="H170" s="24"/>
      <c r="I170" s="24"/>
      <c r="J170" s="4"/>
      <c r="K170" s="24" t="str">
        <f t="shared" ca="1" si="13"/>
        <v/>
      </c>
      <c r="L170" s="24" t="str">
        <f t="shared" ca="1" si="14"/>
        <v/>
      </c>
      <c r="M170" s="24" t="str">
        <f t="shared" ca="1" si="15"/>
        <v/>
      </c>
      <c r="N170" s="24" t="str">
        <f t="shared" ca="1" si="16"/>
        <v/>
      </c>
      <c r="O170" s="24" t="str">
        <f t="shared" ca="1" si="17"/>
        <v/>
      </c>
      <c r="Q170" s="27"/>
      <c r="R170" s="28"/>
      <c r="S170" s="27"/>
      <c r="T170" s="28"/>
    </row>
    <row r="171" spans="2:20" x14ac:dyDescent="0.25">
      <c r="B171" s="4" t="str">
        <f ca="1">IFERROR(INDEX(Points_Lookup!$A:$A,MATCH($Y173,Points_Lookup!$AE:$AE,0)),"")</f>
        <v/>
      </c>
      <c r="C171" s="24" t="str">
        <f ca="1">IF(B171="","",IF($B$4="Apprenticeship",SUMIF(Points_Lookup!$AA:$AA,B171,Points_Lookup!$AC:$AC),IF(AND(OR($B$4="New Consultant Contract"),$B171&lt;&gt;""),INDEX(Points_Lookup!$K:$K,MATCH($B171,Points_Lookup!$J:$J,0)),IF(AND(OR($B$4="Clinical Lecturer / Medical Research Fellow",$B$4="Clinical Consultant - Old Contract (GP)"),$B171&lt;&gt;""),INDEX(Points_Lookup!$H:$H,MATCH($B171,Points_Lookup!$G:$G,0)),IF(AND(OR($B$4="APM Level 7",$B$4="R&amp;T Level 7",$B$4="APM Level 8"),B171&lt;&gt;""),INDEX(Points_Lookup!$E:$E,MATCH($Y171,Points_Lookup!$AE:$AE,0)),IF($B$4="R&amp;T Level 5 - Clinical Lecturers (Vet School)",SUMIF(Points_Lookup!$M:$M,$B171,Points_Lookup!$P:$P),IF($B$4="R&amp;T Level 6 - Clinical Associate Professors and Clinical Readers (Vet School)",SUMIF(Points_Lookup!$T:$T,$B171,Points_Lookup!$W:$W),IFERROR(INDEX(Points_Lookup!$B:$B,MATCH($Y171,Points_Lookup!$AE:$AE,0)),""))))))))</f>
        <v/>
      </c>
      <c r="D171" s="39"/>
      <c r="E171" s="24" t="str">
        <f ca="1">IF($B171="","",IF(AND($B$4="Salary Points 2 to 57",B171&lt;Thresholds_Rates!$C$16),"-",IF(SUMIF(Grades!$A:$A,$B$4,Grades!$BO:$BO)=0,"-",IF(AND($B$4="Salary Points 2 to 57",B171&gt;=Thresholds_Rates!$C$16),$C171*Thresholds_Rates!$F$15,IF(AND(OR($B$4="New Consultant Contract"),$B171&lt;&gt;""),$C171*Thresholds_Rates!$F$15,IF(AND(OR($B$4="Clinical Lecturer / Medical Research Fellow",$B$4="Clinical Consultant - Old Contract (GP)"),$B171&lt;&gt;""),$C171*Thresholds_Rates!$F$15,IF(OR($B$4="APM Level 7",$B$4="R&amp;T Level 7"),$C171*Thresholds_Rates!$F$15,IF(SUMIF(Grades!$A:$A,$B$4,Grades!$BO:$BO)=1,$C171*Thresholds_Rates!$F$15,""))))))))</f>
        <v/>
      </c>
      <c r="F171" s="24" t="str">
        <f ca="1">IF(B171="","",IF($B$4="Salary Points 1 to 57","-",IF(SUMIF(Grades!$A:$A,$B$4,Grades!$BP:$BP)=0,"-",IF(AND(OR($B$4="New Consultant Contract"),$B171&lt;&gt;""),$C171*Thresholds_Rates!$F$16,IF(AND(OR($B$4="Clinical Lecturer / Medical Research Fellow",$B$4="Clinical Consultant - Old Contract (GP)"),$B171&lt;&gt;""),$C171*Thresholds_Rates!$F$16,IF(AND(OR($B$4="APM Level 7",$B$4="R&amp;T Level 7"),E171&lt;&gt;""),$C171*Thresholds_Rates!$F$16,IF(SUMIF(Grades!$A:$A,$B$4,Grades!$BP:$BP)=1,$C171*Thresholds_Rates!$F$16,"")))))))</f>
        <v/>
      </c>
      <c r="G171" s="24" t="str">
        <f ca="1">IF(B171="","",IF(SUMIF(Grades!$A:$A,$B$4,Grades!$BQ:$BQ)=0,"-",IF(AND($B$4="Salary Points 1 to 57",B171&gt;Thresholds_Rates!$C$17),"-",IF(AND($B$4="Salary Points 1 to 57",B171&lt;=Thresholds_Rates!$C$17),$C171*Thresholds_Rates!$F$17,IF(AND(OR($B$4="New Consultant Contract"),$B171&lt;&gt;""),$C171*Thresholds_Rates!$F$17,IF(AND(OR($B$4="Clinical Lecturer / Medical Research Fellow",$B$4="Clinical Consultant - Old Contract (GP)"),$B171&lt;&gt;""),$C171*Thresholds_Rates!$F$17,IF(AND(OR($B$4="APM Level 7",$B$4="R&amp;T Level 7"),F171&lt;&gt;""),$C171*Thresholds_Rates!$F$17,IF(SUMIF(Grades!$A:$A,$B$4,Grades!$BQ:$BQ)=1,$C171*Thresholds_Rates!$F$17,""))))))))</f>
        <v/>
      </c>
      <c r="H171" s="24"/>
      <c r="I171" s="24"/>
      <c r="J171" s="4"/>
      <c r="K171" s="24" t="str">
        <f t="shared" ca="1" si="13"/>
        <v/>
      </c>
      <c r="L171" s="24" t="str">
        <f t="shared" ca="1" si="14"/>
        <v/>
      </c>
      <c r="M171" s="24" t="str">
        <f t="shared" ca="1" si="15"/>
        <v/>
      </c>
      <c r="N171" s="24" t="str">
        <f t="shared" ca="1" si="16"/>
        <v/>
      </c>
      <c r="O171" s="24" t="str">
        <f t="shared" ca="1" si="17"/>
        <v/>
      </c>
      <c r="Q171" s="27"/>
      <c r="R171" s="28"/>
      <c r="S171" s="27"/>
      <c r="T171" s="28"/>
    </row>
    <row r="172" spans="2:20" x14ac:dyDescent="0.25">
      <c r="B172" s="4" t="str">
        <f ca="1">IFERROR(INDEX(Points_Lookup!$A:$A,MATCH($Y174,Points_Lookup!$AE:$AE,0)),"")</f>
        <v/>
      </c>
      <c r="C172" s="24" t="str">
        <f ca="1">IF(B172="","",IF($B$4="Apprenticeship",SUMIF(Points_Lookup!$AA:$AA,B172,Points_Lookup!$AC:$AC),IF(AND(OR($B$4="New Consultant Contract"),$B172&lt;&gt;""),INDEX(Points_Lookup!$K:$K,MATCH($B172,Points_Lookup!$J:$J,0)),IF(AND(OR($B$4="Clinical Lecturer / Medical Research Fellow",$B$4="Clinical Consultant - Old Contract (GP)"),$B172&lt;&gt;""),INDEX(Points_Lookup!$H:$H,MATCH($B172,Points_Lookup!$G:$G,0)),IF(AND(OR($B$4="APM Level 7",$B$4="R&amp;T Level 7",$B$4="APM Level 8"),B172&lt;&gt;""),INDEX(Points_Lookup!$E:$E,MATCH($Y172,Points_Lookup!$AE:$AE,0)),IF($B$4="R&amp;T Level 5 - Clinical Lecturers (Vet School)",SUMIF(Points_Lookup!$M:$M,$B172,Points_Lookup!$P:$P),IF($B$4="R&amp;T Level 6 - Clinical Associate Professors and Clinical Readers (Vet School)",SUMIF(Points_Lookup!$T:$T,$B172,Points_Lookup!$W:$W),IFERROR(INDEX(Points_Lookup!$B:$B,MATCH($Y172,Points_Lookup!$AE:$AE,0)),""))))))))</f>
        <v/>
      </c>
      <c r="D172" s="39"/>
      <c r="E172" s="24" t="str">
        <f ca="1">IF($B172="","",IF(AND($B$4="Salary Points 2 to 57",B172&lt;Thresholds_Rates!$C$16),"-",IF(SUMIF(Grades!$A:$A,$B$4,Grades!$BO:$BO)=0,"-",IF(AND($B$4="Salary Points 2 to 57",B172&gt;=Thresholds_Rates!$C$16),$C172*Thresholds_Rates!$F$15,IF(AND(OR($B$4="New Consultant Contract"),$B172&lt;&gt;""),$C172*Thresholds_Rates!$F$15,IF(AND(OR($B$4="Clinical Lecturer / Medical Research Fellow",$B$4="Clinical Consultant - Old Contract (GP)"),$B172&lt;&gt;""),$C172*Thresholds_Rates!$F$15,IF(OR($B$4="APM Level 7",$B$4="R&amp;T Level 7"),$C172*Thresholds_Rates!$F$15,IF(SUMIF(Grades!$A:$A,$B$4,Grades!$BO:$BO)=1,$C172*Thresholds_Rates!$F$15,""))))))))</f>
        <v/>
      </c>
      <c r="F172" s="24" t="str">
        <f ca="1">IF(B172="","",IF($B$4="Salary Points 1 to 57","-",IF(SUMIF(Grades!$A:$A,$B$4,Grades!$BP:$BP)=0,"-",IF(AND(OR($B$4="New Consultant Contract"),$B172&lt;&gt;""),$C172*Thresholds_Rates!$F$16,IF(AND(OR($B$4="Clinical Lecturer / Medical Research Fellow",$B$4="Clinical Consultant - Old Contract (GP)"),$B172&lt;&gt;""),$C172*Thresholds_Rates!$F$16,IF(AND(OR($B$4="APM Level 7",$B$4="R&amp;T Level 7"),E172&lt;&gt;""),$C172*Thresholds_Rates!$F$16,IF(SUMIF(Grades!$A:$A,$B$4,Grades!$BP:$BP)=1,$C172*Thresholds_Rates!$F$16,"")))))))</f>
        <v/>
      </c>
      <c r="G172" s="24" t="str">
        <f ca="1">IF(B172="","",IF(SUMIF(Grades!$A:$A,$B$4,Grades!$BQ:$BQ)=0,"-",IF(AND($B$4="Salary Points 1 to 57",B172&gt;Thresholds_Rates!$C$17),"-",IF(AND($B$4="Salary Points 1 to 57",B172&lt;=Thresholds_Rates!$C$17),$C172*Thresholds_Rates!$F$17,IF(AND(OR($B$4="New Consultant Contract"),$B172&lt;&gt;""),$C172*Thresholds_Rates!$F$17,IF(AND(OR($B$4="Clinical Lecturer / Medical Research Fellow",$B$4="Clinical Consultant - Old Contract (GP)"),$B172&lt;&gt;""),$C172*Thresholds_Rates!$F$17,IF(AND(OR($B$4="APM Level 7",$B$4="R&amp;T Level 7"),F172&lt;&gt;""),$C172*Thresholds_Rates!$F$17,IF(SUMIF(Grades!$A:$A,$B$4,Grades!$BQ:$BQ)=1,$C172*Thresholds_Rates!$F$17,""))))))))</f>
        <v/>
      </c>
      <c r="H172" s="24"/>
      <c r="I172" s="24"/>
      <c r="J172" s="4"/>
      <c r="K172" s="24" t="str">
        <f t="shared" ca="1" si="13"/>
        <v/>
      </c>
      <c r="L172" s="24" t="str">
        <f t="shared" ca="1" si="14"/>
        <v/>
      </c>
      <c r="M172" s="24" t="str">
        <f t="shared" ca="1" si="15"/>
        <v/>
      </c>
      <c r="N172" s="24" t="str">
        <f t="shared" ca="1" si="16"/>
        <v/>
      </c>
      <c r="O172" s="24" t="str">
        <f t="shared" ca="1" si="17"/>
        <v/>
      </c>
      <c r="Q172" s="27"/>
      <c r="R172" s="28"/>
      <c r="S172" s="27"/>
      <c r="T172" s="28"/>
    </row>
    <row r="173" spans="2:20" x14ac:dyDescent="0.25">
      <c r="B173" s="4" t="str">
        <f ca="1">IFERROR(INDEX(Points_Lookup!$A:$A,MATCH($Y175,Points_Lookup!$AE:$AE,0)),"")</f>
        <v/>
      </c>
      <c r="C173" s="24" t="str">
        <f ca="1">IF(B173="","",IF($B$4="Apprenticeship",SUMIF(Points_Lookup!$AA:$AA,B173,Points_Lookup!$AC:$AC),IF(AND(OR($B$4="New Consultant Contract"),$B173&lt;&gt;""),INDEX(Points_Lookup!$K:$K,MATCH($B173,Points_Lookup!$J:$J,0)),IF(AND(OR($B$4="Clinical Lecturer / Medical Research Fellow",$B$4="Clinical Consultant - Old Contract (GP)"),$B173&lt;&gt;""),INDEX(Points_Lookup!$H:$H,MATCH($B173,Points_Lookup!$G:$G,0)),IF(AND(OR($B$4="APM Level 7",$B$4="R&amp;T Level 7",$B$4="APM Level 8"),B173&lt;&gt;""),INDEX(Points_Lookup!$E:$E,MATCH($Y173,Points_Lookup!$AE:$AE,0)),IF($B$4="R&amp;T Level 5 - Clinical Lecturers (Vet School)",SUMIF(Points_Lookup!$M:$M,$B173,Points_Lookup!$P:$P),IF($B$4="R&amp;T Level 6 - Clinical Associate Professors and Clinical Readers (Vet School)",SUMIF(Points_Lookup!$T:$T,$B173,Points_Lookup!$W:$W),IFERROR(INDEX(Points_Lookup!$B:$B,MATCH($Y173,Points_Lookup!$AE:$AE,0)),""))))))))</f>
        <v/>
      </c>
      <c r="D173" s="39"/>
      <c r="E173" s="24" t="str">
        <f ca="1">IF($B173="","",IF(AND($B$4="Salary Points 2 to 57",B173&lt;Thresholds_Rates!$C$16),"-",IF(SUMIF(Grades!$A:$A,$B$4,Grades!$BO:$BO)=0,"-",IF(AND($B$4="Salary Points 2 to 57",B173&gt;=Thresholds_Rates!$C$16),$C173*Thresholds_Rates!$F$15,IF(AND(OR($B$4="New Consultant Contract"),$B173&lt;&gt;""),$C173*Thresholds_Rates!$F$15,IF(AND(OR($B$4="Clinical Lecturer / Medical Research Fellow",$B$4="Clinical Consultant - Old Contract (GP)"),$B173&lt;&gt;""),$C173*Thresholds_Rates!$F$15,IF(OR($B$4="APM Level 7",$B$4="R&amp;T Level 7"),$C173*Thresholds_Rates!$F$15,IF(SUMIF(Grades!$A:$A,$B$4,Grades!$BO:$BO)=1,$C173*Thresholds_Rates!$F$15,""))))))))</f>
        <v/>
      </c>
      <c r="F173" s="24" t="str">
        <f ca="1">IF(B173="","",IF($B$4="Salary Points 1 to 57","-",IF(SUMIF(Grades!$A:$A,$B$4,Grades!$BP:$BP)=0,"-",IF(AND(OR($B$4="New Consultant Contract"),$B173&lt;&gt;""),$C173*Thresholds_Rates!$F$16,IF(AND(OR($B$4="Clinical Lecturer / Medical Research Fellow",$B$4="Clinical Consultant - Old Contract (GP)"),$B173&lt;&gt;""),$C173*Thresholds_Rates!$F$16,IF(AND(OR($B$4="APM Level 7",$B$4="R&amp;T Level 7"),E173&lt;&gt;""),$C173*Thresholds_Rates!$F$16,IF(SUMIF(Grades!$A:$A,$B$4,Grades!$BP:$BP)=1,$C173*Thresholds_Rates!$F$16,"")))))))</f>
        <v/>
      </c>
      <c r="G173" s="24" t="str">
        <f ca="1">IF(B173="","",IF(SUMIF(Grades!$A:$A,$B$4,Grades!$BQ:$BQ)=0,"-",IF(AND($B$4="Salary Points 1 to 57",B173&gt;Thresholds_Rates!$C$17),"-",IF(AND($B$4="Salary Points 1 to 57",B173&lt;=Thresholds_Rates!$C$17),$C173*Thresholds_Rates!$F$17,IF(AND(OR($B$4="New Consultant Contract"),$B173&lt;&gt;""),$C173*Thresholds_Rates!$F$17,IF(AND(OR($B$4="Clinical Lecturer / Medical Research Fellow",$B$4="Clinical Consultant - Old Contract (GP)"),$B173&lt;&gt;""),$C173*Thresholds_Rates!$F$17,IF(AND(OR($B$4="APM Level 7",$B$4="R&amp;T Level 7"),F173&lt;&gt;""),$C173*Thresholds_Rates!$F$17,IF(SUMIF(Grades!$A:$A,$B$4,Grades!$BQ:$BQ)=1,$C173*Thresholds_Rates!$F$17,""))))))))</f>
        <v/>
      </c>
      <c r="H173" s="24"/>
      <c r="I173" s="24"/>
      <c r="J173" s="4"/>
      <c r="K173" s="24" t="str">
        <f t="shared" ca="1" si="13"/>
        <v/>
      </c>
      <c r="L173" s="24" t="str">
        <f t="shared" ca="1" si="14"/>
        <v/>
      </c>
      <c r="M173" s="24" t="str">
        <f t="shared" ca="1" si="15"/>
        <v/>
      </c>
      <c r="N173" s="24" t="str">
        <f t="shared" ca="1" si="16"/>
        <v/>
      </c>
      <c r="O173" s="24" t="str">
        <f t="shared" ca="1" si="17"/>
        <v/>
      </c>
      <c r="Q173" s="27"/>
      <c r="R173" s="28"/>
      <c r="S173" s="27"/>
      <c r="T173" s="28"/>
    </row>
    <row r="174" spans="2:20" x14ac:dyDescent="0.25">
      <c r="E174" s="24" t="str">
        <f>IF($B174="","",IF(AND($B$4="Salary Points 2 to 57",B174&lt;Thresholds_Rates!$C$16),"-",IF(SUMIF(Grades!$A:$A,$B$4,Grades!$BO:$BO)=0,"-",IF(AND($B$4="Salary Points 2 to 57",B174&gt;=Thresholds_Rates!$C$16),$C174*Thresholds_Rates!$F$15,IF(AND(OR($B$4="New Consultant Contract"),$B174&lt;&gt;""),$C174*Thresholds_Rates!$F$15,IF(AND(OR($B$4="Clinical Lecturer / Medical Research Fellow",$B$4="Clinical Consultant - Old Contract (GP)"),$B174&lt;&gt;""),$C174*Thresholds_Rates!$F$15,IF(OR($B$4="APM Level 7",$B$4="R&amp;T Level 7"),$C174*Thresholds_Rates!$F$15,IF(SUMIF(Grades!$A:$A,$B$4,Grades!$BO:$BO)=1,$C174*Thresholds_Rates!$F$15,""))))))))</f>
        <v/>
      </c>
      <c r="K174" s="24" t="str">
        <f t="shared" si="13"/>
        <v/>
      </c>
      <c r="L174" s="24" t="str">
        <f t="shared" si="14"/>
        <v/>
      </c>
      <c r="M174" s="24" t="str">
        <f t="shared" si="15"/>
        <v/>
      </c>
      <c r="N174" s="24" t="str">
        <f t="shared" si="16"/>
        <v/>
      </c>
      <c r="O174" s="24" t="str">
        <f t="shared" si="17"/>
        <v/>
      </c>
    </row>
    <row r="175" spans="2:20" x14ac:dyDescent="0.25">
      <c r="E175" s="24" t="str">
        <f>IF($B175="","",IF(AND($B$4="Salary Points 2 to 57",B175&lt;Thresholds_Rates!$C$16),"-",IF(SUMIF(Grades!$A:$A,$B$4,Grades!$BO:$BO)=0,"-",IF(AND($B$4="Salary Points 2 to 57",B175&gt;=Thresholds_Rates!$C$16),$C175*Thresholds_Rates!$F$15,IF(AND(OR($B$4="New Consultant Contract"),$B175&lt;&gt;""),$C175*Thresholds_Rates!$F$15,IF(AND(OR($B$4="Clinical Lecturer / Medical Research Fellow",$B$4="Clinical Consultant - Old Contract (GP)"),$B175&lt;&gt;""),$C175*Thresholds_Rates!$F$15,IF(OR($B$4="APM Level 7",$B$4="R&amp;T Level 7"),$C175*Thresholds_Rates!$F$15,IF(SUMIF(Grades!$A:$A,$B$4,Grades!$BO:$BO)=1,$C175*Thresholds_Rates!$F$15,""))))))))</f>
        <v/>
      </c>
      <c r="K175" s="24" t="str">
        <f t="shared" si="13"/>
        <v/>
      </c>
      <c r="L175" s="24" t="str">
        <f t="shared" si="14"/>
        <v/>
      </c>
      <c r="M175" s="24" t="str">
        <f t="shared" si="15"/>
        <v/>
      </c>
      <c r="N175" s="24" t="str">
        <f t="shared" si="16"/>
        <v/>
      </c>
      <c r="O175" s="24" t="str">
        <f t="shared" si="17"/>
        <v/>
      </c>
    </row>
    <row r="176" spans="2:20" x14ac:dyDescent="0.25">
      <c r="E176" s="24" t="str">
        <f>IF($B176="","",IF(AND($B$4="Salary Points 2 to 57",B176&lt;Thresholds_Rates!$C$16),"-",IF(SUMIF(Grades!$A:$A,$B$4,Grades!$BO:$BO)=0,"-",IF(AND($B$4="Salary Points 2 to 57",B176&gt;=Thresholds_Rates!$C$16),$C176*Thresholds_Rates!$F$15,IF(AND(OR($B$4="New Consultant Contract"),$B176&lt;&gt;""),$C176*Thresholds_Rates!$F$15,IF(AND(OR($B$4="Clinical Lecturer / Medical Research Fellow",$B$4="Clinical Consultant - Old Contract (GP)"),$B176&lt;&gt;""),$C176*Thresholds_Rates!$F$15,IF(OR($B$4="APM Level 7",$B$4="R&amp;T Level 7"),$C176*Thresholds_Rates!$F$15,IF(SUMIF(Grades!$A:$A,$B$4,Grades!$BO:$BO)=1,$C176*Thresholds_Rates!$F$15,""))))))))</f>
        <v/>
      </c>
      <c r="K176" s="24" t="str">
        <f t="shared" si="13"/>
        <v/>
      </c>
      <c r="L176" s="24" t="str">
        <f t="shared" si="14"/>
        <v/>
      </c>
      <c r="M176" s="24" t="str">
        <f t="shared" si="15"/>
        <v/>
      </c>
      <c r="N176" s="24" t="str">
        <f t="shared" si="16"/>
        <v/>
      </c>
      <c r="O176" s="24" t="str">
        <f t="shared" si="17"/>
        <v/>
      </c>
    </row>
    <row r="177" spans="5:15" x14ac:dyDescent="0.25">
      <c r="E177" s="24" t="str">
        <f>IF($B177="","",IF(AND($B$4="Salary Points 2 to 57",B177&lt;Thresholds_Rates!$C$16),"-",IF(SUMIF(Grades!$A:$A,$B$4,Grades!$BO:$BO)=0,"-",IF(AND($B$4="Salary Points 2 to 57",B177&gt;=Thresholds_Rates!$C$16),$C177*Thresholds_Rates!$F$15,IF(AND(OR($B$4="New Consultant Contract"),$B177&lt;&gt;""),$C177*Thresholds_Rates!$F$15,IF(AND(OR($B$4="Clinical Lecturer / Medical Research Fellow",$B$4="Clinical Consultant - Old Contract (GP)"),$B177&lt;&gt;""),$C177*Thresholds_Rates!$F$15,IF(OR($B$4="APM Level 7",$B$4="R&amp;T Level 7"),$C177*Thresholds_Rates!$F$15,IF(SUMIF(Grades!$A:$A,$B$4,Grades!$BO:$BO)=1,$C177*Thresholds_Rates!$F$15,""))))))))</f>
        <v/>
      </c>
      <c r="K177" s="24" t="str">
        <f t="shared" si="13"/>
        <v/>
      </c>
      <c r="L177" s="24" t="str">
        <f t="shared" si="14"/>
        <v/>
      </c>
      <c r="M177" s="24" t="str">
        <f t="shared" si="15"/>
        <v/>
      </c>
      <c r="N177" s="24" t="str">
        <f t="shared" si="16"/>
        <v/>
      </c>
      <c r="O177" s="24" t="str">
        <f t="shared" si="17"/>
        <v/>
      </c>
    </row>
    <row r="178" spans="5:15" x14ac:dyDescent="0.25">
      <c r="E178" s="24" t="str">
        <f>IF($B178="","",IF(AND($B$4="Salary Points 2 to 57",B178&lt;Thresholds_Rates!$C$16),"-",IF(SUMIF(Grades!$A:$A,$B$4,Grades!$BO:$BO)=0,"-",IF(AND($B$4="Salary Points 2 to 57",B178&gt;=Thresholds_Rates!$C$16),$C178*Thresholds_Rates!$F$15,IF(AND(OR($B$4="New Consultant Contract"),$B178&lt;&gt;""),$C178*Thresholds_Rates!$F$15,IF(AND(OR($B$4="Clinical Lecturer / Medical Research Fellow",$B$4="Clinical Consultant - Old Contract (GP)"),$B178&lt;&gt;""),$C178*Thresholds_Rates!$F$15,IF(OR($B$4="APM Level 7",$B$4="R&amp;T Level 7"),$C178*Thresholds_Rates!$F$15,IF(SUMIF(Grades!$A:$A,$B$4,Grades!$BO:$BO)=1,$C178*Thresholds_Rates!$F$15,""))))))))</f>
        <v/>
      </c>
      <c r="K178" s="24" t="str">
        <f t="shared" si="13"/>
        <v/>
      </c>
      <c r="L178" s="24" t="str">
        <f t="shared" si="14"/>
        <v/>
      </c>
      <c r="M178" s="24" t="str">
        <f t="shared" si="15"/>
        <v/>
      </c>
      <c r="N178" s="24" t="str">
        <f t="shared" si="16"/>
        <v/>
      </c>
      <c r="O178" s="24" t="str">
        <f t="shared" si="17"/>
        <v/>
      </c>
    </row>
    <row r="179" spans="5:15" x14ac:dyDescent="0.25">
      <c r="E179" s="24" t="str">
        <f>IF($B179="","",IF(AND($B$4="Salary Points 2 to 57",B179&lt;Thresholds_Rates!$C$16),"-",IF(SUMIF(Grades!$A:$A,$B$4,Grades!$BO:$BO)=0,"-",IF(AND($B$4="Salary Points 2 to 57",B179&gt;=Thresholds_Rates!$C$16),$C179*Thresholds_Rates!$F$15,IF(AND(OR($B$4="New Consultant Contract"),$B179&lt;&gt;""),$C179*Thresholds_Rates!$F$15,IF(AND(OR($B$4="Clinical Lecturer / Medical Research Fellow",$B$4="Clinical Consultant - Old Contract (GP)"),$B179&lt;&gt;""),$C179*Thresholds_Rates!$F$15,IF(OR($B$4="APM Level 7",$B$4="R&amp;T Level 7"),$C179*Thresholds_Rates!$F$15,IF(SUMIF(Grades!$A:$A,$B$4,Grades!$BO:$BO)=1,$C179*Thresholds_Rates!$F$15,""))))))))</f>
        <v/>
      </c>
      <c r="K179" s="24" t="str">
        <f t="shared" si="13"/>
        <v/>
      </c>
      <c r="L179" s="24" t="str">
        <f t="shared" si="14"/>
        <v/>
      </c>
      <c r="M179" s="24" t="str">
        <f t="shared" si="15"/>
        <v/>
      </c>
      <c r="N179" s="24" t="str">
        <f t="shared" si="16"/>
        <v/>
      </c>
      <c r="O179" s="24" t="str">
        <f t="shared" si="17"/>
        <v/>
      </c>
    </row>
    <row r="180" spans="5:15" x14ac:dyDescent="0.25">
      <c r="E180" s="24" t="str">
        <f>IF($B180="","",IF(AND($B$4="Salary Points 2 to 57",B180&lt;Thresholds_Rates!$C$16),"-",IF(SUMIF(Grades!$A:$A,$B$4,Grades!$BO:$BO)=0,"-",IF(AND($B$4="Salary Points 2 to 57",B180&gt;=Thresholds_Rates!$C$16),$C180*Thresholds_Rates!$F$15,IF(AND(OR($B$4="New Consultant Contract"),$B180&lt;&gt;""),$C180*Thresholds_Rates!$F$15,IF(AND(OR($B$4="Clinical Lecturer / Medical Research Fellow",$B$4="Clinical Consultant - Old Contract (GP)"),$B180&lt;&gt;""),$C180*Thresholds_Rates!$F$15,IF(OR($B$4="APM Level 7",$B$4="R&amp;T Level 7"),$C180*Thresholds_Rates!$F$15,IF(SUMIF(Grades!$A:$A,$B$4,Grades!$BO:$BO)=1,$C180*Thresholds_Rates!$F$15,""))))))))</f>
        <v/>
      </c>
      <c r="K180" s="24" t="str">
        <f t="shared" si="13"/>
        <v/>
      </c>
      <c r="L180" s="24" t="str">
        <f t="shared" si="14"/>
        <v/>
      </c>
      <c r="M180" s="24" t="str">
        <f t="shared" si="15"/>
        <v/>
      </c>
      <c r="N180" s="24" t="str">
        <f t="shared" si="16"/>
        <v/>
      </c>
      <c r="O180" s="24" t="str">
        <f t="shared" si="17"/>
        <v/>
      </c>
    </row>
    <row r="181" spans="5:15" x14ac:dyDescent="0.25">
      <c r="E181" s="24" t="str">
        <f>IF($B181="","",IF(AND($B$4="Salary Points 2 to 57",B181&lt;Thresholds_Rates!$C$16),"-",IF(SUMIF(Grades!$A:$A,$B$4,Grades!$BO:$BO)=0,"-",IF(AND($B$4="Salary Points 2 to 57",B181&gt;=Thresholds_Rates!$C$16),$C181*Thresholds_Rates!$F$15,IF(AND(OR($B$4="New Consultant Contract"),$B181&lt;&gt;""),$C181*Thresholds_Rates!$F$15,IF(AND(OR($B$4="Clinical Lecturer / Medical Research Fellow",$B$4="Clinical Consultant - Old Contract (GP)"),$B181&lt;&gt;""),$C181*Thresholds_Rates!$F$15,IF(OR($B$4="APM Level 7",$B$4="R&amp;T Level 7"),$C181*Thresholds_Rates!$F$15,IF(SUMIF(Grades!$A:$A,$B$4,Grades!$BO:$BO)=1,$C181*Thresholds_Rates!$F$15,""))))))))</f>
        <v/>
      </c>
      <c r="K181" s="24" t="str">
        <f t="shared" si="13"/>
        <v/>
      </c>
      <c r="L181" s="24" t="str">
        <f t="shared" si="14"/>
        <v/>
      </c>
      <c r="M181" s="24" t="str">
        <f t="shared" si="15"/>
        <v/>
      </c>
      <c r="N181" s="24" t="str">
        <f t="shared" si="16"/>
        <v/>
      </c>
      <c r="O181" s="24" t="str">
        <f t="shared" si="17"/>
        <v/>
      </c>
    </row>
    <row r="182" spans="5:15" x14ac:dyDescent="0.25">
      <c r="E182" s="24" t="str">
        <f>IF($B182="","",IF(AND($B$4="Salary Points 2 to 57",B182&lt;Thresholds_Rates!$C$16),"-",IF(SUMIF(Grades!$A:$A,$B$4,Grades!$BO:$BO)=0,"-",IF(AND($B$4="Salary Points 2 to 57",B182&gt;=Thresholds_Rates!$C$16),$C182*Thresholds_Rates!$F$15,IF(AND(OR($B$4="New Consultant Contract"),$B182&lt;&gt;""),$C182*Thresholds_Rates!$F$15,IF(AND(OR($B$4="Clinical Lecturer / Medical Research Fellow",$B$4="Clinical Consultant - Old Contract (GP)"),$B182&lt;&gt;""),$C182*Thresholds_Rates!$F$15,IF(OR($B$4="APM Level 7",$B$4="R&amp;T Level 7"),$C182*Thresholds_Rates!$F$15,IF(SUMIF(Grades!$A:$A,$B$4,Grades!$BO:$BO)=1,$C182*Thresholds_Rates!$F$15,""))))))))</f>
        <v/>
      </c>
      <c r="K182" s="24" t="str">
        <f t="shared" si="13"/>
        <v/>
      </c>
      <c r="L182" s="24" t="str">
        <f t="shared" si="14"/>
        <v/>
      </c>
      <c r="M182" s="24" t="str">
        <f t="shared" si="15"/>
        <v/>
      </c>
      <c r="N182" s="24" t="str">
        <f t="shared" si="16"/>
        <v/>
      </c>
      <c r="O182" s="24" t="str">
        <f t="shared" si="17"/>
        <v/>
      </c>
    </row>
    <row r="183" spans="5:15" x14ac:dyDescent="0.25">
      <c r="E183" s="24" t="str">
        <f>IF($B183="","",IF(AND($B$4="Salary Points 2 to 57",B183&lt;Thresholds_Rates!$C$16),"-",IF(SUMIF(Grades!$A:$A,$B$4,Grades!$BO:$BO)=0,"-",IF(AND($B$4="Salary Points 2 to 57",B183&gt;=Thresholds_Rates!$C$16),$C183*Thresholds_Rates!$F$15,IF(AND(OR($B$4="New Consultant Contract"),$B183&lt;&gt;""),$C183*Thresholds_Rates!$F$15,IF(AND(OR($B$4="Clinical Lecturer / Medical Research Fellow",$B$4="Clinical Consultant - Old Contract (GP)"),$B183&lt;&gt;""),$C183*Thresholds_Rates!$F$15,IF(OR($B$4="APM Level 7",$B$4="R&amp;T Level 7"),$C183*Thresholds_Rates!$F$15,IF(SUMIF(Grades!$A:$A,$B$4,Grades!$BO:$BO)=1,$C183*Thresholds_Rates!$F$15,""))))))))</f>
        <v/>
      </c>
      <c r="K183" s="24" t="str">
        <f t="shared" si="13"/>
        <v/>
      </c>
      <c r="L183" s="24" t="str">
        <f t="shared" si="14"/>
        <v/>
      </c>
      <c r="M183" s="24" t="str">
        <f t="shared" si="15"/>
        <v/>
      </c>
      <c r="N183" s="24" t="str">
        <f t="shared" si="16"/>
        <v/>
      </c>
      <c r="O183" s="24" t="str">
        <f t="shared" si="17"/>
        <v/>
      </c>
    </row>
    <row r="184" spans="5:15" x14ac:dyDescent="0.25">
      <c r="E184" s="24" t="str">
        <f>IF($B184="","",IF(AND($B$4="Salary Points 2 to 57",B184&lt;Thresholds_Rates!$C$16),"-",IF(SUMIF(Grades!$A:$A,$B$4,Grades!$BO:$BO)=0,"-",IF(AND($B$4="Salary Points 2 to 57",B184&gt;=Thresholds_Rates!$C$16),$C184*Thresholds_Rates!$F$15,IF(AND(OR($B$4="New Consultant Contract"),$B184&lt;&gt;""),$C184*Thresholds_Rates!$F$15,IF(AND(OR($B$4="Clinical Lecturer / Medical Research Fellow",$B$4="Clinical Consultant - Old Contract (GP)"),$B184&lt;&gt;""),$C184*Thresholds_Rates!$F$15,IF(OR($B$4="APM Level 7",$B$4="R&amp;T Level 7"),$C184*Thresholds_Rates!$F$15,IF(SUMIF(Grades!$A:$A,$B$4,Grades!$BO:$BO)=1,$C184*Thresholds_Rates!$F$15,""))))))))</f>
        <v/>
      </c>
      <c r="K184" s="24" t="str">
        <f t="shared" si="13"/>
        <v/>
      </c>
      <c r="L184" s="24" t="str">
        <f t="shared" si="14"/>
        <v/>
      </c>
      <c r="M184" s="24" t="str">
        <f t="shared" si="15"/>
        <v/>
      </c>
      <c r="N184" s="24" t="str">
        <f t="shared" si="16"/>
        <v/>
      </c>
      <c r="O184" s="24" t="str">
        <f t="shared" si="17"/>
        <v/>
      </c>
    </row>
    <row r="185" spans="5:15" x14ac:dyDescent="0.25">
      <c r="E185" s="24" t="str">
        <f>IF($B185="","",IF(AND($B$4="Salary Points 2 to 57",B185&lt;Thresholds_Rates!$C$16),"-",IF(SUMIF(Grades!$A:$A,$B$4,Grades!$BO:$BO)=0,"-",IF(AND($B$4="Salary Points 2 to 57",B185&gt;=Thresholds_Rates!$C$16),$C185*Thresholds_Rates!$F$15,IF(AND(OR($B$4="New Consultant Contract"),$B185&lt;&gt;""),$C185*Thresholds_Rates!$F$15,IF(AND(OR($B$4="Clinical Lecturer / Medical Research Fellow",$B$4="Clinical Consultant - Old Contract (GP)"),$B185&lt;&gt;""),$C185*Thresholds_Rates!$F$15,IF(OR($B$4="APM Level 7",$B$4="R&amp;T Level 7"),$C185*Thresholds_Rates!$F$15,IF(SUMIF(Grades!$A:$A,$B$4,Grades!$BO:$BO)=1,$C185*Thresholds_Rates!$F$15,""))))))))</f>
        <v/>
      </c>
      <c r="K185" s="24" t="str">
        <f t="shared" si="13"/>
        <v/>
      </c>
      <c r="L185" s="24" t="str">
        <f t="shared" si="14"/>
        <v/>
      </c>
      <c r="M185" s="24" t="str">
        <f t="shared" si="15"/>
        <v/>
      </c>
      <c r="N185" s="24" t="str">
        <f t="shared" si="16"/>
        <v/>
      </c>
      <c r="O185" s="24" t="str">
        <f t="shared" si="17"/>
        <v/>
      </c>
    </row>
    <row r="186" spans="5:15" x14ac:dyDescent="0.25">
      <c r="E186" s="24" t="str">
        <f>IF($B186="","",IF(AND($B$4="Salary Points 2 to 57",B186&lt;Thresholds_Rates!$C$16),"-",IF(SUMIF(Grades!$A:$A,$B$4,Grades!$BO:$BO)=0,"-",IF(AND($B$4="Salary Points 2 to 57",B186&gt;=Thresholds_Rates!$C$16),$C186*Thresholds_Rates!$F$15,IF(AND(OR($B$4="New Consultant Contract"),$B186&lt;&gt;""),$C186*Thresholds_Rates!$F$15,IF(AND(OR($B$4="Clinical Lecturer / Medical Research Fellow",$B$4="Clinical Consultant - Old Contract (GP)"),$B186&lt;&gt;""),$C186*Thresholds_Rates!$F$15,IF(OR($B$4="APM Level 7",$B$4="R&amp;T Level 7"),$C186*Thresholds_Rates!$F$15,IF(SUMIF(Grades!$A:$A,$B$4,Grades!$BO:$BO)=1,$C186*Thresholds_Rates!$F$15,""))))))))</f>
        <v/>
      </c>
      <c r="K186" s="24" t="str">
        <f t="shared" si="13"/>
        <v/>
      </c>
      <c r="L186" s="24" t="str">
        <f t="shared" si="14"/>
        <v/>
      </c>
      <c r="M186" s="24" t="str">
        <f t="shared" si="15"/>
        <v/>
      </c>
      <c r="N186" s="24" t="str">
        <f t="shared" si="16"/>
        <v/>
      </c>
      <c r="O186" s="24" t="str">
        <f t="shared" si="17"/>
        <v/>
      </c>
    </row>
    <row r="187" spans="5:15" x14ac:dyDescent="0.25">
      <c r="E187" s="24" t="str">
        <f>IF($B187="","",IF(AND($B$4="Salary Points 2 to 57",B187&lt;Thresholds_Rates!$C$16),"-",IF(SUMIF(Grades!$A:$A,$B$4,Grades!$BO:$BO)=0,"-",IF(AND($B$4="Salary Points 2 to 57",B187&gt;=Thresholds_Rates!$C$16),$C187*Thresholds_Rates!$F$15,IF(AND(OR($B$4="New Consultant Contract"),$B187&lt;&gt;""),$C187*Thresholds_Rates!$F$15,IF(AND(OR($B$4="Clinical Lecturer / Medical Research Fellow",$B$4="Clinical Consultant - Old Contract (GP)"),$B187&lt;&gt;""),$C187*Thresholds_Rates!$F$15,IF(OR($B$4="APM Level 7",$B$4="R&amp;T Level 7"),$C187*Thresholds_Rates!$F$15,IF(SUMIF(Grades!$A:$A,$B$4,Grades!$BO:$BO)=1,$C187*Thresholds_Rates!$F$15,""))))))))</f>
        <v/>
      </c>
      <c r="K187" s="24" t="str">
        <f t="shared" si="13"/>
        <v/>
      </c>
      <c r="L187" s="24" t="str">
        <f t="shared" si="14"/>
        <v/>
      </c>
      <c r="M187" s="24" t="str">
        <f t="shared" si="15"/>
        <v/>
      </c>
      <c r="N187" s="24" t="str">
        <f t="shared" si="16"/>
        <v/>
      </c>
      <c r="O187" s="24" t="str">
        <f t="shared" si="17"/>
        <v/>
      </c>
    </row>
    <row r="188" spans="5:15" x14ac:dyDescent="0.25">
      <c r="E188" s="24" t="str">
        <f>IF($B188="","",IF(AND($B$4="Salary Points 2 to 57",B188&lt;Thresholds_Rates!$C$16),"-",IF(SUMIF(Grades!$A:$A,$B$4,Grades!$BO:$BO)=0,"-",IF(AND($B$4="Salary Points 2 to 57",B188&gt;=Thresholds_Rates!$C$16),$C188*Thresholds_Rates!$F$15,IF(AND(OR($B$4="New Consultant Contract"),$B188&lt;&gt;""),$C188*Thresholds_Rates!$F$15,IF(AND(OR($B$4="Clinical Lecturer / Medical Research Fellow",$B$4="Clinical Consultant - Old Contract (GP)"),$B188&lt;&gt;""),$C188*Thresholds_Rates!$F$15,IF(OR($B$4="APM Level 7",$B$4="R&amp;T Level 7"),$C188*Thresholds_Rates!$F$15,IF(SUMIF(Grades!$A:$A,$B$4,Grades!$BO:$BO)=1,$C188*Thresholds_Rates!$F$15,""))))))))</f>
        <v/>
      </c>
      <c r="K188" s="24" t="str">
        <f t="shared" si="13"/>
        <v/>
      </c>
      <c r="L188" s="24" t="str">
        <f t="shared" si="14"/>
        <v/>
      </c>
      <c r="M188" s="24" t="str">
        <f t="shared" si="15"/>
        <v/>
      </c>
      <c r="N188" s="24" t="str">
        <f t="shared" si="16"/>
        <v/>
      </c>
      <c r="O188" s="24" t="str">
        <f t="shared" si="17"/>
        <v/>
      </c>
    </row>
    <row r="189" spans="5:15" x14ac:dyDescent="0.25">
      <c r="E189" s="24" t="str">
        <f>IF($B189="","",IF(AND($B$4="Salary Points 2 to 57",B189&lt;Thresholds_Rates!$C$16),"-",IF(SUMIF(Grades!$A:$A,$B$4,Grades!$BO:$BO)=0,"-",IF(AND($B$4="Salary Points 2 to 57",B189&gt;=Thresholds_Rates!$C$16),$C189*Thresholds_Rates!$F$15,IF(AND(OR($B$4="New Consultant Contract"),$B189&lt;&gt;""),$C189*Thresholds_Rates!$F$15,IF(AND(OR($B$4="Clinical Lecturer / Medical Research Fellow",$B$4="Clinical Consultant - Old Contract (GP)"),$B189&lt;&gt;""),$C189*Thresholds_Rates!$F$15,IF(OR($B$4="APM Level 7",$B$4="R&amp;T Level 7"),$C189*Thresholds_Rates!$F$15,IF(SUMIF(Grades!$A:$A,$B$4,Grades!$BO:$BO)=1,$C189*Thresholds_Rates!$F$15,""))))))))</f>
        <v/>
      </c>
      <c r="K189" s="24" t="str">
        <f t="shared" si="13"/>
        <v/>
      </c>
      <c r="L189" s="24" t="str">
        <f t="shared" si="14"/>
        <v/>
      </c>
      <c r="M189" s="24" t="str">
        <f t="shared" si="15"/>
        <v/>
      </c>
      <c r="N189" s="24" t="str">
        <f t="shared" si="16"/>
        <v/>
      </c>
      <c r="O189" s="24" t="str">
        <f t="shared" si="17"/>
        <v/>
      </c>
    </row>
    <row r="190" spans="5:15" x14ac:dyDescent="0.25">
      <c r="E190" s="24" t="str">
        <f>IF($B190="","",IF(AND($B$4="Salary Points 2 to 57",B190&lt;Thresholds_Rates!$C$16),"-",IF(SUMIF(Grades!$A:$A,$B$4,Grades!$BO:$BO)=0,"-",IF(AND($B$4="Salary Points 2 to 57",B190&gt;=Thresholds_Rates!$C$16),$C190*Thresholds_Rates!$F$15,IF(AND(OR($B$4="New Consultant Contract"),$B190&lt;&gt;""),$C190*Thresholds_Rates!$F$15,IF(AND(OR($B$4="Clinical Lecturer / Medical Research Fellow",$B$4="Clinical Consultant - Old Contract (GP)"),$B190&lt;&gt;""),$C190*Thresholds_Rates!$F$15,IF(OR($B$4="APM Level 7",$B$4="R&amp;T Level 7"),$C190*Thresholds_Rates!$F$15,IF(SUMIF(Grades!$A:$A,$B$4,Grades!$BO:$BO)=1,$C190*Thresholds_Rates!$F$15,""))))))))</f>
        <v/>
      </c>
      <c r="K190" s="24" t="str">
        <f t="shared" si="13"/>
        <v/>
      </c>
      <c r="L190" s="24" t="str">
        <f t="shared" si="14"/>
        <v/>
      </c>
      <c r="M190" s="24" t="str">
        <f t="shared" si="15"/>
        <v/>
      </c>
      <c r="N190" s="24" t="str">
        <f t="shared" si="16"/>
        <v/>
      </c>
      <c r="O190" s="24" t="str">
        <f t="shared" si="17"/>
        <v/>
      </c>
    </row>
    <row r="191" spans="5:15" x14ac:dyDescent="0.25">
      <c r="E191" s="24" t="str">
        <f>IF($B191="","",IF(AND($B$4="Salary Points 2 to 57",B191&lt;Thresholds_Rates!$C$16),"-",IF(SUMIF(Grades!$A:$A,$B$4,Grades!$BO:$BO)=0,"-",IF(AND($B$4="Salary Points 2 to 57",B191&gt;=Thresholds_Rates!$C$16),$C191*Thresholds_Rates!$F$15,IF(AND(OR($B$4="New Consultant Contract"),$B191&lt;&gt;""),$C191*Thresholds_Rates!$F$15,IF(AND(OR($B$4="Clinical Lecturer / Medical Research Fellow",$B$4="Clinical Consultant - Old Contract (GP)"),$B191&lt;&gt;""),$C191*Thresholds_Rates!$F$15,IF(OR($B$4="APM Level 7",$B$4="R&amp;T Level 7"),$C191*Thresholds_Rates!$F$15,IF(SUMIF(Grades!$A:$A,$B$4,Grades!$BO:$BO)=1,$C191*Thresholds_Rates!$F$15,""))))))))</f>
        <v/>
      </c>
      <c r="K191" s="24" t="str">
        <f t="shared" si="13"/>
        <v/>
      </c>
      <c r="L191" s="24" t="str">
        <f t="shared" si="14"/>
        <v/>
      </c>
      <c r="M191" s="24" t="str">
        <f t="shared" si="15"/>
        <v/>
      </c>
      <c r="N191" s="24" t="str">
        <f t="shared" si="16"/>
        <v/>
      </c>
      <c r="O191" s="24" t="str">
        <f t="shared" si="17"/>
        <v/>
      </c>
    </row>
    <row r="192" spans="5:15" x14ac:dyDescent="0.25">
      <c r="E192" s="24" t="str">
        <f>IF($B192="","",IF(AND($B$4="Salary Points 2 to 57",B192&lt;Thresholds_Rates!$C$16),"-",IF(SUMIF(Grades!$A:$A,$B$4,Grades!$BO:$BO)=0,"-",IF(AND($B$4="Salary Points 2 to 57",B192&gt;=Thresholds_Rates!$C$16),$C192*Thresholds_Rates!$F$15,IF(AND(OR($B$4="New Consultant Contract"),$B192&lt;&gt;""),$C192*Thresholds_Rates!$F$15,IF(AND(OR($B$4="Clinical Lecturer / Medical Research Fellow",$B$4="Clinical Consultant - Old Contract (GP)"),$B192&lt;&gt;""),$C192*Thresholds_Rates!$F$15,IF(OR($B$4="APM Level 7",$B$4="R&amp;T Level 7"),$C192*Thresholds_Rates!$F$15,IF(SUMIF(Grades!$A:$A,$B$4,Grades!$BO:$BO)=1,$C192*Thresholds_Rates!$F$15,""))))))))</f>
        <v/>
      </c>
      <c r="K192" s="24" t="str">
        <f t="shared" si="13"/>
        <v/>
      </c>
      <c r="L192" s="24" t="str">
        <f t="shared" si="14"/>
        <v/>
      </c>
      <c r="M192" s="24" t="str">
        <f t="shared" si="15"/>
        <v/>
      </c>
      <c r="N192" s="24" t="str">
        <f t="shared" si="16"/>
        <v/>
      </c>
      <c r="O192" s="24" t="str">
        <f t="shared" si="17"/>
        <v/>
      </c>
    </row>
    <row r="193" spans="5:15" x14ac:dyDescent="0.25">
      <c r="E193" s="24" t="str">
        <f>IF($B193="","",IF(AND($B$4="Salary Points 2 to 57",B193&lt;Thresholds_Rates!$C$16),"-",IF(SUMIF(Grades!$A:$A,$B$4,Grades!$BO:$BO)=0,"-",IF(AND($B$4="Salary Points 2 to 57",B193&gt;=Thresholds_Rates!$C$16),$C193*Thresholds_Rates!$F$15,IF(AND(OR($B$4="New Consultant Contract"),$B193&lt;&gt;""),$C193*Thresholds_Rates!$F$15,IF(AND(OR($B$4="Clinical Lecturer / Medical Research Fellow",$B$4="Clinical Consultant - Old Contract (GP)"),$B193&lt;&gt;""),$C193*Thresholds_Rates!$F$15,IF(OR($B$4="APM Level 7",$B$4="R&amp;T Level 7"),$C193*Thresholds_Rates!$F$15,IF(SUMIF(Grades!$A:$A,$B$4,Grades!$BO:$BO)=1,$C193*Thresholds_Rates!$F$15,""))))))))</f>
        <v/>
      </c>
      <c r="K193" s="24" t="str">
        <f t="shared" si="13"/>
        <v/>
      </c>
      <c r="L193" s="24" t="str">
        <f t="shared" si="14"/>
        <v/>
      </c>
      <c r="M193" s="24" t="str">
        <f t="shared" si="15"/>
        <v/>
      </c>
      <c r="N193" s="24" t="str">
        <f t="shared" si="16"/>
        <v/>
      </c>
      <c r="O193" s="24" t="str">
        <f t="shared" si="17"/>
        <v/>
      </c>
    </row>
    <row r="194" spans="5:15" x14ac:dyDescent="0.25">
      <c r="E194" s="24" t="str">
        <f>IF($B194="","",IF(AND($B$4="Salary Points 2 to 57",B194&lt;Thresholds_Rates!$C$16),"-",IF(SUMIF(Grades!$A:$A,$B$4,Grades!$BO:$BO)=0,"-",IF(AND($B$4="Salary Points 2 to 57",B194&gt;=Thresholds_Rates!$C$16),$C194*Thresholds_Rates!$F$15,IF(AND(OR($B$4="New Consultant Contract"),$B194&lt;&gt;""),$C194*Thresholds_Rates!$F$15,IF(AND(OR($B$4="Clinical Lecturer / Medical Research Fellow",$B$4="Clinical Consultant - Old Contract (GP)"),$B194&lt;&gt;""),$C194*Thresholds_Rates!$F$15,IF(OR($B$4="APM Level 7",$B$4="R&amp;T Level 7"),$C194*Thresholds_Rates!$F$15,IF(SUMIF(Grades!$A:$A,$B$4,Grades!$BO:$BO)=1,$C194*Thresholds_Rates!$F$15,""))))))))</f>
        <v/>
      </c>
      <c r="K194" s="24" t="str">
        <f t="shared" si="13"/>
        <v/>
      </c>
      <c r="L194" s="24" t="str">
        <f t="shared" si="14"/>
        <v/>
      </c>
      <c r="M194" s="24" t="str">
        <f t="shared" si="15"/>
        <v/>
      </c>
      <c r="N194" s="24" t="str">
        <f t="shared" si="16"/>
        <v/>
      </c>
      <c r="O194" s="24" t="str">
        <f t="shared" si="17"/>
        <v/>
      </c>
    </row>
    <row r="195" spans="5:15" x14ac:dyDescent="0.25">
      <c r="E195" s="24" t="str">
        <f>IF($B195="","",IF(AND($B$4="Salary Points 2 to 57",B195&lt;Thresholds_Rates!$C$16),"-",IF(SUMIF(Grades!$A:$A,$B$4,Grades!$BO:$BO)=0,"-",IF(AND($B$4="Salary Points 2 to 57",B195&gt;=Thresholds_Rates!$C$16),$C195*Thresholds_Rates!$F$15,IF(AND(OR($B$4="New Consultant Contract"),$B195&lt;&gt;""),$C195*Thresholds_Rates!$F$15,IF(AND(OR($B$4="Clinical Lecturer / Medical Research Fellow",$B$4="Clinical Consultant - Old Contract (GP)"),$B195&lt;&gt;""),$C195*Thresholds_Rates!$F$15,IF(OR($B$4="APM Level 7",$B$4="R&amp;T Level 7"),$C195*Thresholds_Rates!$F$15,IF(SUMIF(Grades!$A:$A,$B$4,Grades!$BO:$BO)=1,$C195*Thresholds_Rates!$F$15,""))))))))</f>
        <v/>
      </c>
      <c r="K195" s="24" t="str">
        <f t="shared" si="13"/>
        <v/>
      </c>
      <c r="L195" s="24" t="str">
        <f t="shared" si="14"/>
        <v/>
      </c>
      <c r="M195" s="24" t="str">
        <f t="shared" si="15"/>
        <v/>
      </c>
      <c r="N195" s="24" t="str">
        <f t="shared" si="16"/>
        <v/>
      </c>
      <c r="O195" s="24" t="str">
        <f t="shared" si="17"/>
        <v/>
      </c>
    </row>
    <row r="196" spans="5:15" x14ac:dyDescent="0.25">
      <c r="E196" s="24" t="str">
        <f>IF($B196="","",IF(AND($B$4="Salary Points 2 to 57",B196&lt;Thresholds_Rates!$C$16),"-",IF(SUMIF(Grades!$A:$A,$B$4,Grades!$BO:$BO)=0,"-",IF(AND($B$4="Salary Points 2 to 57",B196&gt;=Thresholds_Rates!$C$16),$C196*Thresholds_Rates!$F$15,IF(AND(OR($B$4="New Consultant Contract"),$B196&lt;&gt;""),$C196*Thresholds_Rates!$F$15,IF(AND(OR($B$4="Clinical Lecturer / Medical Research Fellow",$B$4="Clinical Consultant - Old Contract (GP)"),$B196&lt;&gt;""),$C196*Thresholds_Rates!$F$15,IF(OR($B$4="APM Level 7",$B$4="R&amp;T Level 7"),$C196*Thresholds_Rates!$F$15,IF(SUMIF(Grades!$A:$A,$B$4,Grades!$BO:$BO)=1,$C196*Thresholds_Rates!$F$15,""))))))))</f>
        <v/>
      </c>
      <c r="K196" s="24" t="str">
        <f t="shared" si="13"/>
        <v/>
      </c>
      <c r="L196" s="24" t="str">
        <f t="shared" si="14"/>
        <v/>
      </c>
      <c r="M196" s="24" t="str">
        <f t="shared" si="15"/>
        <v/>
      </c>
      <c r="N196" s="24" t="str">
        <f t="shared" si="16"/>
        <v/>
      </c>
      <c r="O196" s="24" t="str">
        <f t="shared" si="17"/>
        <v/>
      </c>
    </row>
    <row r="197" spans="5:15" x14ac:dyDescent="0.25">
      <c r="E197" s="24" t="str">
        <f>IF($B197="","",IF(AND($B$4="Salary Points 2 to 57",B197&lt;Thresholds_Rates!$C$16),"-",IF(SUMIF(Grades!$A:$A,$B$4,Grades!$BO:$BO)=0,"-",IF(AND($B$4="Salary Points 2 to 57",B197&gt;=Thresholds_Rates!$C$16),$C197*Thresholds_Rates!$F$15,IF(AND(OR($B$4="New Consultant Contract"),$B197&lt;&gt;""),$C197*Thresholds_Rates!$F$15,IF(AND(OR($B$4="Clinical Lecturer / Medical Research Fellow",$B$4="Clinical Consultant - Old Contract (GP)"),$B197&lt;&gt;""),$C197*Thresholds_Rates!$F$15,IF(OR($B$4="APM Level 7",$B$4="R&amp;T Level 7"),$C197*Thresholds_Rates!$F$15,IF(SUMIF(Grades!$A:$A,$B$4,Grades!$BO:$BO)=1,$C197*Thresholds_Rates!$F$15,""))))))))</f>
        <v/>
      </c>
      <c r="K197" s="24" t="str">
        <f t="shared" si="13"/>
        <v/>
      </c>
      <c r="L197" s="24" t="str">
        <f t="shared" si="14"/>
        <v/>
      </c>
      <c r="M197" s="24" t="str">
        <f t="shared" si="15"/>
        <v/>
      </c>
      <c r="N197" s="24" t="str">
        <f t="shared" si="16"/>
        <v/>
      </c>
      <c r="O197" s="24" t="str">
        <f t="shared" si="17"/>
        <v/>
      </c>
    </row>
    <row r="198" spans="5:15" x14ac:dyDescent="0.25">
      <c r="E198" s="24" t="str">
        <f>IF($B198="","",IF(AND($B$4="Salary Points 2 to 57",B198&lt;Thresholds_Rates!$C$16),"-",IF(SUMIF(Grades!$A:$A,$B$4,Grades!$BO:$BO)=0,"-",IF(AND($B$4="Salary Points 2 to 57",B198&gt;=Thresholds_Rates!$C$16),$C198*Thresholds_Rates!$F$15,IF(AND(OR($B$4="New Consultant Contract"),$B198&lt;&gt;""),$C198*Thresholds_Rates!$F$15,IF(AND(OR($B$4="Clinical Lecturer / Medical Research Fellow",$B$4="Clinical Consultant - Old Contract (GP)"),$B198&lt;&gt;""),$C198*Thresholds_Rates!$F$15,IF(OR($B$4="APM Level 7",$B$4="R&amp;T Level 7"),$C198*Thresholds_Rates!$F$15,IF(SUMIF(Grades!$A:$A,$B$4,Grades!$BO:$BO)=1,$C198*Thresholds_Rates!$F$15,""))))))))</f>
        <v/>
      </c>
      <c r="K198" s="24" t="str">
        <f t="shared" si="13"/>
        <v/>
      </c>
      <c r="L198" s="24" t="str">
        <f t="shared" si="14"/>
        <v/>
      </c>
      <c r="M198" s="24" t="str">
        <f t="shared" si="15"/>
        <v/>
      </c>
      <c r="N198" s="24" t="str">
        <f t="shared" si="16"/>
        <v/>
      </c>
      <c r="O198" s="24" t="str">
        <f t="shared" si="17"/>
        <v/>
      </c>
    </row>
    <row r="199" spans="5:15" x14ac:dyDescent="0.25">
      <c r="E199" s="24" t="str">
        <f>IF($B199="","",IF(AND($B$4="Salary Points 2 to 57",B199&lt;Thresholds_Rates!$C$16),"-",IF(SUMIF(Grades!$A:$A,$B$4,Grades!$BO:$BO)=0,"-",IF(AND($B$4="Salary Points 2 to 57",B199&gt;=Thresholds_Rates!$C$16),$C199*Thresholds_Rates!$F$15,IF(AND(OR($B$4="New Consultant Contract"),$B199&lt;&gt;""),$C199*Thresholds_Rates!$F$15,IF(AND(OR($B$4="Clinical Lecturer / Medical Research Fellow",$B$4="Clinical Consultant - Old Contract (GP)"),$B199&lt;&gt;""),$C199*Thresholds_Rates!$F$15,IF(OR($B$4="APM Level 7",$B$4="R&amp;T Level 7"),$C199*Thresholds_Rates!$F$15,IF(SUMIF(Grades!$A:$A,$B$4,Grades!$BO:$BO)=1,$C199*Thresholds_Rates!$F$15,""))))))))</f>
        <v/>
      </c>
      <c r="K199" s="24" t="str">
        <f t="shared" si="13"/>
        <v/>
      </c>
      <c r="L199" s="24" t="str">
        <f t="shared" si="14"/>
        <v/>
      </c>
      <c r="M199" s="24" t="str">
        <f t="shared" si="15"/>
        <v/>
      </c>
      <c r="N199" s="24" t="str">
        <f t="shared" si="16"/>
        <v/>
      </c>
      <c r="O199" s="24" t="str">
        <f t="shared" si="17"/>
        <v/>
      </c>
    </row>
    <row r="200" spans="5:15" x14ac:dyDescent="0.25">
      <c r="E200" s="24" t="str">
        <f>IF($B200="","",IF(AND($B$4="Salary Points 2 to 57",B200&lt;Thresholds_Rates!$C$16),"-",IF(SUMIF(Grades!$A:$A,$B$4,Grades!$BO:$BO)=0,"-",IF(AND($B$4="Salary Points 2 to 57",B200&gt;=Thresholds_Rates!$C$16),$C200*Thresholds_Rates!$F$15,IF(AND(OR($B$4="New Consultant Contract"),$B200&lt;&gt;""),$C200*Thresholds_Rates!$F$15,IF(AND(OR($B$4="Clinical Lecturer / Medical Research Fellow",$B$4="Clinical Consultant - Old Contract (GP)"),$B200&lt;&gt;""),$C200*Thresholds_Rates!$F$15,IF(OR($B$4="APM Level 7",$B$4="R&amp;T Level 7"),$C200*Thresholds_Rates!$F$15,IF(SUMIF(Grades!$A:$A,$B$4,Grades!$BO:$BO)=1,$C200*Thresholds_Rates!$F$15,""))))))))</f>
        <v/>
      </c>
      <c r="K200" s="24" t="str">
        <f t="shared" si="13"/>
        <v/>
      </c>
      <c r="L200" s="24" t="str">
        <f t="shared" si="14"/>
        <v/>
      </c>
      <c r="M200" s="24" t="str">
        <f t="shared" si="15"/>
        <v/>
      </c>
      <c r="N200" s="24" t="str">
        <f t="shared" si="16"/>
        <v/>
      </c>
      <c r="O200" s="24" t="str">
        <f t="shared" si="17"/>
        <v/>
      </c>
    </row>
    <row r="201" spans="5:15" x14ac:dyDescent="0.25">
      <c r="E201" s="24" t="str">
        <f>IF($B201="","",IF(AND($B$4="Salary Points 2 to 57",B201&lt;Thresholds_Rates!$C$16),"-",IF(SUMIF(Grades!$A:$A,$B$4,Grades!$BO:$BO)=0,"-",IF(AND($B$4="Salary Points 2 to 57",B201&gt;=Thresholds_Rates!$C$16),$C201*Thresholds_Rates!$F$15,IF(AND(OR($B$4="New Consultant Contract"),$B201&lt;&gt;""),$C201*Thresholds_Rates!$F$15,IF(AND(OR($B$4="Clinical Lecturer / Medical Research Fellow",$B$4="Clinical Consultant - Old Contract (GP)"),$B201&lt;&gt;""),$C201*Thresholds_Rates!$F$15,IF(OR($B$4="APM Level 7",$B$4="R&amp;T Level 7"),$C201*Thresholds_Rates!$F$15,IF(SUMIF(Grades!$A:$A,$B$4,Grades!$BO:$BO)=1,$C201*Thresholds_Rates!$F$15,""))))))))</f>
        <v/>
      </c>
      <c r="K201" s="24" t="str">
        <f t="shared" ref="K201:K264" si="18">IF(B201="","",IF(E201="-","-",$C201+$H201+E201))</f>
        <v/>
      </c>
      <c r="L201" s="24" t="str">
        <f t="shared" ref="L201:L264" si="19">IF(B201="","",IF(F201="-","-",$C201+$H201+F201))</f>
        <v/>
      </c>
      <c r="M201" s="24" t="str">
        <f t="shared" ref="M201:M264" si="20">IF(B201="","",IF(G201="-","-",$C201+$H201+G201))</f>
        <v/>
      </c>
      <c r="N201" s="24" t="str">
        <f t="shared" ref="N201:N264" si="21">IF(B201="","",IF(I201="-","-",$C201+$H201+I201))</f>
        <v/>
      </c>
      <c r="O201" s="24" t="str">
        <f t="shared" ref="O201:O264" si="22">IF(B201="","",C201+H201)</f>
        <v/>
      </c>
    </row>
    <row r="202" spans="5:15" x14ac:dyDescent="0.25">
      <c r="E202" s="24" t="str">
        <f>IF($B202="","",IF(AND($B$4="Salary Points 2 to 57",B202&lt;Thresholds_Rates!$C$16),"-",IF(SUMIF(Grades!$A:$A,$B$4,Grades!$BO:$BO)=0,"-",IF(AND($B$4="Salary Points 2 to 57",B202&gt;=Thresholds_Rates!$C$16),$C202*Thresholds_Rates!$F$15,IF(AND(OR($B$4="New Consultant Contract"),$B202&lt;&gt;""),$C202*Thresholds_Rates!$F$15,IF(AND(OR($B$4="Clinical Lecturer / Medical Research Fellow",$B$4="Clinical Consultant - Old Contract (GP)"),$B202&lt;&gt;""),$C202*Thresholds_Rates!$F$15,IF(OR($B$4="APM Level 7",$B$4="R&amp;T Level 7"),$C202*Thresholds_Rates!$F$15,IF(SUMIF(Grades!$A:$A,$B$4,Grades!$BO:$BO)=1,$C202*Thresholds_Rates!$F$15,""))))))))</f>
        <v/>
      </c>
      <c r="K202" s="24" t="str">
        <f t="shared" si="18"/>
        <v/>
      </c>
      <c r="L202" s="24" t="str">
        <f t="shared" si="19"/>
        <v/>
      </c>
      <c r="M202" s="24" t="str">
        <f t="shared" si="20"/>
        <v/>
      </c>
      <c r="N202" s="24" t="str">
        <f t="shared" si="21"/>
        <v/>
      </c>
      <c r="O202" s="24" t="str">
        <f t="shared" si="22"/>
        <v/>
      </c>
    </row>
    <row r="203" spans="5:15" x14ac:dyDescent="0.25">
      <c r="E203" s="24" t="str">
        <f>IF($B203="","",IF(AND($B$4="Salary Points 2 to 57",B203&lt;Thresholds_Rates!$C$16),"-",IF(SUMIF(Grades!$A:$A,$B$4,Grades!$BO:$BO)=0,"-",IF(AND($B$4="Salary Points 2 to 57",B203&gt;=Thresholds_Rates!$C$16),$C203*Thresholds_Rates!$F$15,IF(AND(OR($B$4="New Consultant Contract"),$B203&lt;&gt;""),$C203*Thresholds_Rates!$F$15,IF(AND(OR($B$4="Clinical Lecturer / Medical Research Fellow",$B$4="Clinical Consultant - Old Contract (GP)"),$B203&lt;&gt;""),$C203*Thresholds_Rates!$F$15,IF(OR($B$4="APM Level 7",$B$4="R&amp;T Level 7"),$C203*Thresholds_Rates!$F$15,IF(SUMIF(Grades!$A:$A,$B$4,Grades!$BO:$BO)=1,$C203*Thresholds_Rates!$F$15,""))))))))</f>
        <v/>
      </c>
      <c r="K203" s="24" t="str">
        <f t="shared" si="18"/>
        <v/>
      </c>
      <c r="L203" s="24" t="str">
        <f t="shared" si="19"/>
        <v/>
      </c>
      <c r="M203" s="24" t="str">
        <f t="shared" si="20"/>
        <v/>
      </c>
      <c r="N203" s="24" t="str">
        <f t="shared" si="21"/>
        <v/>
      </c>
      <c r="O203" s="24" t="str">
        <f t="shared" si="22"/>
        <v/>
      </c>
    </row>
    <row r="204" spans="5:15" x14ac:dyDescent="0.25">
      <c r="E204" s="24" t="str">
        <f>IF($B204="","",IF(AND($B$4="Salary Points 2 to 57",B204&lt;Thresholds_Rates!$C$16),"-",IF(SUMIF(Grades!$A:$A,$B$4,Grades!$BO:$BO)=0,"-",IF(AND($B$4="Salary Points 2 to 57",B204&gt;=Thresholds_Rates!$C$16),$C204*Thresholds_Rates!$F$15,IF(AND(OR($B$4="New Consultant Contract"),$B204&lt;&gt;""),$C204*Thresholds_Rates!$F$15,IF(AND(OR($B$4="Clinical Lecturer / Medical Research Fellow",$B$4="Clinical Consultant - Old Contract (GP)"),$B204&lt;&gt;""),$C204*Thresholds_Rates!$F$15,IF(OR($B$4="APM Level 7",$B$4="R&amp;T Level 7"),$C204*Thresholds_Rates!$F$15,IF(SUMIF(Grades!$A:$A,$B$4,Grades!$BO:$BO)=1,$C204*Thresholds_Rates!$F$15,""))))))))</f>
        <v/>
      </c>
      <c r="K204" s="24" t="str">
        <f t="shared" si="18"/>
        <v/>
      </c>
      <c r="L204" s="24" t="str">
        <f t="shared" si="19"/>
        <v/>
      </c>
      <c r="M204" s="24" t="str">
        <f t="shared" si="20"/>
        <v/>
      </c>
      <c r="N204" s="24" t="str">
        <f t="shared" si="21"/>
        <v/>
      </c>
      <c r="O204" s="24" t="str">
        <f t="shared" si="22"/>
        <v/>
      </c>
    </row>
    <row r="205" spans="5:15" x14ac:dyDescent="0.25">
      <c r="E205" s="24" t="str">
        <f>IF($B205="","",IF(AND($B$4="Salary Points 2 to 57",B205&lt;Thresholds_Rates!$C$16),"-",IF(SUMIF(Grades!$A:$A,$B$4,Grades!$BO:$BO)=0,"-",IF(AND($B$4="Salary Points 2 to 57",B205&gt;=Thresholds_Rates!$C$16),$C205*Thresholds_Rates!$F$15,IF(AND(OR($B$4="New Consultant Contract"),$B205&lt;&gt;""),$C205*Thresholds_Rates!$F$15,IF(AND(OR($B$4="Clinical Lecturer / Medical Research Fellow",$B$4="Clinical Consultant - Old Contract (GP)"),$B205&lt;&gt;""),$C205*Thresholds_Rates!$F$15,IF(OR($B$4="APM Level 7",$B$4="R&amp;T Level 7"),$C205*Thresholds_Rates!$F$15,IF(SUMIF(Grades!$A:$A,$B$4,Grades!$BO:$BO)=1,$C205*Thresholds_Rates!$F$15,""))))))))</f>
        <v/>
      </c>
      <c r="K205" s="24" t="str">
        <f t="shared" si="18"/>
        <v/>
      </c>
      <c r="L205" s="24" t="str">
        <f t="shared" si="19"/>
        <v/>
      </c>
      <c r="M205" s="24" t="str">
        <f t="shared" si="20"/>
        <v/>
      </c>
      <c r="N205" s="24" t="str">
        <f t="shared" si="21"/>
        <v/>
      </c>
      <c r="O205" s="24" t="str">
        <f t="shared" si="22"/>
        <v/>
      </c>
    </row>
    <row r="206" spans="5:15" x14ac:dyDescent="0.25">
      <c r="E206" s="24" t="str">
        <f>IF($B206="","",IF(AND($B$4="Salary Points 2 to 57",B206&lt;Thresholds_Rates!$C$16),"-",IF(SUMIF(Grades!$A:$A,$B$4,Grades!$BO:$BO)=0,"-",IF(AND($B$4="Salary Points 2 to 57",B206&gt;=Thresholds_Rates!$C$16),$C206*Thresholds_Rates!$F$15,IF(AND(OR($B$4="New Consultant Contract"),$B206&lt;&gt;""),$C206*Thresholds_Rates!$F$15,IF(AND(OR($B$4="Clinical Lecturer / Medical Research Fellow",$B$4="Clinical Consultant - Old Contract (GP)"),$B206&lt;&gt;""),$C206*Thresholds_Rates!$F$15,IF(OR($B$4="APM Level 7",$B$4="R&amp;T Level 7"),$C206*Thresholds_Rates!$F$15,IF(SUMIF(Grades!$A:$A,$B$4,Grades!$BO:$BO)=1,$C206*Thresholds_Rates!$F$15,""))))))))</f>
        <v/>
      </c>
      <c r="K206" s="24" t="str">
        <f t="shared" si="18"/>
        <v/>
      </c>
      <c r="L206" s="24" t="str">
        <f t="shared" si="19"/>
        <v/>
      </c>
      <c r="M206" s="24" t="str">
        <f t="shared" si="20"/>
        <v/>
      </c>
      <c r="N206" s="24" t="str">
        <f t="shared" si="21"/>
        <v/>
      </c>
      <c r="O206" s="24" t="str">
        <f t="shared" si="22"/>
        <v/>
      </c>
    </row>
    <row r="207" spans="5:15" x14ac:dyDescent="0.25">
      <c r="E207" s="24" t="str">
        <f>IF($B207="","",IF(AND($B$4="Salary Points 2 to 57",B207&lt;Thresholds_Rates!$C$16),"-",IF(SUMIF(Grades!$A:$A,$B$4,Grades!$BO:$BO)=0,"-",IF(AND($B$4="Salary Points 2 to 57",B207&gt;=Thresholds_Rates!$C$16),$C207*Thresholds_Rates!$F$15,IF(AND(OR($B$4="New Consultant Contract"),$B207&lt;&gt;""),$C207*Thresholds_Rates!$F$15,IF(AND(OR($B$4="Clinical Lecturer / Medical Research Fellow",$B$4="Clinical Consultant - Old Contract (GP)"),$B207&lt;&gt;""),$C207*Thresholds_Rates!$F$15,IF(OR($B$4="APM Level 7",$B$4="R&amp;T Level 7"),$C207*Thresholds_Rates!$F$15,IF(SUMIF(Grades!$A:$A,$B$4,Grades!$BO:$BO)=1,$C207*Thresholds_Rates!$F$15,""))))))))</f>
        <v/>
      </c>
      <c r="K207" s="24" t="str">
        <f t="shared" si="18"/>
        <v/>
      </c>
      <c r="L207" s="24" t="str">
        <f t="shared" si="19"/>
        <v/>
      </c>
      <c r="M207" s="24" t="str">
        <f t="shared" si="20"/>
        <v/>
      </c>
      <c r="N207" s="24" t="str">
        <f t="shared" si="21"/>
        <v/>
      </c>
      <c r="O207" s="24" t="str">
        <f t="shared" si="22"/>
        <v/>
      </c>
    </row>
    <row r="208" spans="5:15" x14ac:dyDescent="0.25">
      <c r="E208" s="24" t="str">
        <f>IF($B208="","",IF(AND($B$4="Salary Points 2 to 57",B208&lt;Thresholds_Rates!$C$16),"-",IF(SUMIF(Grades!$A:$A,$B$4,Grades!$BO:$BO)=0,"-",IF(AND($B$4="Salary Points 2 to 57",B208&gt;=Thresholds_Rates!$C$16),$C208*Thresholds_Rates!$F$15,IF(AND(OR($B$4="New Consultant Contract"),$B208&lt;&gt;""),$C208*Thresholds_Rates!$F$15,IF(AND(OR($B$4="Clinical Lecturer / Medical Research Fellow",$B$4="Clinical Consultant - Old Contract (GP)"),$B208&lt;&gt;""),$C208*Thresholds_Rates!$F$15,IF(OR($B$4="APM Level 7",$B$4="R&amp;T Level 7"),$C208*Thresholds_Rates!$F$15,IF(SUMIF(Grades!$A:$A,$B$4,Grades!$BO:$BO)=1,$C208*Thresholds_Rates!$F$15,""))))))))</f>
        <v/>
      </c>
      <c r="K208" s="24" t="str">
        <f t="shared" si="18"/>
        <v/>
      </c>
      <c r="L208" s="24" t="str">
        <f t="shared" si="19"/>
        <v/>
      </c>
      <c r="M208" s="24" t="str">
        <f t="shared" si="20"/>
        <v/>
      </c>
      <c r="N208" s="24" t="str">
        <f t="shared" si="21"/>
        <v/>
      </c>
      <c r="O208" s="24" t="str">
        <f t="shared" si="22"/>
        <v/>
      </c>
    </row>
    <row r="209" spans="5:15" x14ac:dyDescent="0.25">
      <c r="E209" s="24" t="str">
        <f>IF($B209="","",IF(AND($B$4="Salary Points 2 to 57",B209&lt;Thresholds_Rates!$C$16),"-",IF(SUMIF(Grades!$A:$A,$B$4,Grades!$BO:$BO)=0,"-",IF(AND($B$4="Salary Points 2 to 57",B209&gt;=Thresholds_Rates!$C$16),$C209*Thresholds_Rates!$F$15,IF(AND(OR($B$4="New Consultant Contract"),$B209&lt;&gt;""),$C209*Thresholds_Rates!$F$15,IF(AND(OR($B$4="Clinical Lecturer / Medical Research Fellow",$B$4="Clinical Consultant - Old Contract (GP)"),$B209&lt;&gt;""),$C209*Thresholds_Rates!$F$15,IF(OR($B$4="APM Level 7",$B$4="R&amp;T Level 7"),$C209*Thresholds_Rates!$F$15,IF(SUMIF(Grades!$A:$A,$B$4,Grades!$BO:$BO)=1,$C209*Thresholds_Rates!$F$15,""))))))))</f>
        <v/>
      </c>
      <c r="K209" s="24" t="str">
        <f t="shared" si="18"/>
        <v/>
      </c>
      <c r="L209" s="24" t="str">
        <f t="shared" si="19"/>
        <v/>
      </c>
      <c r="M209" s="24" t="str">
        <f t="shared" si="20"/>
        <v/>
      </c>
      <c r="N209" s="24" t="str">
        <f t="shared" si="21"/>
        <v/>
      </c>
      <c r="O209" s="24" t="str">
        <f t="shared" si="22"/>
        <v/>
      </c>
    </row>
    <row r="210" spans="5:15" x14ac:dyDescent="0.25">
      <c r="E210" s="24" t="str">
        <f>IF($B210="","",IF(AND($B$4="Salary Points 2 to 57",B210&lt;Thresholds_Rates!$C$16),"-",IF(SUMIF(Grades!$A:$A,$B$4,Grades!$BO:$BO)=0,"-",IF(AND($B$4="Salary Points 2 to 57",B210&gt;=Thresholds_Rates!$C$16),$C210*Thresholds_Rates!$F$15,IF(AND(OR($B$4="New Consultant Contract"),$B210&lt;&gt;""),$C210*Thresholds_Rates!$F$15,IF(AND(OR($B$4="Clinical Lecturer / Medical Research Fellow",$B$4="Clinical Consultant - Old Contract (GP)"),$B210&lt;&gt;""),$C210*Thresholds_Rates!$F$15,IF(OR($B$4="APM Level 7",$B$4="R&amp;T Level 7"),$C210*Thresholds_Rates!$F$15,IF(SUMIF(Grades!$A:$A,$B$4,Grades!$BO:$BO)=1,$C210*Thresholds_Rates!$F$15,""))))))))</f>
        <v/>
      </c>
      <c r="K210" s="24" t="str">
        <f t="shared" si="18"/>
        <v/>
      </c>
      <c r="L210" s="24" t="str">
        <f t="shared" si="19"/>
        <v/>
      </c>
      <c r="M210" s="24" t="str">
        <f t="shared" si="20"/>
        <v/>
      </c>
      <c r="N210" s="24" t="str">
        <f t="shared" si="21"/>
        <v/>
      </c>
      <c r="O210" s="24" t="str">
        <f t="shared" si="22"/>
        <v/>
      </c>
    </row>
    <row r="211" spans="5:15" x14ac:dyDescent="0.25">
      <c r="E211" s="24" t="str">
        <f>IF($B211="","",IF(AND($B$4="Salary Points 2 to 57",B211&lt;Thresholds_Rates!$C$16),"-",IF(SUMIF(Grades!$A:$A,$B$4,Grades!$BO:$BO)=0,"-",IF(AND($B$4="Salary Points 2 to 57",B211&gt;=Thresholds_Rates!$C$16),$C211*Thresholds_Rates!$F$15,IF(AND(OR($B$4="New Consultant Contract"),$B211&lt;&gt;""),$C211*Thresholds_Rates!$F$15,IF(AND(OR($B$4="Clinical Lecturer / Medical Research Fellow",$B$4="Clinical Consultant - Old Contract (GP)"),$B211&lt;&gt;""),$C211*Thresholds_Rates!$F$15,IF(OR($B$4="APM Level 7",$B$4="R&amp;T Level 7"),$C211*Thresholds_Rates!$F$15,IF(SUMIF(Grades!$A:$A,$B$4,Grades!$BO:$BO)=1,$C211*Thresholds_Rates!$F$15,""))))))))</f>
        <v/>
      </c>
      <c r="K211" s="24" t="str">
        <f t="shared" si="18"/>
        <v/>
      </c>
      <c r="L211" s="24" t="str">
        <f t="shared" si="19"/>
        <v/>
      </c>
      <c r="M211" s="24" t="str">
        <f t="shared" si="20"/>
        <v/>
      </c>
      <c r="N211" s="24" t="str">
        <f t="shared" si="21"/>
        <v/>
      </c>
      <c r="O211" s="24" t="str">
        <f t="shared" si="22"/>
        <v/>
      </c>
    </row>
    <row r="212" spans="5:15" x14ac:dyDescent="0.25">
      <c r="E212" s="24" t="str">
        <f>IF($B212="","",IF(AND($B$4="Salary Points 2 to 57",B212&lt;Thresholds_Rates!$C$16),"-",IF(SUMIF(Grades!$A:$A,$B$4,Grades!$BO:$BO)=0,"-",IF(AND($B$4="Salary Points 2 to 57",B212&gt;=Thresholds_Rates!$C$16),$C212*Thresholds_Rates!$F$15,IF(AND(OR($B$4="New Consultant Contract"),$B212&lt;&gt;""),$C212*Thresholds_Rates!$F$15,IF(AND(OR($B$4="Clinical Lecturer / Medical Research Fellow",$B$4="Clinical Consultant - Old Contract (GP)"),$B212&lt;&gt;""),$C212*Thresholds_Rates!$F$15,IF(OR($B$4="APM Level 7",$B$4="R&amp;T Level 7"),$C212*Thresholds_Rates!$F$15,IF(SUMIF(Grades!$A:$A,$B$4,Grades!$BO:$BO)=1,$C212*Thresholds_Rates!$F$15,""))))))))</f>
        <v/>
      </c>
      <c r="K212" s="24" t="str">
        <f t="shared" si="18"/>
        <v/>
      </c>
      <c r="L212" s="24" t="str">
        <f t="shared" si="19"/>
        <v/>
      </c>
      <c r="M212" s="24" t="str">
        <f t="shared" si="20"/>
        <v/>
      </c>
      <c r="N212" s="24" t="str">
        <f t="shared" si="21"/>
        <v/>
      </c>
      <c r="O212" s="24" t="str">
        <f t="shared" si="22"/>
        <v/>
      </c>
    </row>
    <row r="213" spans="5:15" x14ac:dyDescent="0.25">
      <c r="E213" s="24" t="str">
        <f>IF($B213="","",IF(AND($B$4="Salary Points 2 to 57",B213&lt;Thresholds_Rates!$C$16),"-",IF(SUMIF(Grades!$A:$A,$B$4,Grades!$BO:$BO)=0,"-",IF(AND($B$4="Salary Points 2 to 57",B213&gt;=Thresholds_Rates!$C$16),$C213*Thresholds_Rates!$F$15,IF(AND(OR($B$4="New Consultant Contract"),$B213&lt;&gt;""),$C213*Thresholds_Rates!$F$15,IF(AND(OR($B$4="Clinical Lecturer / Medical Research Fellow",$B$4="Clinical Consultant - Old Contract (GP)"),$B213&lt;&gt;""),$C213*Thresholds_Rates!$F$15,IF(OR($B$4="APM Level 7",$B$4="R&amp;T Level 7"),$C213*Thresholds_Rates!$F$15,IF(SUMIF(Grades!$A:$A,$B$4,Grades!$BO:$BO)=1,$C213*Thresholds_Rates!$F$15,""))))))))</f>
        <v/>
      </c>
      <c r="K213" s="24" t="str">
        <f t="shared" si="18"/>
        <v/>
      </c>
      <c r="L213" s="24" t="str">
        <f t="shared" si="19"/>
        <v/>
      </c>
      <c r="M213" s="24" t="str">
        <f t="shared" si="20"/>
        <v/>
      </c>
      <c r="N213" s="24" t="str">
        <f t="shared" si="21"/>
        <v/>
      </c>
      <c r="O213" s="24" t="str">
        <f t="shared" si="22"/>
        <v/>
      </c>
    </row>
    <row r="214" spans="5:15" x14ac:dyDescent="0.25">
      <c r="E214" s="24" t="str">
        <f>IF($B214="","",IF(AND($B$4="Salary Points 2 to 57",B214&lt;Thresholds_Rates!$C$16),"-",IF(SUMIF(Grades!$A:$A,$B$4,Grades!$BO:$BO)=0,"-",IF(AND($B$4="Salary Points 2 to 57",B214&gt;=Thresholds_Rates!$C$16),$C214*Thresholds_Rates!$F$15,IF(AND(OR($B$4="New Consultant Contract"),$B214&lt;&gt;""),$C214*Thresholds_Rates!$F$15,IF(AND(OR($B$4="Clinical Lecturer / Medical Research Fellow",$B$4="Clinical Consultant - Old Contract (GP)"),$B214&lt;&gt;""),$C214*Thresholds_Rates!$F$15,IF(OR($B$4="APM Level 7",$B$4="R&amp;T Level 7"),$C214*Thresholds_Rates!$F$15,IF(SUMIF(Grades!$A:$A,$B$4,Grades!$BO:$BO)=1,$C214*Thresholds_Rates!$F$15,""))))))))</f>
        <v/>
      </c>
      <c r="K214" s="24" t="str">
        <f t="shared" si="18"/>
        <v/>
      </c>
      <c r="L214" s="24" t="str">
        <f t="shared" si="19"/>
        <v/>
      </c>
      <c r="M214" s="24" t="str">
        <f t="shared" si="20"/>
        <v/>
      </c>
      <c r="N214" s="24" t="str">
        <f t="shared" si="21"/>
        <v/>
      </c>
      <c r="O214" s="24" t="str">
        <f t="shared" si="22"/>
        <v/>
      </c>
    </row>
    <row r="215" spans="5:15" x14ac:dyDescent="0.25">
      <c r="E215" s="24" t="str">
        <f>IF($B215="","",IF(AND($B$4="Salary Points 2 to 57",B215&lt;Thresholds_Rates!$C$16),"-",IF(SUMIF(Grades!$A:$A,$B$4,Grades!$BO:$BO)=0,"-",IF(AND($B$4="Salary Points 2 to 57",B215&gt;=Thresholds_Rates!$C$16),$C215*Thresholds_Rates!$F$15,IF(AND(OR($B$4="New Consultant Contract"),$B215&lt;&gt;""),$C215*Thresholds_Rates!$F$15,IF(AND(OR($B$4="Clinical Lecturer / Medical Research Fellow",$B$4="Clinical Consultant - Old Contract (GP)"),$B215&lt;&gt;""),$C215*Thresholds_Rates!$F$15,IF(OR($B$4="APM Level 7",$B$4="R&amp;T Level 7"),$C215*Thresholds_Rates!$F$15,IF(SUMIF(Grades!$A:$A,$B$4,Grades!$BO:$BO)=1,$C215*Thresholds_Rates!$F$15,""))))))))</f>
        <v/>
      </c>
      <c r="K215" s="24" t="str">
        <f t="shared" si="18"/>
        <v/>
      </c>
      <c r="L215" s="24" t="str">
        <f t="shared" si="19"/>
        <v/>
      </c>
      <c r="M215" s="24" t="str">
        <f t="shared" si="20"/>
        <v/>
      </c>
      <c r="N215" s="24" t="str">
        <f t="shared" si="21"/>
        <v/>
      </c>
      <c r="O215" s="24" t="str">
        <f t="shared" si="22"/>
        <v/>
      </c>
    </row>
    <row r="216" spans="5:15" x14ac:dyDescent="0.25">
      <c r="E216" s="24" t="str">
        <f>IF($B216="","",IF(AND($B$4="Salary Points 2 to 57",B216&lt;Thresholds_Rates!$C$16),"-",IF(SUMIF(Grades!$A:$A,$B$4,Grades!$BO:$BO)=0,"-",IF(AND($B$4="Salary Points 2 to 57",B216&gt;=Thresholds_Rates!$C$16),$C216*Thresholds_Rates!$F$15,IF(AND(OR($B$4="New Consultant Contract"),$B216&lt;&gt;""),$C216*Thresholds_Rates!$F$15,IF(AND(OR($B$4="Clinical Lecturer / Medical Research Fellow",$B$4="Clinical Consultant - Old Contract (GP)"),$B216&lt;&gt;""),$C216*Thresholds_Rates!$F$15,IF(OR($B$4="APM Level 7",$B$4="R&amp;T Level 7"),$C216*Thresholds_Rates!$F$15,IF(SUMIF(Grades!$A:$A,$B$4,Grades!$BO:$BO)=1,$C216*Thresholds_Rates!$F$15,""))))))))</f>
        <v/>
      </c>
      <c r="K216" s="24" t="str">
        <f t="shared" si="18"/>
        <v/>
      </c>
      <c r="L216" s="24" t="str">
        <f t="shared" si="19"/>
        <v/>
      </c>
      <c r="M216" s="24" t="str">
        <f t="shared" si="20"/>
        <v/>
      </c>
      <c r="N216" s="24" t="str">
        <f t="shared" si="21"/>
        <v/>
      </c>
      <c r="O216" s="24" t="str">
        <f t="shared" si="22"/>
        <v/>
      </c>
    </row>
    <row r="217" spans="5:15" x14ac:dyDescent="0.25">
      <c r="E217" s="24" t="str">
        <f>IF($B217="","",IF(AND($B$4="Salary Points 2 to 57",B217&lt;Thresholds_Rates!$C$16),"-",IF(SUMIF(Grades!$A:$A,$B$4,Grades!$BO:$BO)=0,"-",IF(AND($B$4="Salary Points 2 to 57",B217&gt;=Thresholds_Rates!$C$16),$C217*Thresholds_Rates!$F$15,IF(AND(OR($B$4="New Consultant Contract"),$B217&lt;&gt;""),$C217*Thresholds_Rates!$F$15,IF(AND(OR($B$4="Clinical Lecturer / Medical Research Fellow",$B$4="Clinical Consultant - Old Contract (GP)"),$B217&lt;&gt;""),$C217*Thresholds_Rates!$F$15,IF(OR($B$4="APM Level 7",$B$4="R&amp;T Level 7"),$C217*Thresholds_Rates!$F$15,IF(SUMIF(Grades!$A:$A,$B$4,Grades!$BO:$BO)=1,$C217*Thresholds_Rates!$F$15,""))))))))</f>
        <v/>
      </c>
      <c r="K217" s="24" t="str">
        <f t="shared" si="18"/>
        <v/>
      </c>
      <c r="L217" s="24" t="str">
        <f t="shared" si="19"/>
        <v/>
      </c>
      <c r="M217" s="24" t="str">
        <f t="shared" si="20"/>
        <v/>
      </c>
      <c r="N217" s="24" t="str">
        <f t="shared" si="21"/>
        <v/>
      </c>
      <c r="O217" s="24" t="str">
        <f t="shared" si="22"/>
        <v/>
      </c>
    </row>
    <row r="218" spans="5:15" x14ac:dyDescent="0.25">
      <c r="E218" s="24" t="str">
        <f>IF($B218="","",IF(AND($B$4="Salary Points 2 to 57",B218&lt;Thresholds_Rates!$C$16),"-",IF(SUMIF(Grades!$A:$A,$B$4,Grades!$BO:$BO)=0,"-",IF(AND($B$4="Salary Points 2 to 57",B218&gt;=Thresholds_Rates!$C$16),$C218*Thresholds_Rates!$F$15,IF(AND(OR($B$4="New Consultant Contract"),$B218&lt;&gt;""),$C218*Thresholds_Rates!$F$15,IF(AND(OR($B$4="Clinical Lecturer / Medical Research Fellow",$B$4="Clinical Consultant - Old Contract (GP)"),$B218&lt;&gt;""),$C218*Thresholds_Rates!$F$15,IF(OR($B$4="APM Level 7",$B$4="R&amp;T Level 7"),$C218*Thresholds_Rates!$F$15,IF(SUMIF(Grades!$A:$A,$B$4,Grades!$BO:$BO)=1,$C218*Thresholds_Rates!$F$15,""))))))))</f>
        <v/>
      </c>
      <c r="K218" s="24" t="str">
        <f t="shared" si="18"/>
        <v/>
      </c>
      <c r="L218" s="24" t="str">
        <f t="shared" si="19"/>
        <v/>
      </c>
      <c r="M218" s="24" t="str">
        <f t="shared" si="20"/>
        <v/>
      </c>
      <c r="N218" s="24" t="str">
        <f t="shared" si="21"/>
        <v/>
      </c>
      <c r="O218" s="24" t="str">
        <f t="shared" si="22"/>
        <v/>
      </c>
    </row>
    <row r="219" spans="5:15" x14ac:dyDescent="0.25">
      <c r="E219" s="24" t="str">
        <f>IF($B219="","",IF(AND($B$4="Salary Points 2 to 57",B219&lt;Thresholds_Rates!$C$16),"-",IF(SUMIF(Grades!$A:$A,$B$4,Grades!$BO:$BO)=0,"-",IF(AND($B$4="Salary Points 2 to 57",B219&gt;=Thresholds_Rates!$C$16),$C219*Thresholds_Rates!$F$15,IF(AND(OR($B$4="New Consultant Contract"),$B219&lt;&gt;""),$C219*Thresholds_Rates!$F$15,IF(AND(OR($B$4="Clinical Lecturer / Medical Research Fellow",$B$4="Clinical Consultant - Old Contract (GP)"),$B219&lt;&gt;""),$C219*Thresholds_Rates!$F$15,IF(OR($B$4="APM Level 7",$B$4="R&amp;T Level 7"),$C219*Thresholds_Rates!$F$15,IF(SUMIF(Grades!$A:$A,$B$4,Grades!$BO:$BO)=1,$C219*Thresholds_Rates!$F$15,""))))))))</f>
        <v/>
      </c>
      <c r="K219" s="24" t="str">
        <f t="shared" si="18"/>
        <v/>
      </c>
      <c r="L219" s="24" t="str">
        <f t="shared" si="19"/>
        <v/>
      </c>
      <c r="M219" s="24" t="str">
        <f t="shared" si="20"/>
        <v/>
      </c>
      <c r="N219" s="24" t="str">
        <f t="shared" si="21"/>
        <v/>
      </c>
      <c r="O219" s="24" t="str">
        <f t="shared" si="22"/>
        <v/>
      </c>
    </row>
    <row r="220" spans="5:15" x14ac:dyDescent="0.25">
      <c r="E220" s="24" t="str">
        <f>IF($B220="","",IF(AND($B$4="Salary Points 2 to 57",B220&lt;Thresholds_Rates!$C$16),"-",IF(SUMIF(Grades!$A:$A,$B$4,Grades!$BO:$BO)=0,"-",IF(AND($B$4="Salary Points 2 to 57",B220&gt;=Thresholds_Rates!$C$16),$C220*Thresholds_Rates!$F$15,IF(AND(OR($B$4="New Consultant Contract"),$B220&lt;&gt;""),$C220*Thresholds_Rates!$F$15,IF(AND(OR($B$4="Clinical Lecturer / Medical Research Fellow",$B$4="Clinical Consultant - Old Contract (GP)"),$B220&lt;&gt;""),$C220*Thresholds_Rates!$F$15,IF(OR($B$4="APM Level 7",$B$4="R&amp;T Level 7"),$C220*Thresholds_Rates!$F$15,IF(SUMIF(Grades!$A:$A,$B$4,Grades!$BO:$BO)=1,$C220*Thresholds_Rates!$F$15,""))))))))</f>
        <v/>
      </c>
      <c r="K220" s="24" t="str">
        <f t="shared" si="18"/>
        <v/>
      </c>
      <c r="L220" s="24" t="str">
        <f t="shared" si="19"/>
        <v/>
      </c>
      <c r="M220" s="24" t="str">
        <f t="shared" si="20"/>
        <v/>
      </c>
      <c r="N220" s="24" t="str">
        <f t="shared" si="21"/>
        <v/>
      </c>
      <c r="O220" s="24" t="str">
        <f t="shared" si="22"/>
        <v/>
      </c>
    </row>
    <row r="221" spans="5:15" x14ac:dyDescent="0.25">
      <c r="E221" s="24" t="str">
        <f>IF($B221="","",IF(AND($B$4="Salary Points 2 to 57",B221&lt;Thresholds_Rates!$C$16),"-",IF(SUMIF(Grades!$A:$A,$B$4,Grades!$BO:$BO)=0,"-",IF(AND($B$4="Salary Points 2 to 57",B221&gt;=Thresholds_Rates!$C$16),$C221*Thresholds_Rates!$F$15,IF(AND(OR($B$4="New Consultant Contract"),$B221&lt;&gt;""),$C221*Thresholds_Rates!$F$15,IF(AND(OR($B$4="Clinical Lecturer / Medical Research Fellow",$B$4="Clinical Consultant - Old Contract (GP)"),$B221&lt;&gt;""),$C221*Thresholds_Rates!$F$15,IF(OR($B$4="APM Level 7",$B$4="R&amp;T Level 7"),$C221*Thresholds_Rates!$F$15,IF(SUMIF(Grades!$A:$A,$B$4,Grades!$BO:$BO)=1,$C221*Thresholds_Rates!$F$15,""))))))))</f>
        <v/>
      </c>
      <c r="K221" s="24" t="str">
        <f t="shared" si="18"/>
        <v/>
      </c>
      <c r="L221" s="24" t="str">
        <f t="shared" si="19"/>
        <v/>
      </c>
      <c r="M221" s="24" t="str">
        <f t="shared" si="20"/>
        <v/>
      </c>
      <c r="N221" s="24" t="str">
        <f t="shared" si="21"/>
        <v/>
      </c>
      <c r="O221" s="24" t="str">
        <f t="shared" si="22"/>
        <v/>
      </c>
    </row>
    <row r="222" spans="5:15" x14ac:dyDescent="0.25">
      <c r="E222" s="24" t="str">
        <f>IF($B222="","",IF(AND($B$4="Salary Points 2 to 57",B222&lt;Thresholds_Rates!$C$16),"-",IF(SUMIF(Grades!$A:$A,$B$4,Grades!$BO:$BO)=0,"-",IF(AND($B$4="Salary Points 2 to 57",B222&gt;=Thresholds_Rates!$C$16),$C222*Thresholds_Rates!$F$15,IF(AND(OR($B$4="New Consultant Contract"),$B222&lt;&gt;""),$C222*Thresholds_Rates!$F$15,IF(AND(OR($B$4="Clinical Lecturer / Medical Research Fellow",$B$4="Clinical Consultant - Old Contract (GP)"),$B222&lt;&gt;""),$C222*Thresholds_Rates!$F$15,IF(OR($B$4="APM Level 7",$B$4="R&amp;T Level 7"),$C222*Thresholds_Rates!$F$15,IF(SUMIF(Grades!$A:$A,$B$4,Grades!$BO:$BO)=1,$C222*Thresholds_Rates!$F$15,""))))))))</f>
        <v/>
      </c>
      <c r="K222" s="24" t="str">
        <f t="shared" si="18"/>
        <v/>
      </c>
      <c r="L222" s="24" t="str">
        <f t="shared" si="19"/>
        <v/>
      </c>
      <c r="M222" s="24" t="str">
        <f t="shared" si="20"/>
        <v/>
      </c>
      <c r="N222" s="24" t="str">
        <f t="shared" si="21"/>
        <v/>
      </c>
      <c r="O222" s="24" t="str">
        <f t="shared" si="22"/>
        <v/>
      </c>
    </row>
    <row r="223" spans="5:15" x14ac:dyDescent="0.25">
      <c r="E223" s="24" t="str">
        <f>IF($B223="","",IF(AND($B$4="Salary Points 2 to 57",B223&lt;Thresholds_Rates!$C$16),"-",IF(SUMIF(Grades!$A:$A,$B$4,Grades!$BO:$BO)=0,"-",IF(AND($B$4="Salary Points 2 to 57",B223&gt;=Thresholds_Rates!$C$16),$C223*Thresholds_Rates!$F$15,IF(AND(OR($B$4="New Consultant Contract"),$B223&lt;&gt;""),$C223*Thresholds_Rates!$F$15,IF(AND(OR($B$4="Clinical Lecturer / Medical Research Fellow",$B$4="Clinical Consultant - Old Contract (GP)"),$B223&lt;&gt;""),$C223*Thresholds_Rates!$F$15,IF(OR($B$4="APM Level 7",$B$4="R&amp;T Level 7"),$C223*Thresholds_Rates!$F$15,IF(SUMIF(Grades!$A:$A,$B$4,Grades!$BO:$BO)=1,$C223*Thresholds_Rates!$F$15,""))))))))</f>
        <v/>
      </c>
      <c r="K223" s="24" t="str">
        <f t="shared" si="18"/>
        <v/>
      </c>
      <c r="L223" s="24" t="str">
        <f t="shared" si="19"/>
        <v/>
      </c>
      <c r="M223" s="24" t="str">
        <f t="shared" si="20"/>
        <v/>
      </c>
      <c r="N223" s="24" t="str">
        <f t="shared" si="21"/>
        <v/>
      </c>
      <c r="O223" s="24" t="str">
        <f t="shared" si="22"/>
        <v/>
      </c>
    </row>
    <row r="224" spans="5:15" x14ac:dyDescent="0.25">
      <c r="E224" s="24" t="str">
        <f>IF($B224="","",IF(AND($B$4="Salary Points 2 to 57",B224&lt;Thresholds_Rates!$C$16),"-",IF(SUMIF(Grades!$A:$A,$B$4,Grades!$BO:$BO)=0,"-",IF(AND($B$4="Salary Points 2 to 57",B224&gt;=Thresholds_Rates!$C$16),$C224*Thresholds_Rates!$F$15,IF(AND(OR($B$4="New Consultant Contract"),$B224&lt;&gt;""),$C224*Thresholds_Rates!$F$15,IF(AND(OR($B$4="Clinical Lecturer / Medical Research Fellow",$B$4="Clinical Consultant - Old Contract (GP)"),$B224&lt;&gt;""),$C224*Thresholds_Rates!$F$15,IF(OR($B$4="APM Level 7",$B$4="R&amp;T Level 7"),$C224*Thresholds_Rates!$F$15,IF(SUMIF(Grades!$A:$A,$B$4,Grades!$BO:$BO)=1,$C224*Thresholds_Rates!$F$15,""))))))))</f>
        <v/>
      </c>
      <c r="K224" s="24" t="str">
        <f t="shared" si="18"/>
        <v/>
      </c>
      <c r="L224" s="24" t="str">
        <f t="shared" si="19"/>
        <v/>
      </c>
      <c r="M224" s="24" t="str">
        <f t="shared" si="20"/>
        <v/>
      </c>
      <c r="N224" s="24" t="str">
        <f t="shared" si="21"/>
        <v/>
      </c>
      <c r="O224" s="24" t="str">
        <f t="shared" si="22"/>
        <v/>
      </c>
    </row>
    <row r="225" spans="5:15" x14ac:dyDescent="0.25">
      <c r="E225" s="24" t="str">
        <f>IF($B225="","",IF(AND($B$4="Salary Points 2 to 57",B225&lt;Thresholds_Rates!$C$16),"-",IF(SUMIF(Grades!$A:$A,$B$4,Grades!$BO:$BO)=0,"-",IF(AND($B$4="Salary Points 2 to 57",B225&gt;=Thresholds_Rates!$C$16),$C225*Thresholds_Rates!$F$15,IF(AND(OR($B$4="New Consultant Contract"),$B225&lt;&gt;""),$C225*Thresholds_Rates!$F$15,IF(AND(OR($B$4="Clinical Lecturer / Medical Research Fellow",$B$4="Clinical Consultant - Old Contract (GP)"),$B225&lt;&gt;""),$C225*Thresholds_Rates!$F$15,IF(OR($B$4="APM Level 7",$B$4="R&amp;T Level 7"),$C225*Thresholds_Rates!$F$15,IF(SUMIF(Grades!$A:$A,$B$4,Grades!$BO:$BO)=1,$C225*Thresholds_Rates!$F$15,""))))))))</f>
        <v/>
      </c>
      <c r="K225" s="24" t="str">
        <f t="shared" si="18"/>
        <v/>
      </c>
      <c r="L225" s="24" t="str">
        <f t="shared" si="19"/>
        <v/>
      </c>
      <c r="M225" s="24" t="str">
        <f t="shared" si="20"/>
        <v/>
      </c>
      <c r="N225" s="24" t="str">
        <f t="shared" si="21"/>
        <v/>
      </c>
      <c r="O225" s="24" t="str">
        <f t="shared" si="22"/>
        <v/>
      </c>
    </row>
    <row r="226" spans="5:15" x14ac:dyDescent="0.25">
      <c r="E226" s="24" t="str">
        <f>IF($B226="","",IF(AND($B$4="Salary Points 2 to 57",B226&lt;Thresholds_Rates!$C$16),"-",IF(SUMIF(Grades!$A:$A,$B$4,Grades!$BO:$BO)=0,"-",IF(AND($B$4="Salary Points 2 to 57",B226&gt;=Thresholds_Rates!$C$16),$C226*Thresholds_Rates!$F$15,IF(AND(OR($B$4="New Consultant Contract"),$B226&lt;&gt;""),$C226*Thresholds_Rates!$F$15,IF(AND(OR($B$4="Clinical Lecturer / Medical Research Fellow",$B$4="Clinical Consultant - Old Contract (GP)"),$B226&lt;&gt;""),$C226*Thresholds_Rates!$F$15,IF(OR($B$4="APM Level 7",$B$4="R&amp;T Level 7"),$C226*Thresholds_Rates!$F$15,IF(SUMIF(Grades!$A:$A,$B$4,Grades!$BO:$BO)=1,$C226*Thresholds_Rates!$F$15,""))))))))</f>
        <v/>
      </c>
      <c r="K226" s="24" t="str">
        <f t="shared" si="18"/>
        <v/>
      </c>
      <c r="L226" s="24" t="str">
        <f t="shared" si="19"/>
        <v/>
      </c>
      <c r="M226" s="24" t="str">
        <f t="shared" si="20"/>
        <v/>
      </c>
      <c r="N226" s="24" t="str">
        <f t="shared" si="21"/>
        <v/>
      </c>
      <c r="O226" s="24" t="str">
        <f t="shared" si="22"/>
        <v/>
      </c>
    </row>
    <row r="227" spans="5:15" x14ac:dyDescent="0.25">
      <c r="E227" s="24" t="str">
        <f>IF($B227="","",IF(AND($B$4="Salary Points 2 to 57",B227&lt;Thresholds_Rates!$C$16),"-",IF(SUMIF(Grades!$A:$A,$B$4,Grades!$BO:$BO)=0,"-",IF(AND($B$4="Salary Points 2 to 57",B227&gt;=Thresholds_Rates!$C$16),$C227*Thresholds_Rates!$F$15,IF(AND(OR($B$4="New Consultant Contract"),$B227&lt;&gt;""),$C227*Thresholds_Rates!$F$15,IF(AND(OR($B$4="Clinical Lecturer / Medical Research Fellow",$B$4="Clinical Consultant - Old Contract (GP)"),$B227&lt;&gt;""),$C227*Thresholds_Rates!$F$15,IF(OR($B$4="APM Level 7",$B$4="R&amp;T Level 7"),$C227*Thresholds_Rates!$F$15,IF(SUMIF(Grades!$A:$A,$B$4,Grades!$BO:$BO)=1,$C227*Thresholds_Rates!$F$15,""))))))))</f>
        <v/>
      </c>
      <c r="K227" s="24" t="str">
        <f t="shared" si="18"/>
        <v/>
      </c>
      <c r="L227" s="24" t="str">
        <f t="shared" si="19"/>
        <v/>
      </c>
      <c r="M227" s="24" t="str">
        <f t="shared" si="20"/>
        <v/>
      </c>
      <c r="N227" s="24" t="str">
        <f t="shared" si="21"/>
        <v/>
      </c>
      <c r="O227" s="24" t="str">
        <f t="shared" si="22"/>
        <v/>
      </c>
    </row>
    <row r="228" spans="5:15" x14ac:dyDescent="0.25">
      <c r="E228" s="24" t="str">
        <f>IF($B228="","",IF(AND($B$4="Salary Points 2 to 57",B228&lt;Thresholds_Rates!$C$16),"-",IF(SUMIF(Grades!$A:$A,$B$4,Grades!$BO:$BO)=0,"-",IF(AND($B$4="Salary Points 2 to 57",B228&gt;=Thresholds_Rates!$C$16),$C228*Thresholds_Rates!$F$15,IF(AND(OR($B$4="New Consultant Contract"),$B228&lt;&gt;""),$C228*Thresholds_Rates!$F$15,IF(AND(OR($B$4="Clinical Lecturer / Medical Research Fellow",$B$4="Clinical Consultant - Old Contract (GP)"),$B228&lt;&gt;""),$C228*Thresholds_Rates!$F$15,IF(OR($B$4="APM Level 7",$B$4="R&amp;T Level 7"),$C228*Thresholds_Rates!$F$15,IF(SUMIF(Grades!$A:$A,$B$4,Grades!$BO:$BO)=1,$C228*Thresholds_Rates!$F$15,""))))))))</f>
        <v/>
      </c>
      <c r="K228" s="24" t="str">
        <f t="shared" si="18"/>
        <v/>
      </c>
      <c r="L228" s="24" t="str">
        <f t="shared" si="19"/>
        <v/>
      </c>
      <c r="M228" s="24" t="str">
        <f t="shared" si="20"/>
        <v/>
      </c>
      <c r="N228" s="24" t="str">
        <f t="shared" si="21"/>
        <v/>
      </c>
      <c r="O228" s="24" t="str">
        <f t="shared" si="22"/>
        <v/>
      </c>
    </row>
    <row r="229" spans="5:15" x14ac:dyDescent="0.25">
      <c r="E229" s="24" t="str">
        <f>IF($B229="","",IF(AND($B$4="Salary Points 2 to 57",B229&lt;Thresholds_Rates!$C$16),"-",IF(SUMIF(Grades!$A:$A,$B$4,Grades!$BO:$BO)=0,"-",IF(AND($B$4="Salary Points 2 to 57",B229&gt;=Thresholds_Rates!$C$16),$C229*Thresholds_Rates!$F$15,IF(AND(OR($B$4="New Consultant Contract"),$B229&lt;&gt;""),$C229*Thresholds_Rates!$F$15,IF(AND(OR($B$4="Clinical Lecturer / Medical Research Fellow",$B$4="Clinical Consultant - Old Contract (GP)"),$B229&lt;&gt;""),$C229*Thresholds_Rates!$F$15,IF(OR($B$4="APM Level 7",$B$4="R&amp;T Level 7"),$C229*Thresholds_Rates!$F$15,IF(SUMIF(Grades!$A:$A,$B$4,Grades!$BO:$BO)=1,$C229*Thresholds_Rates!$F$15,""))))))))</f>
        <v/>
      </c>
      <c r="K229" s="24" t="str">
        <f t="shared" si="18"/>
        <v/>
      </c>
      <c r="L229" s="24" t="str">
        <f t="shared" si="19"/>
        <v/>
      </c>
      <c r="M229" s="24" t="str">
        <f t="shared" si="20"/>
        <v/>
      </c>
      <c r="N229" s="24" t="str">
        <f t="shared" si="21"/>
        <v/>
      </c>
      <c r="O229" s="24" t="str">
        <f t="shared" si="22"/>
        <v/>
      </c>
    </row>
    <row r="230" spans="5:15" x14ac:dyDescent="0.25">
      <c r="E230" s="24" t="str">
        <f>IF($B230="","",IF(AND($B$4="Salary Points 2 to 57",B230&lt;Thresholds_Rates!$C$16),"-",IF(SUMIF(Grades!$A:$A,$B$4,Grades!$BO:$BO)=0,"-",IF(AND($B$4="Salary Points 2 to 57",B230&gt;=Thresholds_Rates!$C$16),$C230*Thresholds_Rates!$F$15,IF(AND(OR($B$4="New Consultant Contract"),$B230&lt;&gt;""),$C230*Thresholds_Rates!$F$15,IF(AND(OR($B$4="Clinical Lecturer / Medical Research Fellow",$B$4="Clinical Consultant - Old Contract (GP)"),$B230&lt;&gt;""),$C230*Thresholds_Rates!$F$15,IF(OR($B$4="APM Level 7",$B$4="R&amp;T Level 7"),$C230*Thresholds_Rates!$F$15,IF(SUMIF(Grades!$A:$A,$B$4,Grades!$BO:$BO)=1,$C230*Thresholds_Rates!$F$15,""))))))))</f>
        <v/>
      </c>
      <c r="K230" s="24" t="str">
        <f t="shared" si="18"/>
        <v/>
      </c>
      <c r="L230" s="24" t="str">
        <f t="shared" si="19"/>
        <v/>
      </c>
      <c r="M230" s="24" t="str">
        <f t="shared" si="20"/>
        <v/>
      </c>
      <c r="N230" s="24" t="str">
        <f t="shared" si="21"/>
        <v/>
      </c>
      <c r="O230" s="24" t="str">
        <f t="shared" si="22"/>
        <v/>
      </c>
    </row>
    <row r="231" spans="5:15" x14ac:dyDescent="0.25">
      <c r="E231" s="24" t="str">
        <f>IF($B231="","",IF(AND($B$4="Salary Points 2 to 57",B231&lt;Thresholds_Rates!$C$16),"-",IF(SUMIF(Grades!$A:$A,$B$4,Grades!$BO:$BO)=0,"-",IF(AND($B$4="Salary Points 2 to 57",B231&gt;=Thresholds_Rates!$C$16),$C231*Thresholds_Rates!$F$15,IF(AND(OR($B$4="New Consultant Contract"),$B231&lt;&gt;""),$C231*Thresholds_Rates!$F$15,IF(AND(OR($B$4="Clinical Lecturer / Medical Research Fellow",$B$4="Clinical Consultant - Old Contract (GP)"),$B231&lt;&gt;""),$C231*Thresholds_Rates!$F$15,IF(OR($B$4="APM Level 7",$B$4="R&amp;T Level 7"),$C231*Thresholds_Rates!$F$15,IF(SUMIF(Grades!$A:$A,$B$4,Grades!$BO:$BO)=1,$C231*Thresholds_Rates!$F$15,""))))))))</f>
        <v/>
      </c>
      <c r="K231" s="24" t="str">
        <f t="shared" si="18"/>
        <v/>
      </c>
      <c r="L231" s="24" t="str">
        <f t="shared" si="19"/>
        <v/>
      </c>
      <c r="M231" s="24" t="str">
        <f t="shared" si="20"/>
        <v/>
      </c>
      <c r="N231" s="24" t="str">
        <f t="shared" si="21"/>
        <v/>
      </c>
      <c r="O231" s="24" t="str">
        <f t="shared" si="22"/>
        <v/>
      </c>
    </row>
    <row r="232" spans="5:15" x14ac:dyDescent="0.25">
      <c r="E232" s="24" t="str">
        <f>IF($B232="","",IF(AND($B$4="Salary Points 2 to 57",B232&lt;Thresholds_Rates!$C$16),"-",IF(SUMIF(Grades!$A:$A,$B$4,Grades!$BO:$BO)=0,"-",IF(AND($B$4="Salary Points 2 to 57",B232&gt;=Thresholds_Rates!$C$16),$C232*Thresholds_Rates!$F$15,IF(AND(OR($B$4="New Consultant Contract"),$B232&lt;&gt;""),$C232*Thresholds_Rates!$F$15,IF(AND(OR($B$4="Clinical Lecturer / Medical Research Fellow",$B$4="Clinical Consultant - Old Contract (GP)"),$B232&lt;&gt;""),$C232*Thresholds_Rates!$F$15,IF(OR($B$4="APM Level 7",$B$4="R&amp;T Level 7"),$C232*Thresholds_Rates!$F$15,IF(SUMIF(Grades!$A:$A,$B$4,Grades!$BO:$BO)=1,$C232*Thresholds_Rates!$F$15,""))))))))</f>
        <v/>
      </c>
      <c r="K232" s="24" t="str">
        <f t="shared" si="18"/>
        <v/>
      </c>
      <c r="L232" s="24" t="str">
        <f t="shared" si="19"/>
        <v/>
      </c>
      <c r="M232" s="24" t="str">
        <f t="shared" si="20"/>
        <v/>
      </c>
      <c r="N232" s="24" t="str">
        <f t="shared" si="21"/>
        <v/>
      </c>
      <c r="O232" s="24" t="str">
        <f t="shared" si="22"/>
        <v/>
      </c>
    </row>
    <row r="233" spans="5:15" x14ac:dyDescent="0.25">
      <c r="E233" s="24" t="str">
        <f>IF($B233="","",IF(AND($B$4="Salary Points 2 to 57",B233&lt;Thresholds_Rates!$C$16),"-",IF(SUMIF(Grades!$A:$A,$B$4,Grades!$BO:$BO)=0,"-",IF(AND($B$4="Salary Points 2 to 57",B233&gt;=Thresholds_Rates!$C$16),$C233*Thresholds_Rates!$F$15,IF(AND(OR($B$4="New Consultant Contract"),$B233&lt;&gt;""),$C233*Thresholds_Rates!$F$15,IF(AND(OR($B$4="Clinical Lecturer / Medical Research Fellow",$B$4="Clinical Consultant - Old Contract (GP)"),$B233&lt;&gt;""),$C233*Thresholds_Rates!$F$15,IF(OR($B$4="APM Level 7",$B$4="R&amp;T Level 7"),$C233*Thresholds_Rates!$F$15,IF(SUMIF(Grades!$A:$A,$B$4,Grades!$BO:$BO)=1,$C233*Thresholds_Rates!$F$15,""))))))))</f>
        <v/>
      </c>
      <c r="K233" s="24" t="str">
        <f t="shared" si="18"/>
        <v/>
      </c>
      <c r="L233" s="24" t="str">
        <f t="shared" si="19"/>
        <v/>
      </c>
      <c r="M233" s="24" t="str">
        <f t="shared" si="20"/>
        <v/>
      </c>
      <c r="N233" s="24" t="str">
        <f t="shared" si="21"/>
        <v/>
      </c>
      <c r="O233" s="24" t="str">
        <f t="shared" si="22"/>
        <v/>
      </c>
    </row>
    <row r="234" spans="5:15" x14ac:dyDescent="0.25">
      <c r="E234" s="24" t="str">
        <f>IF($B234="","",IF(AND($B$4="Salary Points 2 to 57",B234&lt;Thresholds_Rates!$C$16),"-",IF(SUMIF(Grades!$A:$A,$B$4,Grades!$BO:$BO)=0,"-",IF(AND($B$4="Salary Points 2 to 57",B234&gt;=Thresholds_Rates!$C$16),$C234*Thresholds_Rates!$F$15,IF(AND(OR($B$4="New Consultant Contract"),$B234&lt;&gt;""),$C234*Thresholds_Rates!$F$15,IF(AND(OR($B$4="Clinical Lecturer / Medical Research Fellow",$B$4="Clinical Consultant - Old Contract (GP)"),$B234&lt;&gt;""),$C234*Thresholds_Rates!$F$15,IF(OR($B$4="APM Level 7",$B$4="R&amp;T Level 7"),$C234*Thresholds_Rates!$F$15,IF(SUMIF(Grades!$A:$A,$B$4,Grades!$BO:$BO)=1,$C234*Thresholds_Rates!$F$15,""))))))))</f>
        <v/>
      </c>
      <c r="K234" s="24" t="str">
        <f t="shared" si="18"/>
        <v/>
      </c>
      <c r="L234" s="24" t="str">
        <f t="shared" si="19"/>
        <v/>
      </c>
      <c r="M234" s="24" t="str">
        <f t="shared" si="20"/>
        <v/>
      </c>
      <c r="N234" s="24" t="str">
        <f t="shared" si="21"/>
        <v/>
      </c>
      <c r="O234" s="24" t="str">
        <f t="shared" si="22"/>
        <v/>
      </c>
    </row>
    <row r="235" spans="5:15" x14ac:dyDescent="0.25">
      <c r="E235" s="24" t="str">
        <f>IF($B235="","",IF(AND($B$4="Salary Points 2 to 57",B235&lt;Thresholds_Rates!$C$16),"-",IF(SUMIF(Grades!$A:$A,$B$4,Grades!$BO:$BO)=0,"-",IF(AND($B$4="Salary Points 2 to 57",B235&gt;=Thresholds_Rates!$C$16),$C235*Thresholds_Rates!$F$15,IF(AND(OR($B$4="New Consultant Contract"),$B235&lt;&gt;""),$C235*Thresholds_Rates!$F$15,IF(AND(OR($B$4="Clinical Lecturer / Medical Research Fellow",$B$4="Clinical Consultant - Old Contract (GP)"),$B235&lt;&gt;""),$C235*Thresholds_Rates!$F$15,IF(OR($B$4="APM Level 7",$B$4="R&amp;T Level 7"),$C235*Thresholds_Rates!$F$15,IF(SUMIF(Grades!$A:$A,$B$4,Grades!$BO:$BO)=1,$C235*Thresholds_Rates!$F$15,""))))))))</f>
        <v/>
      </c>
      <c r="K235" s="24" t="str">
        <f t="shared" si="18"/>
        <v/>
      </c>
      <c r="L235" s="24" t="str">
        <f t="shared" si="19"/>
        <v/>
      </c>
      <c r="M235" s="24" t="str">
        <f t="shared" si="20"/>
        <v/>
      </c>
      <c r="N235" s="24" t="str">
        <f t="shared" si="21"/>
        <v/>
      </c>
      <c r="O235" s="24" t="str">
        <f t="shared" si="22"/>
        <v/>
      </c>
    </row>
    <row r="236" spans="5:15" x14ac:dyDescent="0.25">
      <c r="E236" s="24" t="str">
        <f>IF($B236="","",IF(AND($B$4="Salary Points 2 to 57",B236&lt;Thresholds_Rates!$C$16),"-",IF(SUMIF(Grades!$A:$A,$B$4,Grades!$BO:$BO)=0,"-",IF(AND($B$4="Salary Points 2 to 57",B236&gt;=Thresholds_Rates!$C$16),$C236*Thresholds_Rates!$F$15,IF(AND(OR($B$4="New Consultant Contract"),$B236&lt;&gt;""),$C236*Thresholds_Rates!$F$15,IF(AND(OR($B$4="Clinical Lecturer / Medical Research Fellow",$B$4="Clinical Consultant - Old Contract (GP)"),$B236&lt;&gt;""),$C236*Thresholds_Rates!$F$15,IF(OR($B$4="APM Level 7",$B$4="R&amp;T Level 7"),$C236*Thresholds_Rates!$F$15,IF(SUMIF(Grades!$A:$A,$B$4,Grades!$BO:$BO)=1,$C236*Thresholds_Rates!$F$15,""))))))))</f>
        <v/>
      </c>
      <c r="K236" s="24" t="str">
        <f t="shared" si="18"/>
        <v/>
      </c>
      <c r="L236" s="24" t="str">
        <f t="shared" si="19"/>
        <v/>
      </c>
      <c r="M236" s="24" t="str">
        <f t="shared" si="20"/>
        <v/>
      </c>
      <c r="N236" s="24" t="str">
        <f t="shared" si="21"/>
        <v/>
      </c>
      <c r="O236" s="24" t="str">
        <f t="shared" si="22"/>
        <v/>
      </c>
    </row>
    <row r="237" spans="5:15" x14ac:dyDescent="0.25">
      <c r="E237" s="24" t="str">
        <f>IF($B237="","",IF(AND($B$4="Salary Points 2 to 57",B237&lt;Thresholds_Rates!$C$16),"-",IF(SUMIF(Grades!$A:$A,$B$4,Grades!$BO:$BO)=0,"-",IF(AND($B$4="Salary Points 2 to 57",B237&gt;=Thresholds_Rates!$C$16),$C237*Thresholds_Rates!$F$15,IF(AND(OR($B$4="New Consultant Contract"),$B237&lt;&gt;""),$C237*Thresholds_Rates!$F$15,IF(AND(OR($B$4="Clinical Lecturer / Medical Research Fellow",$B$4="Clinical Consultant - Old Contract (GP)"),$B237&lt;&gt;""),$C237*Thresholds_Rates!$F$15,IF(OR($B$4="APM Level 7",$B$4="R&amp;T Level 7"),$C237*Thresholds_Rates!$F$15,IF(SUMIF(Grades!$A:$A,$B$4,Grades!$BO:$BO)=1,$C237*Thresholds_Rates!$F$15,""))))))))</f>
        <v/>
      </c>
      <c r="K237" s="24" t="str">
        <f t="shared" si="18"/>
        <v/>
      </c>
      <c r="L237" s="24" t="str">
        <f t="shared" si="19"/>
        <v/>
      </c>
      <c r="M237" s="24" t="str">
        <f t="shared" si="20"/>
        <v/>
      </c>
      <c r="N237" s="24" t="str">
        <f t="shared" si="21"/>
        <v/>
      </c>
      <c r="O237" s="24" t="str">
        <f t="shared" si="22"/>
        <v/>
      </c>
    </row>
    <row r="238" spans="5:15" x14ac:dyDescent="0.25">
      <c r="E238" s="24" t="str">
        <f>IF($B238="","",IF(AND($B$4="Salary Points 2 to 57",B238&lt;Thresholds_Rates!$C$16),"-",IF(SUMIF(Grades!$A:$A,$B$4,Grades!$BO:$BO)=0,"-",IF(AND($B$4="Salary Points 2 to 57",B238&gt;=Thresholds_Rates!$C$16),$C238*Thresholds_Rates!$F$15,IF(AND(OR($B$4="New Consultant Contract"),$B238&lt;&gt;""),$C238*Thresholds_Rates!$F$15,IF(AND(OR($B$4="Clinical Lecturer / Medical Research Fellow",$B$4="Clinical Consultant - Old Contract (GP)"),$B238&lt;&gt;""),$C238*Thresholds_Rates!$F$15,IF(OR($B$4="APM Level 7",$B$4="R&amp;T Level 7"),$C238*Thresholds_Rates!$F$15,IF(SUMIF(Grades!$A:$A,$B$4,Grades!$BO:$BO)=1,$C238*Thresholds_Rates!$F$15,""))))))))</f>
        <v/>
      </c>
      <c r="K238" s="24" t="str">
        <f t="shared" si="18"/>
        <v/>
      </c>
      <c r="L238" s="24" t="str">
        <f t="shared" si="19"/>
        <v/>
      </c>
      <c r="M238" s="24" t="str">
        <f t="shared" si="20"/>
        <v/>
      </c>
      <c r="N238" s="24" t="str">
        <f t="shared" si="21"/>
        <v/>
      </c>
      <c r="O238" s="24" t="str">
        <f t="shared" si="22"/>
        <v/>
      </c>
    </row>
    <row r="239" spans="5:15" x14ac:dyDescent="0.25">
      <c r="E239" s="24" t="str">
        <f>IF($B239="","",IF(AND($B$4="Salary Points 2 to 57",B239&lt;Thresholds_Rates!$C$16),"-",IF(SUMIF(Grades!$A:$A,$B$4,Grades!$BO:$BO)=0,"-",IF(AND($B$4="Salary Points 2 to 57",B239&gt;=Thresholds_Rates!$C$16),$C239*Thresholds_Rates!$F$15,IF(AND(OR($B$4="New Consultant Contract"),$B239&lt;&gt;""),$C239*Thresholds_Rates!$F$15,IF(AND(OR($B$4="Clinical Lecturer / Medical Research Fellow",$B$4="Clinical Consultant - Old Contract (GP)"),$B239&lt;&gt;""),$C239*Thresholds_Rates!$F$15,IF(OR($B$4="APM Level 7",$B$4="R&amp;T Level 7"),$C239*Thresholds_Rates!$F$15,IF(SUMIF(Grades!$A:$A,$B$4,Grades!$BO:$BO)=1,$C239*Thresholds_Rates!$F$15,""))))))))</f>
        <v/>
      </c>
      <c r="K239" s="24" t="str">
        <f t="shared" si="18"/>
        <v/>
      </c>
      <c r="L239" s="24" t="str">
        <f t="shared" si="19"/>
        <v/>
      </c>
      <c r="M239" s="24" t="str">
        <f t="shared" si="20"/>
        <v/>
      </c>
      <c r="N239" s="24" t="str">
        <f t="shared" si="21"/>
        <v/>
      </c>
      <c r="O239" s="24" t="str">
        <f t="shared" si="22"/>
        <v/>
      </c>
    </row>
    <row r="240" spans="5:15" x14ac:dyDescent="0.25">
      <c r="E240" s="24" t="str">
        <f>IF($B240="","",IF(AND($B$4="Salary Points 2 to 57",B240&lt;Thresholds_Rates!$C$16),"-",IF(SUMIF(Grades!$A:$A,$B$4,Grades!$BO:$BO)=0,"-",IF(AND($B$4="Salary Points 2 to 57",B240&gt;=Thresholds_Rates!$C$16),$C240*Thresholds_Rates!$F$15,IF(AND(OR($B$4="New Consultant Contract"),$B240&lt;&gt;""),$C240*Thresholds_Rates!$F$15,IF(AND(OR($B$4="Clinical Lecturer / Medical Research Fellow",$B$4="Clinical Consultant - Old Contract (GP)"),$B240&lt;&gt;""),$C240*Thresholds_Rates!$F$15,IF(OR($B$4="APM Level 7",$B$4="R&amp;T Level 7"),$C240*Thresholds_Rates!$F$15,IF(SUMIF(Grades!$A:$A,$B$4,Grades!$BO:$BO)=1,$C240*Thresholds_Rates!$F$15,""))))))))</f>
        <v/>
      </c>
      <c r="K240" s="24" t="str">
        <f t="shared" si="18"/>
        <v/>
      </c>
      <c r="L240" s="24" t="str">
        <f t="shared" si="19"/>
        <v/>
      </c>
      <c r="M240" s="24" t="str">
        <f t="shared" si="20"/>
        <v/>
      </c>
      <c r="N240" s="24" t="str">
        <f t="shared" si="21"/>
        <v/>
      </c>
      <c r="O240" s="24" t="str">
        <f t="shared" si="22"/>
        <v/>
      </c>
    </row>
    <row r="241" spans="5:15" x14ac:dyDescent="0.25">
      <c r="E241" s="24" t="str">
        <f>IF($B241="","",IF(AND($B$4="Salary Points 2 to 57",B241&lt;Thresholds_Rates!$C$16),"-",IF(SUMIF(Grades!$A:$A,$B$4,Grades!$BO:$BO)=0,"-",IF(AND($B$4="Salary Points 2 to 57",B241&gt;=Thresholds_Rates!$C$16),$C241*Thresholds_Rates!$F$15,IF(AND(OR($B$4="New Consultant Contract"),$B241&lt;&gt;""),$C241*Thresholds_Rates!$F$15,IF(AND(OR($B$4="Clinical Lecturer / Medical Research Fellow",$B$4="Clinical Consultant - Old Contract (GP)"),$B241&lt;&gt;""),$C241*Thresholds_Rates!$F$15,IF(OR($B$4="APM Level 7",$B$4="R&amp;T Level 7"),$C241*Thresholds_Rates!$F$15,IF(SUMIF(Grades!$A:$A,$B$4,Grades!$BO:$BO)=1,$C241*Thresholds_Rates!$F$15,""))))))))</f>
        <v/>
      </c>
      <c r="K241" s="24" t="str">
        <f t="shared" si="18"/>
        <v/>
      </c>
      <c r="L241" s="24" t="str">
        <f t="shared" si="19"/>
        <v/>
      </c>
      <c r="M241" s="24" t="str">
        <f t="shared" si="20"/>
        <v/>
      </c>
      <c r="N241" s="24" t="str">
        <f t="shared" si="21"/>
        <v/>
      </c>
      <c r="O241" s="24" t="str">
        <f t="shared" si="22"/>
        <v/>
      </c>
    </row>
    <row r="242" spans="5:15" x14ac:dyDescent="0.25">
      <c r="E242" s="24" t="str">
        <f>IF($B242="","",IF(AND($B$4="Salary Points 2 to 57",B242&lt;Thresholds_Rates!$C$16),"-",IF(SUMIF(Grades!$A:$A,$B$4,Grades!$BO:$BO)=0,"-",IF(AND($B$4="Salary Points 2 to 57",B242&gt;=Thresholds_Rates!$C$16),$C242*Thresholds_Rates!$F$15,IF(AND(OR($B$4="New Consultant Contract"),$B242&lt;&gt;""),$C242*Thresholds_Rates!$F$15,IF(AND(OR($B$4="Clinical Lecturer / Medical Research Fellow",$B$4="Clinical Consultant - Old Contract (GP)"),$B242&lt;&gt;""),$C242*Thresholds_Rates!$F$15,IF(OR($B$4="APM Level 7",$B$4="R&amp;T Level 7"),$C242*Thresholds_Rates!$F$15,IF(SUMIF(Grades!$A:$A,$B$4,Grades!$BO:$BO)=1,$C242*Thresholds_Rates!$F$15,""))))))))</f>
        <v/>
      </c>
      <c r="K242" s="24" t="str">
        <f t="shared" si="18"/>
        <v/>
      </c>
      <c r="L242" s="24" t="str">
        <f t="shared" si="19"/>
        <v/>
      </c>
      <c r="M242" s="24" t="str">
        <f t="shared" si="20"/>
        <v/>
      </c>
      <c r="N242" s="24" t="str">
        <f t="shared" si="21"/>
        <v/>
      </c>
      <c r="O242" s="24" t="str">
        <f t="shared" si="22"/>
        <v/>
      </c>
    </row>
    <row r="243" spans="5:15" x14ac:dyDescent="0.25">
      <c r="E243" s="24" t="str">
        <f>IF($B243="","",IF(AND($B$4="Salary Points 2 to 57",B243&lt;Thresholds_Rates!$C$16),"-",IF(SUMIF(Grades!$A:$A,$B$4,Grades!$BO:$BO)=0,"-",IF(AND($B$4="Salary Points 2 to 57",B243&gt;=Thresholds_Rates!$C$16),$C243*Thresholds_Rates!$F$15,IF(AND(OR($B$4="New Consultant Contract"),$B243&lt;&gt;""),$C243*Thresholds_Rates!$F$15,IF(AND(OR($B$4="Clinical Lecturer / Medical Research Fellow",$B$4="Clinical Consultant - Old Contract (GP)"),$B243&lt;&gt;""),$C243*Thresholds_Rates!$F$15,IF(OR($B$4="APM Level 7",$B$4="R&amp;T Level 7"),$C243*Thresholds_Rates!$F$15,IF(SUMIF(Grades!$A:$A,$B$4,Grades!$BO:$BO)=1,$C243*Thresholds_Rates!$F$15,""))))))))</f>
        <v/>
      </c>
      <c r="K243" s="24" t="str">
        <f t="shared" si="18"/>
        <v/>
      </c>
      <c r="L243" s="24" t="str">
        <f t="shared" si="19"/>
        <v/>
      </c>
      <c r="M243" s="24" t="str">
        <f t="shared" si="20"/>
        <v/>
      </c>
      <c r="N243" s="24" t="str">
        <f t="shared" si="21"/>
        <v/>
      </c>
      <c r="O243" s="24" t="str">
        <f t="shared" si="22"/>
        <v/>
      </c>
    </row>
    <row r="244" spans="5:15" x14ac:dyDescent="0.25">
      <c r="E244" s="24" t="str">
        <f>IF($B244="","",IF(AND($B$4="Salary Points 2 to 57",B244&lt;Thresholds_Rates!$C$16),"-",IF(SUMIF(Grades!$A:$A,$B$4,Grades!$BO:$BO)=0,"-",IF(AND($B$4="Salary Points 2 to 57",B244&gt;=Thresholds_Rates!$C$16),$C244*Thresholds_Rates!$F$15,IF(AND(OR($B$4="New Consultant Contract"),$B244&lt;&gt;""),$C244*Thresholds_Rates!$F$15,IF(AND(OR($B$4="Clinical Lecturer / Medical Research Fellow",$B$4="Clinical Consultant - Old Contract (GP)"),$B244&lt;&gt;""),$C244*Thresholds_Rates!$F$15,IF(OR($B$4="APM Level 7",$B$4="R&amp;T Level 7"),$C244*Thresholds_Rates!$F$15,IF(SUMIF(Grades!$A:$A,$B$4,Grades!$BO:$BO)=1,$C244*Thresholds_Rates!$F$15,""))))))))</f>
        <v/>
      </c>
      <c r="K244" s="24" t="str">
        <f t="shared" si="18"/>
        <v/>
      </c>
      <c r="L244" s="24" t="str">
        <f t="shared" si="19"/>
        <v/>
      </c>
      <c r="M244" s="24" t="str">
        <f t="shared" si="20"/>
        <v/>
      </c>
      <c r="N244" s="24" t="str">
        <f t="shared" si="21"/>
        <v/>
      </c>
      <c r="O244" s="24" t="str">
        <f t="shared" si="22"/>
        <v/>
      </c>
    </row>
    <row r="245" spans="5:15" x14ac:dyDescent="0.25">
      <c r="E245" s="24" t="str">
        <f>IF($B245="","",IF(AND($B$4="Salary Points 2 to 57",B245&lt;Thresholds_Rates!$C$16),"-",IF(SUMIF(Grades!$A:$A,$B$4,Grades!$BO:$BO)=0,"-",IF(AND($B$4="Salary Points 2 to 57",B245&gt;=Thresholds_Rates!$C$16),$C245*Thresholds_Rates!$F$15,IF(AND(OR($B$4="New Consultant Contract"),$B245&lt;&gt;""),$C245*Thresholds_Rates!$F$15,IF(AND(OR($B$4="Clinical Lecturer / Medical Research Fellow",$B$4="Clinical Consultant - Old Contract (GP)"),$B245&lt;&gt;""),$C245*Thresholds_Rates!$F$15,IF(OR($B$4="APM Level 7",$B$4="R&amp;T Level 7"),$C245*Thresholds_Rates!$F$15,IF(SUMIF(Grades!$A:$A,$B$4,Grades!$BO:$BO)=1,$C245*Thresholds_Rates!$F$15,""))))))))</f>
        <v/>
      </c>
      <c r="K245" s="24" t="str">
        <f t="shared" si="18"/>
        <v/>
      </c>
      <c r="L245" s="24" t="str">
        <f t="shared" si="19"/>
        <v/>
      </c>
      <c r="M245" s="24" t="str">
        <f t="shared" si="20"/>
        <v/>
      </c>
      <c r="N245" s="24" t="str">
        <f t="shared" si="21"/>
        <v/>
      </c>
      <c r="O245" s="24" t="str">
        <f t="shared" si="22"/>
        <v/>
      </c>
    </row>
    <row r="246" spans="5:15" x14ac:dyDescent="0.25">
      <c r="E246" s="24" t="str">
        <f>IF($B246="","",IF(AND($B$4="Salary Points 2 to 57",B246&lt;Thresholds_Rates!$C$16),"-",IF(SUMIF(Grades!$A:$A,$B$4,Grades!$BO:$BO)=0,"-",IF(AND($B$4="Salary Points 2 to 57",B246&gt;=Thresholds_Rates!$C$16),$C246*Thresholds_Rates!$F$15,IF(AND(OR($B$4="New Consultant Contract"),$B246&lt;&gt;""),$C246*Thresholds_Rates!$F$15,IF(AND(OR($B$4="Clinical Lecturer / Medical Research Fellow",$B$4="Clinical Consultant - Old Contract (GP)"),$B246&lt;&gt;""),$C246*Thresholds_Rates!$F$15,IF(OR($B$4="APM Level 7",$B$4="R&amp;T Level 7"),$C246*Thresholds_Rates!$F$15,IF(SUMIF(Grades!$A:$A,$B$4,Grades!$BO:$BO)=1,$C246*Thresholds_Rates!$F$15,""))))))))</f>
        <v/>
      </c>
      <c r="K246" s="24" t="str">
        <f t="shared" si="18"/>
        <v/>
      </c>
      <c r="L246" s="24" t="str">
        <f t="shared" si="19"/>
        <v/>
      </c>
      <c r="M246" s="24" t="str">
        <f t="shared" si="20"/>
        <v/>
      </c>
      <c r="N246" s="24" t="str">
        <f t="shared" si="21"/>
        <v/>
      </c>
      <c r="O246" s="24" t="str">
        <f t="shared" si="22"/>
        <v/>
      </c>
    </row>
    <row r="247" spans="5:15" x14ac:dyDescent="0.25">
      <c r="E247" s="24" t="str">
        <f>IF($B247="","",IF(AND($B$4="Salary Points 2 to 57",B247&lt;Thresholds_Rates!$C$16),"-",IF(SUMIF(Grades!$A:$A,$B$4,Grades!$BO:$BO)=0,"-",IF(AND($B$4="Salary Points 2 to 57",B247&gt;=Thresholds_Rates!$C$16),$C247*Thresholds_Rates!$F$15,IF(AND(OR($B$4="New Consultant Contract"),$B247&lt;&gt;""),$C247*Thresholds_Rates!$F$15,IF(AND(OR($B$4="Clinical Lecturer / Medical Research Fellow",$B$4="Clinical Consultant - Old Contract (GP)"),$B247&lt;&gt;""),$C247*Thresholds_Rates!$F$15,IF(OR($B$4="APM Level 7",$B$4="R&amp;T Level 7"),$C247*Thresholds_Rates!$F$15,IF(SUMIF(Grades!$A:$A,$B$4,Grades!$BO:$BO)=1,$C247*Thresholds_Rates!$F$15,""))))))))</f>
        <v/>
      </c>
      <c r="K247" s="24" t="str">
        <f t="shared" si="18"/>
        <v/>
      </c>
      <c r="L247" s="24" t="str">
        <f t="shared" si="19"/>
        <v/>
      </c>
      <c r="M247" s="24" t="str">
        <f t="shared" si="20"/>
        <v/>
      </c>
      <c r="N247" s="24" t="str">
        <f t="shared" si="21"/>
        <v/>
      </c>
      <c r="O247" s="24" t="str">
        <f t="shared" si="22"/>
        <v/>
      </c>
    </row>
    <row r="248" spans="5:15" x14ac:dyDescent="0.25">
      <c r="E248" s="24" t="str">
        <f>IF($B248="","",IF(AND($B$4="Salary Points 2 to 57",B248&lt;Thresholds_Rates!$C$16),"-",IF(SUMIF(Grades!$A:$A,$B$4,Grades!$BO:$BO)=0,"-",IF(AND($B$4="Salary Points 2 to 57",B248&gt;=Thresholds_Rates!$C$16),$C248*Thresholds_Rates!$F$15,IF(AND(OR($B$4="New Consultant Contract"),$B248&lt;&gt;""),$C248*Thresholds_Rates!$F$15,IF(AND(OR($B$4="Clinical Lecturer / Medical Research Fellow",$B$4="Clinical Consultant - Old Contract (GP)"),$B248&lt;&gt;""),$C248*Thresholds_Rates!$F$15,IF(OR($B$4="APM Level 7",$B$4="R&amp;T Level 7"),$C248*Thresholds_Rates!$F$15,IF(SUMIF(Grades!$A:$A,$B$4,Grades!$BO:$BO)=1,$C248*Thresholds_Rates!$F$15,""))))))))</f>
        <v/>
      </c>
      <c r="K248" s="24" t="str">
        <f t="shared" si="18"/>
        <v/>
      </c>
      <c r="L248" s="24" t="str">
        <f t="shared" si="19"/>
        <v/>
      </c>
      <c r="M248" s="24" t="str">
        <f t="shared" si="20"/>
        <v/>
      </c>
      <c r="N248" s="24" t="str">
        <f t="shared" si="21"/>
        <v/>
      </c>
      <c r="O248" s="24" t="str">
        <f t="shared" si="22"/>
        <v/>
      </c>
    </row>
    <row r="249" spans="5:15" x14ac:dyDescent="0.25">
      <c r="E249" s="24" t="str">
        <f>IF($B249="","",IF(AND($B$4="Salary Points 2 to 57",B249&lt;Thresholds_Rates!$C$16),"-",IF(SUMIF(Grades!$A:$A,$B$4,Grades!$BO:$BO)=0,"-",IF(AND($B$4="Salary Points 2 to 57",B249&gt;=Thresholds_Rates!$C$16),$C249*Thresholds_Rates!$F$15,IF(AND(OR($B$4="New Consultant Contract"),$B249&lt;&gt;""),$C249*Thresholds_Rates!$F$15,IF(AND(OR($B$4="Clinical Lecturer / Medical Research Fellow",$B$4="Clinical Consultant - Old Contract (GP)"),$B249&lt;&gt;""),$C249*Thresholds_Rates!$F$15,IF(OR($B$4="APM Level 7",$B$4="R&amp;T Level 7"),$C249*Thresholds_Rates!$F$15,IF(SUMIF(Grades!$A:$A,$B$4,Grades!$BO:$BO)=1,$C249*Thresholds_Rates!$F$15,""))))))))</f>
        <v/>
      </c>
      <c r="K249" s="24" t="str">
        <f t="shared" si="18"/>
        <v/>
      </c>
      <c r="L249" s="24" t="str">
        <f t="shared" si="19"/>
        <v/>
      </c>
      <c r="M249" s="24" t="str">
        <f t="shared" si="20"/>
        <v/>
      </c>
      <c r="N249" s="24" t="str">
        <f t="shared" si="21"/>
        <v/>
      </c>
      <c r="O249" s="24" t="str">
        <f t="shared" si="22"/>
        <v/>
      </c>
    </row>
    <row r="250" spans="5:15" x14ac:dyDescent="0.25">
      <c r="E250" s="24" t="str">
        <f>IF($B250="","",IF(AND($B$4="Salary Points 2 to 57",B250&lt;Thresholds_Rates!$C$16),"-",IF(SUMIF(Grades!$A:$A,$B$4,Grades!$BO:$BO)=0,"-",IF(AND($B$4="Salary Points 2 to 57",B250&gt;=Thresholds_Rates!$C$16),$C250*Thresholds_Rates!$F$15,IF(AND(OR($B$4="New Consultant Contract"),$B250&lt;&gt;""),$C250*Thresholds_Rates!$F$15,IF(AND(OR($B$4="Clinical Lecturer / Medical Research Fellow",$B$4="Clinical Consultant - Old Contract (GP)"),$B250&lt;&gt;""),$C250*Thresholds_Rates!$F$15,IF(OR($B$4="APM Level 7",$B$4="R&amp;T Level 7"),$C250*Thresholds_Rates!$F$15,IF(SUMIF(Grades!$A:$A,$B$4,Grades!$BO:$BO)=1,$C250*Thresholds_Rates!$F$15,""))))))))</f>
        <v/>
      </c>
      <c r="K250" s="24" t="str">
        <f t="shared" si="18"/>
        <v/>
      </c>
      <c r="L250" s="24" t="str">
        <f t="shared" si="19"/>
        <v/>
      </c>
      <c r="M250" s="24" t="str">
        <f t="shared" si="20"/>
        <v/>
      </c>
      <c r="N250" s="24" t="str">
        <f t="shared" si="21"/>
        <v/>
      </c>
      <c r="O250" s="24" t="str">
        <f t="shared" si="22"/>
        <v/>
      </c>
    </row>
    <row r="251" spans="5:15" x14ac:dyDescent="0.25">
      <c r="E251" s="24" t="str">
        <f>IF($B251="","",IF(AND($B$4="Salary Points 2 to 57",B251&lt;Thresholds_Rates!$C$16),"-",IF(SUMIF(Grades!$A:$A,$B$4,Grades!$BO:$BO)=0,"-",IF(AND($B$4="Salary Points 2 to 57",B251&gt;=Thresholds_Rates!$C$16),$C251*Thresholds_Rates!$F$15,IF(AND(OR($B$4="New Consultant Contract"),$B251&lt;&gt;""),$C251*Thresholds_Rates!$F$15,IF(AND(OR($B$4="Clinical Lecturer / Medical Research Fellow",$B$4="Clinical Consultant - Old Contract (GP)"),$B251&lt;&gt;""),$C251*Thresholds_Rates!$F$15,IF(OR($B$4="APM Level 7",$B$4="R&amp;T Level 7"),$C251*Thresholds_Rates!$F$15,IF(SUMIF(Grades!$A:$A,$B$4,Grades!$BO:$BO)=1,$C251*Thresholds_Rates!$F$15,""))))))))</f>
        <v/>
      </c>
      <c r="K251" s="24" t="str">
        <f t="shared" si="18"/>
        <v/>
      </c>
      <c r="L251" s="24" t="str">
        <f t="shared" si="19"/>
        <v/>
      </c>
      <c r="M251" s="24" t="str">
        <f t="shared" si="20"/>
        <v/>
      </c>
      <c r="N251" s="24" t="str">
        <f t="shared" si="21"/>
        <v/>
      </c>
      <c r="O251" s="24" t="str">
        <f t="shared" si="22"/>
        <v/>
      </c>
    </row>
    <row r="252" spans="5:15" x14ac:dyDescent="0.25">
      <c r="E252" s="24" t="str">
        <f>IF($B252="","",IF(AND($B$4="Salary Points 2 to 57",B252&lt;Thresholds_Rates!$C$16),"-",IF(SUMIF(Grades!$A:$A,$B$4,Grades!$BO:$BO)=0,"-",IF(AND($B$4="Salary Points 2 to 57",B252&gt;=Thresholds_Rates!$C$16),$C252*Thresholds_Rates!$F$15,IF(AND(OR($B$4="New Consultant Contract"),$B252&lt;&gt;""),$C252*Thresholds_Rates!$F$15,IF(AND(OR($B$4="Clinical Lecturer / Medical Research Fellow",$B$4="Clinical Consultant - Old Contract (GP)"),$B252&lt;&gt;""),$C252*Thresholds_Rates!$F$15,IF(OR($B$4="APM Level 7",$B$4="R&amp;T Level 7"),$C252*Thresholds_Rates!$F$15,IF(SUMIF(Grades!$A:$A,$B$4,Grades!$BO:$BO)=1,$C252*Thresholds_Rates!$F$15,""))))))))</f>
        <v/>
      </c>
      <c r="K252" s="24" t="str">
        <f t="shared" si="18"/>
        <v/>
      </c>
      <c r="L252" s="24" t="str">
        <f t="shared" si="19"/>
        <v/>
      </c>
      <c r="M252" s="24" t="str">
        <f t="shared" si="20"/>
        <v/>
      </c>
      <c r="N252" s="24" t="str">
        <f t="shared" si="21"/>
        <v/>
      </c>
      <c r="O252" s="24" t="str">
        <f t="shared" si="22"/>
        <v/>
      </c>
    </row>
    <row r="253" spans="5:15" x14ac:dyDescent="0.25">
      <c r="E253" s="24" t="str">
        <f>IF($B253="","",IF(AND($B$4="Salary Points 2 to 57",B253&lt;Thresholds_Rates!$C$16),"-",IF(SUMIF(Grades!$A:$A,$B$4,Grades!$BO:$BO)=0,"-",IF(AND($B$4="Salary Points 2 to 57",B253&gt;=Thresholds_Rates!$C$16),$C253*Thresholds_Rates!$F$15,IF(AND(OR($B$4="New Consultant Contract"),$B253&lt;&gt;""),$C253*Thresholds_Rates!$F$15,IF(AND(OR($B$4="Clinical Lecturer / Medical Research Fellow",$B$4="Clinical Consultant - Old Contract (GP)"),$B253&lt;&gt;""),$C253*Thresholds_Rates!$F$15,IF(OR($B$4="APM Level 7",$B$4="R&amp;T Level 7"),$C253*Thresholds_Rates!$F$15,IF(SUMIF(Grades!$A:$A,$B$4,Grades!$BO:$BO)=1,$C253*Thresholds_Rates!$F$15,""))))))))</f>
        <v/>
      </c>
      <c r="K253" s="24" t="str">
        <f t="shared" si="18"/>
        <v/>
      </c>
      <c r="L253" s="24" t="str">
        <f t="shared" si="19"/>
        <v/>
      </c>
      <c r="M253" s="24" t="str">
        <f t="shared" si="20"/>
        <v/>
      </c>
      <c r="N253" s="24" t="str">
        <f t="shared" si="21"/>
        <v/>
      </c>
      <c r="O253" s="24" t="str">
        <f t="shared" si="22"/>
        <v/>
      </c>
    </row>
    <row r="254" spans="5:15" x14ac:dyDescent="0.25">
      <c r="E254" s="24" t="str">
        <f>IF($B254="","",IF(AND($B$4="Salary Points 2 to 57",B254&lt;Thresholds_Rates!$C$16),"-",IF(SUMIF(Grades!$A:$A,$B$4,Grades!$BO:$BO)=0,"-",IF(AND($B$4="Salary Points 2 to 57",B254&gt;=Thresholds_Rates!$C$16),$C254*Thresholds_Rates!$F$15,IF(AND(OR($B$4="New Consultant Contract"),$B254&lt;&gt;""),$C254*Thresholds_Rates!$F$15,IF(AND(OR($B$4="Clinical Lecturer / Medical Research Fellow",$B$4="Clinical Consultant - Old Contract (GP)"),$B254&lt;&gt;""),$C254*Thresholds_Rates!$F$15,IF(OR($B$4="APM Level 7",$B$4="R&amp;T Level 7"),$C254*Thresholds_Rates!$F$15,IF(SUMIF(Grades!$A:$A,$B$4,Grades!$BO:$BO)=1,$C254*Thresholds_Rates!$F$15,""))))))))</f>
        <v/>
      </c>
      <c r="K254" s="24" t="str">
        <f t="shared" si="18"/>
        <v/>
      </c>
      <c r="L254" s="24" t="str">
        <f t="shared" si="19"/>
        <v/>
      </c>
      <c r="M254" s="24" t="str">
        <f t="shared" si="20"/>
        <v/>
      </c>
      <c r="N254" s="24" t="str">
        <f t="shared" si="21"/>
        <v/>
      </c>
      <c r="O254" s="24" t="str">
        <f t="shared" si="22"/>
        <v/>
      </c>
    </row>
    <row r="255" spans="5:15" x14ac:dyDescent="0.25">
      <c r="E255" s="24" t="str">
        <f>IF($B255="","",IF(AND($B$4="Salary Points 2 to 57",B255&lt;Thresholds_Rates!$C$16),"-",IF(SUMIF(Grades!$A:$A,$B$4,Grades!$BO:$BO)=0,"-",IF(AND($B$4="Salary Points 2 to 57",B255&gt;=Thresholds_Rates!$C$16),$C255*Thresholds_Rates!$F$15,IF(AND(OR($B$4="New Consultant Contract"),$B255&lt;&gt;""),$C255*Thresholds_Rates!$F$15,IF(AND(OR($B$4="Clinical Lecturer / Medical Research Fellow",$B$4="Clinical Consultant - Old Contract (GP)"),$B255&lt;&gt;""),$C255*Thresholds_Rates!$F$15,IF(OR($B$4="APM Level 7",$B$4="R&amp;T Level 7"),$C255*Thresholds_Rates!$F$15,IF(SUMIF(Grades!$A:$A,$B$4,Grades!$BO:$BO)=1,$C255*Thresholds_Rates!$F$15,""))))))))</f>
        <v/>
      </c>
      <c r="K255" s="24" t="str">
        <f t="shared" si="18"/>
        <v/>
      </c>
      <c r="L255" s="24" t="str">
        <f t="shared" si="19"/>
        <v/>
      </c>
      <c r="M255" s="24" t="str">
        <f t="shared" si="20"/>
        <v/>
      </c>
      <c r="N255" s="24" t="str">
        <f t="shared" si="21"/>
        <v/>
      </c>
      <c r="O255" s="24" t="str">
        <f t="shared" si="22"/>
        <v/>
      </c>
    </row>
    <row r="256" spans="5:15" x14ac:dyDescent="0.25">
      <c r="E256" s="24" t="str">
        <f>IF($B256="","",IF(AND($B$4="Salary Points 2 to 57",B256&lt;Thresholds_Rates!$C$16),"-",IF(SUMIF(Grades!$A:$A,$B$4,Grades!$BO:$BO)=0,"-",IF(AND($B$4="Salary Points 2 to 57",B256&gt;=Thresholds_Rates!$C$16),$C256*Thresholds_Rates!$F$15,IF(AND(OR($B$4="New Consultant Contract"),$B256&lt;&gt;""),$C256*Thresholds_Rates!$F$15,IF(AND(OR($B$4="Clinical Lecturer / Medical Research Fellow",$B$4="Clinical Consultant - Old Contract (GP)"),$B256&lt;&gt;""),$C256*Thresholds_Rates!$F$15,IF(OR($B$4="APM Level 7",$B$4="R&amp;T Level 7"),$C256*Thresholds_Rates!$F$15,IF(SUMIF(Grades!$A:$A,$B$4,Grades!$BO:$BO)=1,$C256*Thresholds_Rates!$F$15,""))))))))</f>
        <v/>
      </c>
      <c r="K256" s="24" t="str">
        <f t="shared" si="18"/>
        <v/>
      </c>
      <c r="L256" s="24" t="str">
        <f t="shared" si="19"/>
        <v/>
      </c>
      <c r="M256" s="24" t="str">
        <f t="shared" si="20"/>
        <v/>
      </c>
      <c r="N256" s="24" t="str">
        <f t="shared" si="21"/>
        <v/>
      </c>
      <c r="O256" s="24" t="str">
        <f t="shared" si="22"/>
        <v/>
      </c>
    </row>
    <row r="257" spans="5:15" x14ac:dyDescent="0.25">
      <c r="E257" s="24" t="str">
        <f>IF($B257="","",IF(AND($B$4="Salary Points 2 to 57",B257&lt;Thresholds_Rates!$C$16),"-",IF(SUMIF(Grades!$A:$A,$B$4,Grades!$BO:$BO)=0,"-",IF(AND($B$4="Salary Points 2 to 57",B257&gt;=Thresholds_Rates!$C$16),$C257*Thresholds_Rates!$F$15,IF(AND(OR($B$4="New Consultant Contract"),$B257&lt;&gt;""),$C257*Thresholds_Rates!$F$15,IF(AND(OR($B$4="Clinical Lecturer / Medical Research Fellow",$B$4="Clinical Consultant - Old Contract (GP)"),$B257&lt;&gt;""),$C257*Thresholds_Rates!$F$15,IF(OR($B$4="APM Level 7",$B$4="R&amp;T Level 7"),$C257*Thresholds_Rates!$F$15,IF(SUMIF(Grades!$A:$A,$B$4,Grades!$BO:$BO)=1,$C257*Thresholds_Rates!$F$15,""))))))))</f>
        <v/>
      </c>
      <c r="K257" s="24" t="str">
        <f t="shared" si="18"/>
        <v/>
      </c>
      <c r="L257" s="24" t="str">
        <f t="shared" si="19"/>
        <v/>
      </c>
      <c r="M257" s="24" t="str">
        <f t="shared" si="20"/>
        <v/>
      </c>
      <c r="N257" s="24" t="str">
        <f t="shared" si="21"/>
        <v/>
      </c>
      <c r="O257" s="24" t="str">
        <f t="shared" si="22"/>
        <v/>
      </c>
    </row>
    <row r="258" spans="5:15" x14ac:dyDescent="0.25">
      <c r="E258" s="24" t="str">
        <f>IF($B258="","",IF(AND($B$4="Salary Points 2 to 57",B258&lt;Thresholds_Rates!$C$16),"-",IF(SUMIF(Grades!$A:$A,$B$4,Grades!$BO:$BO)=0,"-",IF(AND($B$4="Salary Points 2 to 57",B258&gt;=Thresholds_Rates!$C$16),$C258*Thresholds_Rates!$F$15,IF(AND(OR($B$4="New Consultant Contract"),$B258&lt;&gt;""),$C258*Thresholds_Rates!$F$15,IF(AND(OR($B$4="Clinical Lecturer / Medical Research Fellow",$B$4="Clinical Consultant - Old Contract (GP)"),$B258&lt;&gt;""),$C258*Thresholds_Rates!$F$15,IF(OR($B$4="APM Level 7",$B$4="R&amp;T Level 7"),$C258*Thresholds_Rates!$F$15,IF(SUMIF(Grades!$A:$A,$B$4,Grades!$BO:$BO)=1,$C258*Thresholds_Rates!$F$15,""))))))))</f>
        <v/>
      </c>
      <c r="K258" s="24" t="str">
        <f t="shared" si="18"/>
        <v/>
      </c>
      <c r="L258" s="24" t="str">
        <f t="shared" si="19"/>
        <v/>
      </c>
      <c r="M258" s="24" t="str">
        <f t="shared" si="20"/>
        <v/>
      </c>
      <c r="N258" s="24" t="str">
        <f t="shared" si="21"/>
        <v/>
      </c>
      <c r="O258" s="24" t="str">
        <f t="shared" si="22"/>
        <v/>
      </c>
    </row>
    <row r="259" spans="5:15" x14ac:dyDescent="0.25">
      <c r="E259" s="24" t="str">
        <f>IF($B259="","",IF(AND($B$4="Salary Points 2 to 57",B259&lt;Thresholds_Rates!$C$16),"-",IF(SUMIF(Grades!$A:$A,$B$4,Grades!$BO:$BO)=0,"-",IF(AND($B$4="Salary Points 2 to 57",B259&gt;=Thresholds_Rates!$C$16),$C259*Thresholds_Rates!$F$15,IF(AND(OR($B$4="New Consultant Contract"),$B259&lt;&gt;""),$C259*Thresholds_Rates!$F$15,IF(AND(OR($B$4="Clinical Lecturer / Medical Research Fellow",$B$4="Clinical Consultant - Old Contract (GP)"),$B259&lt;&gt;""),$C259*Thresholds_Rates!$F$15,IF(OR($B$4="APM Level 7",$B$4="R&amp;T Level 7"),$C259*Thresholds_Rates!$F$15,IF(SUMIF(Grades!$A:$A,$B$4,Grades!$BO:$BO)=1,$C259*Thresholds_Rates!$F$15,""))))))))</f>
        <v/>
      </c>
      <c r="K259" s="24" t="str">
        <f t="shared" si="18"/>
        <v/>
      </c>
      <c r="L259" s="24" t="str">
        <f t="shared" si="19"/>
        <v/>
      </c>
      <c r="M259" s="24" t="str">
        <f t="shared" si="20"/>
        <v/>
      </c>
      <c r="N259" s="24" t="str">
        <f t="shared" si="21"/>
        <v/>
      </c>
      <c r="O259" s="24" t="str">
        <f t="shared" si="22"/>
        <v/>
      </c>
    </row>
    <row r="260" spans="5:15" x14ac:dyDescent="0.25">
      <c r="E260" s="24" t="str">
        <f>IF($B260="","",IF(AND($B$4="Salary Points 2 to 57",B260&lt;Thresholds_Rates!$C$16),"-",IF(SUMIF(Grades!$A:$A,$B$4,Grades!$BO:$BO)=0,"-",IF(AND($B$4="Salary Points 2 to 57",B260&gt;=Thresholds_Rates!$C$16),$C260*Thresholds_Rates!$F$15,IF(AND(OR($B$4="New Consultant Contract"),$B260&lt;&gt;""),$C260*Thresholds_Rates!$F$15,IF(AND(OR($B$4="Clinical Lecturer / Medical Research Fellow",$B$4="Clinical Consultant - Old Contract (GP)"),$B260&lt;&gt;""),$C260*Thresholds_Rates!$F$15,IF(OR($B$4="APM Level 7",$B$4="R&amp;T Level 7"),$C260*Thresholds_Rates!$F$15,IF(SUMIF(Grades!$A:$A,$B$4,Grades!$BO:$BO)=1,$C260*Thresholds_Rates!$F$15,""))))))))</f>
        <v/>
      </c>
      <c r="K260" s="24" t="str">
        <f t="shared" si="18"/>
        <v/>
      </c>
      <c r="L260" s="24" t="str">
        <f t="shared" si="19"/>
        <v/>
      </c>
      <c r="M260" s="24" t="str">
        <f t="shared" si="20"/>
        <v/>
      </c>
      <c r="N260" s="24" t="str">
        <f t="shared" si="21"/>
        <v/>
      </c>
      <c r="O260" s="24" t="str">
        <f t="shared" si="22"/>
        <v/>
      </c>
    </row>
    <row r="261" spans="5:15" x14ac:dyDescent="0.25">
      <c r="E261" s="24" t="str">
        <f>IF($B261="","",IF(AND($B$4="Salary Points 2 to 57",B261&lt;Thresholds_Rates!$C$16),"-",IF(SUMIF(Grades!$A:$A,$B$4,Grades!$BO:$BO)=0,"-",IF(AND($B$4="Salary Points 2 to 57",B261&gt;=Thresholds_Rates!$C$16),$C261*Thresholds_Rates!$F$15,IF(AND(OR($B$4="New Consultant Contract"),$B261&lt;&gt;""),$C261*Thresholds_Rates!$F$15,IF(AND(OR($B$4="Clinical Lecturer / Medical Research Fellow",$B$4="Clinical Consultant - Old Contract (GP)"),$B261&lt;&gt;""),$C261*Thresholds_Rates!$F$15,IF(OR($B$4="APM Level 7",$B$4="R&amp;T Level 7"),$C261*Thresholds_Rates!$F$15,IF(SUMIF(Grades!$A:$A,$B$4,Grades!$BO:$BO)=1,$C261*Thresholds_Rates!$F$15,""))))))))</f>
        <v/>
      </c>
      <c r="K261" s="24" t="str">
        <f t="shared" si="18"/>
        <v/>
      </c>
      <c r="L261" s="24" t="str">
        <f t="shared" si="19"/>
        <v/>
      </c>
      <c r="M261" s="24" t="str">
        <f t="shared" si="20"/>
        <v/>
      </c>
      <c r="N261" s="24" t="str">
        <f t="shared" si="21"/>
        <v/>
      </c>
      <c r="O261" s="24" t="str">
        <f t="shared" si="22"/>
        <v/>
      </c>
    </row>
    <row r="262" spans="5:15" x14ac:dyDescent="0.25">
      <c r="E262" s="24" t="str">
        <f>IF($B262="","",IF(AND($B$4="Salary Points 2 to 57",B262&lt;Thresholds_Rates!$C$16),"-",IF(SUMIF(Grades!$A:$A,$B$4,Grades!$BO:$BO)=0,"-",IF(AND($B$4="Salary Points 2 to 57",B262&gt;=Thresholds_Rates!$C$16),$C262*Thresholds_Rates!$F$15,IF(AND(OR($B$4="New Consultant Contract"),$B262&lt;&gt;""),$C262*Thresholds_Rates!$F$15,IF(AND(OR($B$4="Clinical Lecturer / Medical Research Fellow",$B$4="Clinical Consultant - Old Contract (GP)"),$B262&lt;&gt;""),$C262*Thresholds_Rates!$F$15,IF(OR($B$4="APM Level 7",$B$4="R&amp;T Level 7"),$C262*Thresholds_Rates!$F$15,IF(SUMIF(Grades!$A:$A,$B$4,Grades!$BO:$BO)=1,$C262*Thresholds_Rates!$F$15,""))))))))</f>
        <v/>
      </c>
      <c r="K262" s="24" t="str">
        <f t="shared" si="18"/>
        <v/>
      </c>
      <c r="L262" s="24" t="str">
        <f t="shared" si="19"/>
        <v/>
      </c>
      <c r="M262" s="24" t="str">
        <f t="shared" si="20"/>
        <v/>
      </c>
      <c r="N262" s="24" t="str">
        <f t="shared" si="21"/>
        <v/>
      </c>
      <c r="O262" s="24" t="str">
        <f t="shared" si="22"/>
        <v/>
      </c>
    </row>
    <row r="263" spans="5:15" x14ac:dyDescent="0.25">
      <c r="E263" s="24" t="str">
        <f>IF($B263="","",IF(AND($B$4="Salary Points 2 to 57",B263&lt;Thresholds_Rates!$C$16),"-",IF(SUMIF(Grades!$A:$A,$B$4,Grades!$BO:$BO)=0,"-",IF(AND($B$4="Salary Points 2 to 57",B263&gt;=Thresholds_Rates!$C$16),$C263*Thresholds_Rates!$F$15,IF(AND(OR($B$4="New Consultant Contract"),$B263&lt;&gt;""),$C263*Thresholds_Rates!$F$15,IF(AND(OR($B$4="Clinical Lecturer / Medical Research Fellow",$B$4="Clinical Consultant - Old Contract (GP)"),$B263&lt;&gt;""),$C263*Thresholds_Rates!$F$15,IF(OR($B$4="APM Level 7",$B$4="R&amp;T Level 7"),$C263*Thresholds_Rates!$F$15,IF(SUMIF(Grades!$A:$A,$B$4,Grades!$BO:$BO)=1,$C263*Thresholds_Rates!$F$15,""))))))))</f>
        <v/>
      </c>
      <c r="K263" s="24" t="str">
        <f t="shared" si="18"/>
        <v/>
      </c>
      <c r="L263" s="24" t="str">
        <f t="shared" si="19"/>
        <v/>
      </c>
      <c r="M263" s="24" t="str">
        <f t="shared" si="20"/>
        <v/>
      </c>
      <c r="N263" s="24" t="str">
        <f t="shared" si="21"/>
        <v/>
      </c>
      <c r="O263" s="24" t="str">
        <f t="shared" si="22"/>
        <v/>
      </c>
    </row>
    <row r="264" spans="5:15" x14ac:dyDescent="0.25">
      <c r="E264" s="24" t="str">
        <f>IF($B264="","",IF(AND($B$4="Salary Points 2 to 57",B264&lt;Thresholds_Rates!$C$16),"-",IF(SUMIF(Grades!$A:$A,$B$4,Grades!$BO:$BO)=0,"-",IF(AND($B$4="Salary Points 2 to 57",B264&gt;=Thresholds_Rates!$C$16),$C264*Thresholds_Rates!$F$15,IF(AND(OR($B$4="New Consultant Contract"),$B264&lt;&gt;""),$C264*Thresholds_Rates!$F$15,IF(AND(OR($B$4="Clinical Lecturer / Medical Research Fellow",$B$4="Clinical Consultant - Old Contract (GP)"),$B264&lt;&gt;""),$C264*Thresholds_Rates!$F$15,IF(OR($B$4="APM Level 7",$B$4="R&amp;T Level 7"),$C264*Thresholds_Rates!$F$15,IF(SUMIF(Grades!$A:$A,$B$4,Grades!$BO:$BO)=1,$C264*Thresholds_Rates!$F$15,""))))))))</f>
        <v/>
      </c>
      <c r="K264" s="24" t="str">
        <f t="shared" si="18"/>
        <v/>
      </c>
      <c r="L264" s="24" t="str">
        <f t="shared" si="19"/>
        <v/>
      </c>
      <c r="M264" s="24" t="str">
        <f t="shared" si="20"/>
        <v/>
      </c>
      <c r="N264" s="24" t="str">
        <f t="shared" si="21"/>
        <v/>
      </c>
      <c r="O264" s="24" t="str">
        <f t="shared" si="22"/>
        <v/>
      </c>
    </row>
    <row r="265" spans="5:15" x14ac:dyDescent="0.25">
      <c r="E265" s="24" t="str">
        <f>IF($B265="","",IF(AND($B$4="Salary Points 2 to 57",B265&lt;Thresholds_Rates!$C$16),"-",IF(SUMIF(Grades!$A:$A,$B$4,Grades!$BO:$BO)=0,"-",IF(AND($B$4="Salary Points 2 to 57",B265&gt;=Thresholds_Rates!$C$16),$C265*Thresholds_Rates!$F$15,IF(AND(OR($B$4="New Consultant Contract"),$B265&lt;&gt;""),$C265*Thresholds_Rates!$F$15,IF(AND(OR($B$4="Clinical Lecturer / Medical Research Fellow",$B$4="Clinical Consultant - Old Contract (GP)"),$B265&lt;&gt;""),$C265*Thresholds_Rates!$F$15,IF(OR($B$4="APM Level 7",$B$4="R&amp;T Level 7"),$C265*Thresholds_Rates!$F$15,IF(SUMIF(Grades!$A:$A,$B$4,Grades!$BO:$BO)=1,$C265*Thresholds_Rates!$F$15,""))))))))</f>
        <v/>
      </c>
      <c r="K265" s="24" t="str">
        <f t="shared" ref="K265:K303" si="23">IF(B265="","",IF(E265="-","-",$C265+$H265+E265))</f>
        <v/>
      </c>
      <c r="L265" s="24" t="str">
        <f t="shared" ref="L265:L303" si="24">IF(B265="","",IF(F265="-","-",$C265+$H265+F265))</f>
        <v/>
      </c>
      <c r="M265" s="24" t="str">
        <f t="shared" ref="M265:M303" si="25">IF(B265="","",IF(G265="-","-",$C265+$H265+G265))</f>
        <v/>
      </c>
      <c r="N265" s="24" t="str">
        <f t="shared" ref="N265:N303" si="26">IF(B265="","",IF(I265="-","-",$C265+$H265+I265))</f>
        <v/>
      </c>
      <c r="O265" s="24" t="str">
        <f t="shared" ref="O265:O303" si="27">IF(B265="","",C265+H265)</f>
        <v/>
      </c>
    </row>
    <row r="266" spans="5:15" x14ac:dyDescent="0.25">
      <c r="E266" s="24" t="str">
        <f>IF($B266="","",IF(AND($B$4="Salary Points 2 to 57",B266&lt;Thresholds_Rates!$C$16),"-",IF(SUMIF(Grades!$A:$A,$B$4,Grades!$BO:$BO)=0,"-",IF(AND($B$4="Salary Points 2 to 57",B266&gt;=Thresholds_Rates!$C$16),$C266*Thresholds_Rates!$F$15,IF(AND(OR($B$4="New Consultant Contract"),$B266&lt;&gt;""),$C266*Thresholds_Rates!$F$15,IF(AND(OR($B$4="Clinical Lecturer / Medical Research Fellow",$B$4="Clinical Consultant - Old Contract (GP)"),$B266&lt;&gt;""),$C266*Thresholds_Rates!$F$15,IF(OR($B$4="APM Level 7",$B$4="R&amp;T Level 7"),$C266*Thresholds_Rates!$F$15,IF(SUMIF(Grades!$A:$A,$B$4,Grades!$BO:$BO)=1,$C266*Thresholds_Rates!$F$15,""))))))))</f>
        <v/>
      </c>
      <c r="K266" s="24" t="str">
        <f t="shared" si="23"/>
        <v/>
      </c>
      <c r="L266" s="24" t="str">
        <f t="shared" si="24"/>
        <v/>
      </c>
      <c r="M266" s="24" t="str">
        <f t="shared" si="25"/>
        <v/>
      </c>
      <c r="N266" s="24" t="str">
        <f t="shared" si="26"/>
        <v/>
      </c>
      <c r="O266" s="24" t="str">
        <f t="shared" si="27"/>
        <v/>
      </c>
    </row>
    <row r="267" spans="5:15" x14ac:dyDescent="0.25">
      <c r="E267" s="24" t="str">
        <f>IF($B267="","",IF(AND($B$4="Salary Points 2 to 57",B267&lt;Thresholds_Rates!$C$16),"-",IF(SUMIF(Grades!$A:$A,$B$4,Grades!$BO:$BO)=0,"-",IF(AND($B$4="Salary Points 2 to 57",B267&gt;=Thresholds_Rates!$C$16),$C267*Thresholds_Rates!$F$15,IF(AND(OR($B$4="New Consultant Contract"),$B267&lt;&gt;""),$C267*Thresholds_Rates!$F$15,IF(AND(OR($B$4="Clinical Lecturer / Medical Research Fellow",$B$4="Clinical Consultant - Old Contract (GP)"),$B267&lt;&gt;""),$C267*Thresholds_Rates!$F$15,IF(OR($B$4="APM Level 7",$B$4="R&amp;T Level 7"),$C267*Thresholds_Rates!$F$15,IF(SUMIF(Grades!$A:$A,$B$4,Grades!$BO:$BO)=1,$C267*Thresholds_Rates!$F$15,""))))))))</f>
        <v/>
      </c>
      <c r="K267" s="24" t="str">
        <f t="shared" si="23"/>
        <v/>
      </c>
      <c r="L267" s="24" t="str">
        <f t="shared" si="24"/>
        <v/>
      </c>
      <c r="M267" s="24" t="str">
        <f t="shared" si="25"/>
        <v/>
      </c>
      <c r="N267" s="24" t="str">
        <f t="shared" si="26"/>
        <v/>
      </c>
      <c r="O267" s="24" t="str">
        <f t="shared" si="27"/>
        <v/>
      </c>
    </row>
    <row r="268" spans="5:15" x14ac:dyDescent="0.25">
      <c r="E268" s="24" t="str">
        <f>IF($B268="","",IF(AND($B$4="Salary Points 2 to 57",B268&lt;Thresholds_Rates!$C$16),"-",IF(SUMIF(Grades!$A:$A,$B$4,Grades!$BO:$BO)=0,"-",IF(AND($B$4="Salary Points 2 to 57",B268&gt;=Thresholds_Rates!$C$16),$C268*Thresholds_Rates!$F$15,IF(AND(OR($B$4="New Consultant Contract"),$B268&lt;&gt;""),$C268*Thresholds_Rates!$F$15,IF(AND(OR($B$4="Clinical Lecturer / Medical Research Fellow",$B$4="Clinical Consultant - Old Contract (GP)"),$B268&lt;&gt;""),$C268*Thresholds_Rates!$F$15,IF(OR($B$4="APM Level 7",$B$4="R&amp;T Level 7"),$C268*Thresholds_Rates!$F$15,IF(SUMIF(Grades!$A:$A,$B$4,Grades!$BO:$BO)=1,$C268*Thresholds_Rates!$F$15,""))))))))</f>
        <v/>
      </c>
      <c r="K268" s="24" t="str">
        <f t="shared" si="23"/>
        <v/>
      </c>
      <c r="L268" s="24" t="str">
        <f t="shared" si="24"/>
        <v/>
      </c>
      <c r="M268" s="24" t="str">
        <f t="shared" si="25"/>
        <v/>
      </c>
      <c r="N268" s="24" t="str">
        <f t="shared" si="26"/>
        <v/>
      </c>
      <c r="O268" s="24" t="str">
        <f t="shared" si="27"/>
        <v/>
      </c>
    </row>
    <row r="269" spans="5:15" x14ac:dyDescent="0.25">
      <c r="E269" s="24" t="str">
        <f>IF($B269="","",IF(AND($B$4="Salary Points 2 to 57",B269&lt;Thresholds_Rates!$C$16),"-",IF(SUMIF(Grades!$A:$A,$B$4,Grades!$BO:$BO)=0,"-",IF(AND($B$4="Salary Points 2 to 57",B269&gt;=Thresholds_Rates!$C$16),$C269*Thresholds_Rates!$F$15,IF(AND(OR($B$4="New Consultant Contract"),$B269&lt;&gt;""),$C269*Thresholds_Rates!$F$15,IF(AND(OR($B$4="Clinical Lecturer / Medical Research Fellow",$B$4="Clinical Consultant - Old Contract (GP)"),$B269&lt;&gt;""),$C269*Thresholds_Rates!$F$15,IF(OR($B$4="APM Level 7",$B$4="R&amp;T Level 7"),$C269*Thresholds_Rates!$F$15,IF(SUMIF(Grades!$A:$A,$B$4,Grades!$BO:$BO)=1,$C269*Thresholds_Rates!$F$15,""))))))))</f>
        <v/>
      </c>
      <c r="K269" s="24" t="str">
        <f t="shared" si="23"/>
        <v/>
      </c>
      <c r="L269" s="24" t="str">
        <f t="shared" si="24"/>
        <v/>
      </c>
      <c r="M269" s="24" t="str">
        <f t="shared" si="25"/>
        <v/>
      </c>
      <c r="N269" s="24" t="str">
        <f t="shared" si="26"/>
        <v/>
      </c>
      <c r="O269" s="24" t="str">
        <f t="shared" si="27"/>
        <v/>
      </c>
    </row>
    <row r="270" spans="5:15" x14ac:dyDescent="0.25">
      <c r="E270" s="24" t="str">
        <f>IF($B270="","",IF(AND($B$4="Salary Points 2 to 57",B270&lt;Thresholds_Rates!$C$16),"-",IF(SUMIF(Grades!$A:$A,$B$4,Grades!$BO:$BO)=0,"-",IF(AND($B$4="Salary Points 2 to 57",B270&gt;=Thresholds_Rates!$C$16),$C270*Thresholds_Rates!$F$15,IF(AND(OR($B$4="New Consultant Contract"),$B270&lt;&gt;""),$C270*Thresholds_Rates!$F$15,IF(AND(OR($B$4="Clinical Lecturer / Medical Research Fellow",$B$4="Clinical Consultant - Old Contract (GP)"),$B270&lt;&gt;""),$C270*Thresholds_Rates!$F$15,IF(OR($B$4="APM Level 7",$B$4="R&amp;T Level 7"),$C270*Thresholds_Rates!$F$15,IF(SUMIF(Grades!$A:$A,$B$4,Grades!$BO:$BO)=1,$C270*Thresholds_Rates!$F$15,""))))))))</f>
        <v/>
      </c>
      <c r="K270" s="24" t="str">
        <f t="shared" si="23"/>
        <v/>
      </c>
      <c r="L270" s="24" t="str">
        <f t="shared" si="24"/>
        <v/>
      </c>
      <c r="M270" s="24" t="str">
        <f t="shared" si="25"/>
        <v/>
      </c>
      <c r="N270" s="24" t="str">
        <f t="shared" si="26"/>
        <v/>
      </c>
      <c r="O270" s="24" t="str">
        <f t="shared" si="27"/>
        <v/>
      </c>
    </row>
    <row r="271" spans="5:15" x14ac:dyDescent="0.25">
      <c r="E271" s="24" t="str">
        <f>IF($B271="","",IF(AND($B$4="Salary Points 2 to 57",B271&lt;Thresholds_Rates!$C$16),"-",IF(SUMIF(Grades!$A:$A,$B$4,Grades!$BO:$BO)=0,"-",IF(AND($B$4="Salary Points 2 to 57",B271&gt;=Thresholds_Rates!$C$16),$C271*Thresholds_Rates!$F$15,IF(AND(OR($B$4="New Consultant Contract"),$B271&lt;&gt;""),$C271*Thresholds_Rates!$F$15,IF(AND(OR($B$4="Clinical Lecturer / Medical Research Fellow",$B$4="Clinical Consultant - Old Contract (GP)"),$B271&lt;&gt;""),$C271*Thresholds_Rates!$F$15,IF(OR($B$4="APM Level 7",$B$4="R&amp;T Level 7"),$C271*Thresholds_Rates!$F$15,IF(SUMIF(Grades!$A:$A,$B$4,Grades!$BO:$BO)=1,$C271*Thresholds_Rates!$F$15,""))))))))</f>
        <v/>
      </c>
      <c r="K271" s="24" t="str">
        <f t="shared" si="23"/>
        <v/>
      </c>
      <c r="L271" s="24" t="str">
        <f t="shared" si="24"/>
        <v/>
      </c>
      <c r="M271" s="24" t="str">
        <f t="shared" si="25"/>
        <v/>
      </c>
      <c r="N271" s="24" t="str">
        <f t="shared" si="26"/>
        <v/>
      </c>
      <c r="O271" s="24" t="str">
        <f t="shared" si="27"/>
        <v/>
      </c>
    </row>
    <row r="272" spans="5:15" x14ac:dyDescent="0.25">
      <c r="E272" s="24" t="str">
        <f>IF($B272="","",IF(AND($B$4="Salary Points 2 to 57",B272&lt;Thresholds_Rates!$C$16),"-",IF(SUMIF(Grades!$A:$A,$B$4,Grades!$BO:$BO)=0,"-",IF(AND($B$4="Salary Points 2 to 57",B272&gt;=Thresholds_Rates!$C$16),$C272*Thresholds_Rates!$F$15,IF(AND(OR($B$4="New Consultant Contract"),$B272&lt;&gt;""),$C272*Thresholds_Rates!$F$15,IF(AND(OR($B$4="Clinical Lecturer / Medical Research Fellow",$B$4="Clinical Consultant - Old Contract (GP)"),$B272&lt;&gt;""),$C272*Thresholds_Rates!$F$15,IF(OR($B$4="APM Level 7",$B$4="R&amp;T Level 7"),$C272*Thresholds_Rates!$F$15,IF(SUMIF(Grades!$A:$A,$B$4,Grades!$BO:$BO)=1,$C272*Thresholds_Rates!$F$15,""))))))))</f>
        <v/>
      </c>
      <c r="K272" s="24" t="str">
        <f t="shared" si="23"/>
        <v/>
      </c>
      <c r="L272" s="24" t="str">
        <f t="shared" si="24"/>
        <v/>
      </c>
      <c r="M272" s="24" t="str">
        <f t="shared" si="25"/>
        <v/>
      </c>
      <c r="N272" s="24" t="str">
        <f t="shared" si="26"/>
        <v/>
      </c>
      <c r="O272" s="24" t="str">
        <f t="shared" si="27"/>
        <v/>
      </c>
    </row>
    <row r="273" spans="5:15" x14ac:dyDescent="0.25">
      <c r="E273" s="24" t="str">
        <f>IF($B273="","",IF(AND($B$4="Salary Points 2 to 57",B273&lt;Thresholds_Rates!$C$16),"-",IF(SUMIF(Grades!$A:$A,$B$4,Grades!$BO:$BO)=0,"-",IF(AND($B$4="Salary Points 2 to 57",B273&gt;=Thresholds_Rates!$C$16),$C273*Thresholds_Rates!$F$15,IF(AND(OR($B$4="New Consultant Contract"),$B273&lt;&gt;""),$C273*Thresholds_Rates!$F$15,IF(AND(OR($B$4="Clinical Lecturer / Medical Research Fellow",$B$4="Clinical Consultant - Old Contract (GP)"),$B273&lt;&gt;""),$C273*Thresholds_Rates!$F$15,IF(OR($B$4="APM Level 7",$B$4="R&amp;T Level 7"),$C273*Thresholds_Rates!$F$15,IF(SUMIF(Grades!$A:$A,$B$4,Grades!$BO:$BO)=1,$C273*Thresholds_Rates!$F$15,""))))))))</f>
        <v/>
      </c>
      <c r="K273" s="24" t="str">
        <f t="shared" si="23"/>
        <v/>
      </c>
      <c r="L273" s="24" t="str">
        <f t="shared" si="24"/>
        <v/>
      </c>
      <c r="M273" s="24" t="str">
        <f t="shared" si="25"/>
        <v/>
      </c>
      <c r="N273" s="24" t="str">
        <f t="shared" si="26"/>
        <v/>
      </c>
      <c r="O273" s="24" t="str">
        <f t="shared" si="27"/>
        <v/>
      </c>
    </row>
    <row r="274" spans="5:15" x14ac:dyDescent="0.25">
      <c r="E274" s="24" t="str">
        <f>IF($B274="","",IF(AND($B$4="Salary Points 2 to 57",B274&lt;Thresholds_Rates!$C$16),"-",IF(SUMIF(Grades!$A:$A,$B$4,Grades!$BO:$BO)=0,"-",IF(AND($B$4="Salary Points 2 to 57",B274&gt;=Thresholds_Rates!$C$16),$C274*Thresholds_Rates!$F$15,IF(AND(OR($B$4="New Consultant Contract"),$B274&lt;&gt;""),$C274*Thresholds_Rates!$F$15,IF(AND(OR($B$4="Clinical Lecturer / Medical Research Fellow",$B$4="Clinical Consultant - Old Contract (GP)"),$B274&lt;&gt;""),$C274*Thresholds_Rates!$F$15,IF(OR($B$4="APM Level 7",$B$4="R&amp;T Level 7"),$C274*Thresholds_Rates!$F$15,IF(SUMIF(Grades!$A:$A,$B$4,Grades!$BO:$BO)=1,$C274*Thresholds_Rates!$F$15,""))))))))</f>
        <v/>
      </c>
      <c r="K274" s="24" t="str">
        <f t="shared" si="23"/>
        <v/>
      </c>
      <c r="L274" s="24" t="str">
        <f t="shared" si="24"/>
        <v/>
      </c>
      <c r="M274" s="24" t="str">
        <f t="shared" si="25"/>
        <v/>
      </c>
      <c r="N274" s="24" t="str">
        <f t="shared" si="26"/>
        <v/>
      </c>
      <c r="O274" s="24" t="str">
        <f t="shared" si="27"/>
        <v/>
      </c>
    </row>
    <row r="275" spans="5:15" x14ac:dyDescent="0.25">
      <c r="E275" s="24" t="str">
        <f>IF($B275="","",IF(AND($B$4="Salary Points 2 to 57",B275&lt;Thresholds_Rates!$C$16),"-",IF(SUMIF(Grades!$A:$A,$B$4,Grades!$BO:$BO)=0,"-",IF(AND($B$4="Salary Points 2 to 57",B275&gt;=Thresholds_Rates!$C$16),$C275*Thresholds_Rates!$F$15,IF(AND(OR($B$4="New Consultant Contract"),$B275&lt;&gt;""),$C275*Thresholds_Rates!$F$15,IF(AND(OR($B$4="Clinical Lecturer / Medical Research Fellow",$B$4="Clinical Consultant - Old Contract (GP)"),$B275&lt;&gt;""),$C275*Thresholds_Rates!$F$15,IF(OR($B$4="APM Level 7",$B$4="R&amp;T Level 7"),$C275*Thresholds_Rates!$F$15,IF(SUMIF(Grades!$A:$A,$B$4,Grades!$BO:$BO)=1,$C275*Thresholds_Rates!$F$15,""))))))))</f>
        <v/>
      </c>
      <c r="K275" s="24" t="str">
        <f t="shared" si="23"/>
        <v/>
      </c>
      <c r="L275" s="24" t="str">
        <f t="shared" si="24"/>
        <v/>
      </c>
      <c r="M275" s="24" t="str">
        <f t="shared" si="25"/>
        <v/>
      </c>
      <c r="N275" s="24" t="str">
        <f t="shared" si="26"/>
        <v/>
      </c>
      <c r="O275" s="24" t="str">
        <f t="shared" si="27"/>
        <v/>
      </c>
    </row>
    <row r="276" spans="5:15" x14ac:dyDescent="0.25">
      <c r="E276" s="24" t="str">
        <f>IF($B276="","",IF(AND($B$4="Salary Points 2 to 57",B276&lt;Thresholds_Rates!$C$16),"-",IF(SUMIF(Grades!$A:$A,$B$4,Grades!$BO:$BO)=0,"-",IF(AND($B$4="Salary Points 2 to 57",B276&gt;=Thresholds_Rates!$C$16),$C276*Thresholds_Rates!$F$15,IF(AND(OR($B$4="New Consultant Contract"),$B276&lt;&gt;""),$C276*Thresholds_Rates!$F$15,IF(AND(OR($B$4="Clinical Lecturer / Medical Research Fellow",$B$4="Clinical Consultant - Old Contract (GP)"),$B276&lt;&gt;""),$C276*Thresholds_Rates!$F$15,IF(OR($B$4="APM Level 7",$B$4="R&amp;T Level 7"),$C276*Thresholds_Rates!$F$15,IF(SUMIF(Grades!$A:$A,$B$4,Grades!$BO:$BO)=1,$C276*Thresholds_Rates!$F$15,""))))))))</f>
        <v/>
      </c>
      <c r="K276" s="24" t="str">
        <f t="shared" si="23"/>
        <v/>
      </c>
      <c r="L276" s="24" t="str">
        <f t="shared" si="24"/>
        <v/>
      </c>
      <c r="M276" s="24" t="str">
        <f t="shared" si="25"/>
        <v/>
      </c>
      <c r="N276" s="24" t="str">
        <f t="shared" si="26"/>
        <v/>
      </c>
      <c r="O276" s="24" t="str">
        <f t="shared" si="27"/>
        <v/>
      </c>
    </row>
    <row r="277" spans="5:15" x14ac:dyDescent="0.25">
      <c r="E277" s="24" t="str">
        <f>IF($B277="","",IF(AND($B$4="Salary Points 2 to 57",B277&lt;Thresholds_Rates!$C$16),"-",IF(SUMIF(Grades!$A:$A,$B$4,Grades!$BO:$BO)=0,"-",IF(AND($B$4="Salary Points 2 to 57",B277&gt;=Thresholds_Rates!$C$16),$C277*Thresholds_Rates!$F$15,IF(AND(OR($B$4="New Consultant Contract"),$B277&lt;&gt;""),$C277*Thresholds_Rates!$F$15,IF(AND(OR($B$4="Clinical Lecturer / Medical Research Fellow",$B$4="Clinical Consultant - Old Contract (GP)"),$B277&lt;&gt;""),$C277*Thresholds_Rates!$F$15,IF(OR($B$4="APM Level 7",$B$4="R&amp;T Level 7"),$C277*Thresholds_Rates!$F$15,IF(SUMIF(Grades!$A:$A,$B$4,Grades!$BO:$BO)=1,$C277*Thresholds_Rates!$F$15,""))))))))</f>
        <v/>
      </c>
      <c r="K277" s="24" t="str">
        <f t="shared" si="23"/>
        <v/>
      </c>
      <c r="L277" s="24" t="str">
        <f t="shared" si="24"/>
        <v/>
      </c>
      <c r="M277" s="24" t="str">
        <f t="shared" si="25"/>
        <v/>
      </c>
      <c r="N277" s="24" t="str">
        <f t="shared" si="26"/>
        <v/>
      </c>
      <c r="O277" s="24" t="str">
        <f t="shared" si="27"/>
        <v/>
      </c>
    </row>
    <row r="278" spans="5:15" x14ac:dyDescent="0.25">
      <c r="E278" s="24" t="str">
        <f>IF($B278="","",IF(AND($B$4="Salary Points 2 to 57",B278&lt;Thresholds_Rates!$C$16),"-",IF(SUMIF(Grades!$A:$A,$B$4,Grades!$BO:$BO)=0,"-",IF(AND($B$4="Salary Points 2 to 57",B278&gt;=Thresholds_Rates!$C$16),$C278*Thresholds_Rates!$F$15,IF(AND(OR($B$4="New Consultant Contract"),$B278&lt;&gt;""),$C278*Thresholds_Rates!$F$15,IF(AND(OR($B$4="Clinical Lecturer / Medical Research Fellow",$B$4="Clinical Consultant - Old Contract (GP)"),$B278&lt;&gt;""),$C278*Thresholds_Rates!$F$15,IF(OR($B$4="APM Level 7",$B$4="R&amp;T Level 7"),$C278*Thresholds_Rates!$F$15,IF(SUMIF(Grades!$A:$A,$B$4,Grades!$BO:$BO)=1,$C278*Thresholds_Rates!$F$15,""))))))))</f>
        <v/>
      </c>
      <c r="K278" s="24" t="str">
        <f t="shared" si="23"/>
        <v/>
      </c>
      <c r="L278" s="24" t="str">
        <f t="shared" si="24"/>
        <v/>
      </c>
      <c r="M278" s="24" t="str">
        <f t="shared" si="25"/>
        <v/>
      </c>
      <c r="N278" s="24" t="str">
        <f t="shared" si="26"/>
        <v/>
      </c>
      <c r="O278" s="24" t="str">
        <f t="shared" si="27"/>
        <v/>
      </c>
    </row>
    <row r="279" spans="5:15" x14ac:dyDescent="0.25">
      <c r="E279" s="24" t="str">
        <f>IF($B279="","",IF(AND($B$4="Salary Points 2 to 57",B279&lt;Thresholds_Rates!$C$16),"-",IF(SUMIF(Grades!$A:$A,$B$4,Grades!$BO:$BO)=0,"-",IF(AND($B$4="Salary Points 2 to 57",B279&gt;=Thresholds_Rates!$C$16),$C279*Thresholds_Rates!$F$15,IF(AND(OR($B$4="New Consultant Contract"),$B279&lt;&gt;""),$C279*Thresholds_Rates!$F$15,IF(AND(OR($B$4="Clinical Lecturer / Medical Research Fellow",$B$4="Clinical Consultant - Old Contract (GP)"),$B279&lt;&gt;""),$C279*Thresholds_Rates!$F$15,IF(OR($B$4="APM Level 7",$B$4="R&amp;T Level 7"),$C279*Thresholds_Rates!$F$15,IF(SUMIF(Grades!$A:$A,$B$4,Grades!$BO:$BO)=1,$C279*Thresholds_Rates!$F$15,""))))))))</f>
        <v/>
      </c>
      <c r="K279" s="24" t="str">
        <f t="shared" si="23"/>
        <v/>
      </c>
      <c r="L279" s="24" t="str">
        <f t="shared" si="24"/>
        <v/>
      </c>
      <c r="M279" s="24" t="str">
        <f t="shared" si="25"/>
        <v/>
      </c>
      <c r="N279" s="24" t="str">
        <f t="shared" si="26"/>
        <v/>
      </c>
      <c r="O279" s="24" t="str">
        <f t="shared" si="27"/>
        <v/>
      </c>
    </row>
    <row r="280" spans="5:15" x14ac:dyDescent="0.25">
      <c r="E280" s="24" t="str">
        <f>IF($B280="","",IF(AND($B$4="Salary Points 2 to 57",B280&lt;Thresholds_Rates!$C$16),"-",IF(SUMIF(Grades!$A:$A,$B$4,Grades!$BO:$BO)=0,"-",IF(AND($B$4="Salary Points 2 to 57",B280&gt;=Thresholds_Rates!$C$16),$C280*Thresholds_Rates!$F$15,IF(AND(OR($B$4="New Consultant Contract"),$B280&lt;&gt;""),$C280*Thresholds_Rates!$F$15,IF(AND(OR($B$4="Clinical Lecturer / Medical Research Fellow",$B$4="Clinical Consultant - Old Contract (GP)"),$B280&lt;&gt;""),$C280*Thresholds_Rates!$F$15,IF(OR($B$4="APM Level 7",$B$4="R&amp;T Level 7"),$C280*Thresholds_Rates!$F$15,IF(SUMIF(Grades!$A:$A,$B$4,Grades!$BO:$BO)=1,$C280*Thresholds_Rates!$F$15,""))))))))</f>
        <v/>
      </c>
      <c r="K280" s="24" t="str">
        <f t="shared" si="23"/>
        <v/>
      </c>
      <c r="L280" s="24" t="str">
        <f t="shared" si="24"/>
        <v/>
      </c>
      <c r="M280" s="24" t="str">
        <f t="shared" si="25"/>
        <v/>
      </c>
      <c r="N280" s="24" t="str">
        <f t="shared" si="26"/>
        <v/>
      </c>
      <c r="O280" s="24" t="str">
        <f t="shared" si="27"/>
        <v/>
      </c>
    </row>
    <row r="281" spans="5:15" x14ac:dyDescent="0.25">
      <c r="E281" s="24" t="str">
        <f>IF($B281="","",IF(AND($B$4="Salary Points 2 to 57",B281&lt;Thresholds_Rates!$C$16),"-",IF(SUMIF(Grades!$A:$A,$B$4,Grades!$BO:$BO)=0,"-",IF(AND($B$4="Salary Points 2 to 57",B281&gt;=Thresholds_Rates!$C$16),$C281*Thresholds_Rates!$F$15,IF(AND(OR($B$4="New Consultant Contract"),$B281&lt;&gt;""),$C281*Thresholds_Rates!$F$15,IF(AND(OR($B$4="Clinical Lecturer / Medical Research Fellow",$B$4="Clinical Consultant - Old Contract (GP)"),$B281&lt;&gt;""),$C281*Thresholds_Rates!$F$15,IF(OR($B$4="APM Level 7",$B$4="R&amp;T Level 7"),$C281*Thresholds_Rates!$F$15,IF(SUMIF(Grades!$A:$A,$B$4,Grades!$BO:$BO)=1,$C281*Thresholds_Rates!$F$15,""))))))))</f>
        <v/>
      </c>
      <c r="K281" s="24" t="str">
        <f t="shared" si="23"/>
        <v/>
      </c>
      <c r="L281" s="24" t="str">
        <f t="shared" si="24"/>
        <v/>
      </c>
      <c r="M281" s="24" t="str">
        <f t="shared" si="25"/>
        <v/>
      </c>
      <c r="N281" s="24" t="str">
        <f t="shared" si="26"/>
        <v/>
      </c>
      <c r="O281" s="24" t="str">
        <f t="shared" si="27"/>
        <v/>
      </c>
    </row>
    <row r="282" spans="5:15" x14ac:dyDescent="0.25">
      <c r="E282" s="24" t="str">
        <f>IF($B282="","",IF(AND($B$4="Salary Points 2 to 57",B282&lt;Thresholds_Rates!$C$16),"-",IF(SUMIF(Grades!$A:$A,$B$4,Grades!$BO:$BO)=0,"-",IF(AND($B$4="Salary Points 2 to 57",B282&gt;=Thresholds_Rates!$C$16),$C282*Thresholds_Rates!$F$15,IF(AND(OR($B$4="New Consultant Contract"),$B282&lt;&gt;""),$C282*Thresholds_Rates!$F$15,IF(AND(OR($B$4="Clinical Lecturer / Medical Research Fellow",$B$4="Clinical Consultant - Old Contract (GP)"),$B282&lt;&gt;""),$C282*Thresholds_Rates!$F$15,IF(OR($B$4="APM Level 7",$B$4="R&amp;T Level 7"),$C282*Thresholds_Rates!$F$15,IF(SUMIF(Grades!$A:$A,$B$4,Grades!$BO:$BO)=1,$C282*Thresholds_Rates!$F$15,""))))))))</f>
        <v/>
      </c>
      <c r="K282" s="24" t="str">
        <f t="shared" si="23"/>
        <v/>
      </c>
      <c r="L282" s="24" t="str">
        <f t="shared" si="24"/>
        <v/>
      </c>
      <c r="M282" s="24" t="str">
        <f t="shared" si="25"/>
        <v/>
      </c>
      <c r="N282" s="24" t="str">
        <f t="shared" si="26"/>
        <v/>
      </c>
      <c r="O282" s="24" t="str">
        <f t="shared" si="27"/>
        <v/>
      </c>
    </row>
    <row r="283" spans="5:15" x14ac:dyDescent="0.25">
      <c r="E283" s="24" t="str">
        <f>IF($B283="","",IF(AND($B$4="Salary Points 2 to 57",B283&lt;Thresholds_Rates!$C$16),"-",IF(SUMIF(Grades!$A:$A,$B$4,Grades!$BO:$BO)=0,"-",IF(AND($B$4="Salary Points 2 to 57",B283&gt;=Thresholds_Rates!$C$16),$C283*Thresholds_Rates!$F$15,IF(AND(OR($B$4="New Consultant Contract"),$B283&lt;&gt;""),$C283*Thresholds_Rates!$F$15,IF(AND(OR($B$4="Clinical Lecturer / Medical Research Fellow",$B$4="Clinical Consultant - Old Contract (GP)"),$B283&lt;&gt;""),$C283*Thresholds_Rates!$F$15,IF(OR($B$4="APM Level 7",$B$4="R&amp;T Level 7"),$C283*Thresholds_Rates!$F$15,IF(SUMIF(Grades!$A:$A,$B$4,Grades!$BO:$BO)=1,$C283*Thresholds_Rates!$F$15,""))))))))</f>
        <v/>
      </c>
      <c r="K283" s="24" t="str">
        <f t="shared" si="23"/>
        <v/>
      </c>
      <c r="L283" s="24" t="str">
        <f t="shared" si="24"/>
        <v/>
      </c>
      <c r="M283" s="24" t="str">
        <f t="shared" si="25"/>
        <v/>
      </c>
      <c r="N283" s="24" t="str">
        <f t="shared" si="26"/>
        <v/>
      </c>
      <c r="O283" s="24" t="str">
        <f t="shared" si="27"/>
        <v/>
      </c>
    </row>
    <row r="284" spans="5:15" x14ac:dyDescent="0.25">
      <c r="E284" s="24" t="str">
        <f>IF($B284="","",IF(AND($B$4="Salary Points 2 to 57",B284&lt;Thresholds_Rates!$C$16),"-",IF(SUMIF(Grades!$A:$A,$B$4,Grades!$BO:$BO)=0,"-",IF(AND($B$4="Salary Points 2 to 57",B284&gt;=Thresholds_Rates!$C$16),$C284*Thresholds_Rates!$F$15,IF(AND(OR($B$4="New Consultant Contract"),$B284&lt;&gt;""),$C284*Thresholds_Rates!$F$15,IF(AND(OR($B$4="Clinical Lecturer / Medical Research Fellow",$B$4="Clinical Consultant - Old Contract (GP)"),$B284&lt;&gt;""),$C284*Thresholds_Rates!$F$15,IF(OR($B$4="APM Level 7",$B$4="R&amp;T Level 7"),$C284*Thresholds_Rates!$F$15,IF(SUMIF(Grades!$A:$A,$B$4,Grades!$BO:$BO)=1,$C284*Thresholds_Rates!$F$15,""))))))))</f>
        <v/>
      </c>
      <c r="K284" s="24" t="str">
        <f t="shared" si="23"/>
        <v/>
      </c>
      <c r="L284" s="24" t="str">
        <f t="shared" si="24"/>
        <v/>
      </c>
      <c r="M284" s="24" t="str">
        <f t="shared" si="25"/>
        <v/>
      </c>
      <c r="N284" s="24" t="str">
        <f t="shared" si="26"/>
        <v/>
      </c>
      <c r="O284" s="24" t="str">
        <f t="shared" si="27"/>
        <v/>
      </c>
    </row>
    <row r="285" spans="5:15" x14ac:dyDescent="0.25">
      <c r="E285" s="24" t="str">
        <f>IF($B285="","",IF(AND($B$4="Salary Points 2 to 57",B285&lt;Thresholds_Rates!$C$16),"-",IF(SUMIF(Grades!$A:$A,$B$4,Grades!$BO:$BO)=0,"-",IF(AND($B$4="Salary Points 2 to 57",B285&gt;=Thresholds_Rates!$C$16),$C285*Thresholds_Rates!$F$15,IF(AND(OR($B$4="New Consultant Contract"),$B285&lt;&gt;""),$C285*Thresholds_Rates!$F$15,IF(AND(OR($B$4="Clinical Lecturer / Medical Research Fellow",$B$4="Clinical Consultant - Old Contract (GP)"),$B285&lt;&gt;""),$C285*Thresholds_Rates!$F$15,IF(OR($B$4="APM Level 7",$B$4="R&amp;T Level 7"),$C285*Thresholds_Rates!$F$15,IF(SUMIF(Grades!$A:$A,$B$4,Grades!$BO:$BO)=1,$C285*Thresholds_Rates!$F$15,""))))))))</f>
        <v/>
      </c>
      <c r="K285" s="24" t="str">
        <f t="shared" si="23"/>
        <v/>
      </c>
      <c r="L285" s="24" t="str">
        <f t="shared" si="24"/>
        <v/>
      </c>
      <c r="M285" s="24" t="str">
        <f t="shared" si="25"/>
        <v/>
      </c>
      <c r="N285" s="24" t="str">
        <f t="shared" si="26"/>
        <v/>
      </c>
      <c r="O285" s="24" t="str">
        <f t="shared" si="27"/>
        <v/>
      </c>
    </row>
    <row r="286" spans="5:15" x14ac:dyDescent="0.25">
      <c r="E286" s="24" t="str">
        <f>IF($B286="","",IF(AND($B$4="Salary Points 2 to 57",B286&lt;Thresholds_Rates!$C$16),"-",IF(SUMIF(Grades!$A:$A,$B$4,Grades!$BO:$BO)=0,"-",IF(AND($B$4="Salary Points 2 to 57",B286&gt;=Thresholds_Rates!$C$16),$C286*Thresholds_Rates!$F$15,IF(AND(OR($B$4="New Consultant Contract"),$B286&lt;&gt;""),$C286*Thresholds_Rates!$F$15,IF(AND(OR($B$4="Clinical Lecturer / Medical Research Fellow",$B$4="Clinical Consultant - Old Contract (GP)"),$B286&lt;&gt;""),$C286*Thresholds_Rates!$F$15,IF(OR($B$4="APM Level 7",$B$4="R&amp;T Level 7"),$C286*Thresholds_Rates!$F$15,IF(SUMIF(Grades!$A:$A,$B$4,Grades!$BO:$BO)=1,$C286*Thresholds_Rates!$F$15,""))))))))</f>
        <v/>
      </c>
      <c r="K286" s="24" t="str">
        <f t="shared" si="23"/>
        <v/>
      </c>
      <c r="L286" s="24" t="str">
        <f t="shared" si="24"/>
        <v/>
      </c>
      <c r="M286" s="24" t="str">
        <f t="shared" si="25"/>
        <v/>
      </c>
      <c r="N286" s="24" t="str">
        <f t="shared" si="26"/>
        <v/>
      </c>
      <c r="O286" s="24" t="str">
        <f t="shared" si="27"/>
        <v/>
      </c>
    </row>
    <row r="287" spans="5:15" x14ac:dyDescent="0.25">
      <c r="E287" s="24" t="str">
        <f>IF($B287="","",IF(AND($B$4="Salary Points 2 to 57",B287&lt;Thresholds_Rates!$C$16),"-",IF(SUMIF(Grades!$A:$A,$B$4,Grades!$BO:$BO)=0,"-",IF(AND($B$4="Salary Points 2 to 57",B287&gt;=Thresholds_Rates!$C$16),$C287*Thresholds_Rates!$F$15,IF(AND(OR($B$4="New Consultant Contract"),$B287&lt;&gt;""),$C287*Thresholds_Rates!$F$15,IF(AND(OR($B$4="Clinical Lecturer / Medical Research Fellow",$B$4="Clinical Consultant - Old Contract (GP)"),$B287&lt;&gt;""),$C287*Thresholds_Rates!$F$15,IF(OR($B$4="APM Level 7",$B$4="R&amp;T Level 7"),$C287*Thresholds_Rates!$F$15,IF(SUMIF(Grades!$A:$A,$B$4,Grades!$BO:$BO)=1,$C287*Thresholds_Rates!$F$15,""))))))))</f>
        <v/>
      </c>
      <c r="K287" s="24" t="str">
        <f t="shared" si="23"/>
        <v/>
      </c>
      <c r="L287" s="24" t="str">
        <f t="shared" si="24"/>
        <v/>
      </c>
      <c r="M287" s="24" t="str">
        <f t="shared" si="25"/>
        <v/>
      </c>
      <c r="N287" s="24" t="str">
        <f t="shared" si="26"/>
        <v/>
      </c>
      <c r="O287" s="24" t="str">
        <f t="shared" si="27"/>
        <v/>
      </c>
    </row>
    <row r="288" spans="5:15" x14ac:dyDescent="0.25">
      <c r="E288" s="24" t="str">
        <f>IF($B288="","",IF(AND($B$4="Salary Points 2 to 57",B288&lt;Thresholds_Rates!$C$16),"-",IF(SUMIF(Grades!$A:$A,$B$4,Grades!$BO:$BO)=0,"-",IF(AND($B$4="Salary Points 2 to 57",B288&gt;=Thresholds_Rates!$C$16),$C288*Thresholds_Rates!$F$15,IF(AND(OR($B$4="New Consultant Contract"),$B288&lt;&gt;""),$C288*Thresholds_Rates!$F$15,IF(AND(OR($B$4="Clinical Lecturer / Medical Research Fellow",$B$4="Clinical Consultant - Old Contract (GP)"),$B288&lt;&gt;""),$C288*Thresholds_Rates!$F$15,IF(OR($B$4="APM Level 7",$B$4="R&amp;T Level 7"),$C288*Thresholds_Rates!$F$15,IF(SUMIF(Grades!$A:$A,$B$4,Grades!$BO:$BO)=1,$C288*Thresholds_Rates!$F$15,""))))))))</f>
        <v/>
      </c>
      <c r="K288" s="24" t="str">
        <f t="shared" si="23"/>
        <v/>
      </c>
      <c r="L288" s="24" t="str">
        <f t="shared" si="24"/>
        <v/>
      </c>
      <c r="M288" s="24" t="str">
        <f t="shared" si="25"/>
        <v/>
      </c>
      <c r="N288" s="24" t="str">
        <f t="shared" si="26"/>
        <v/>
      </c>
      <c r="O288" s="24" t="str">
        <f t="shared" si="27"/>
        <v/>
      </c>
    </row>
    <row r="289" spans="5:15" x14ac:dyDescent="0.25">
      <c r="E289" s="24" t="str">
        <f>IF($B289="","",IF(AND($B$4="Salary Points 2 to 57",B289&lt;Thresholds_Rates!$C$16),"-",IF(SUMIF(Grades!$A:$A,$B$4,Grades!$BO:$BO)=0,"-",IF(AND($B$4="Salary Points 2 to 57",B289&gt;=Thresholds_Rates!$C$16),$C289*Thresholds_Rates!$F$15,IF(AND(OR($B$4="New Consultant Contract"),$B289&lt;&gt;""),$C289*Thresholds_Rates!$F$15,IF(AND(OR($B$4="Clinical Lecturer / Medical Research Fellow",$B$4="Clinical Consultant - Old Contract (GP)"),$B289&lt;&gt;""),$C289*Thresholds_Rates!$F$15,IF(OR($B$4="APM Level 7",$B$4="R&amp;T Level 7"),$C289*Thresholds_Rates!$F$15,IF(SUMIF(Grades!$A:$A,$B$4,Grades!$BO:$BO)=1,$C289*Thresholds_Rates!$F$15,""))))))))</f>
        <v/>
      </c>
      <c r="K289" s="24" t="str">
        <f t="shared" si="23"/>
        <v/>
      </c>
      <c r="L289" s="24" t="str">
        <f t="shared" si="24"/>
        <v/>
      </c>
      <c r="M289" s="24" t="str">
        <f t="shared" si="25"/>
        <v/>
      </c>
      <c r="N289" s="24" t="str">
        <f t="shared" si="26"/>
        <v/>
      </c>
      <c r="O289" s="24" t="str">
        <f t="shared" si="27"/>
        <v/>
      </c>
    </row>
    <row r="290" spans="5:15" x14ac:dyDescent="0.25">
      <c r="E290" s="24" t="str">
        <f>IF($B290="","",IF(AND($B$4="Salary Points 2 to 57",B290&lt;Thresholds_Rates!$C$16),"-",IF(SUMIF(Grades!$A:$A,$B$4,Grades!$BO:$BO)=0,"-",IF(AND($B$4="Salary Points 2 to 57",B290&gt;=Thresholds_Rates!$C$16),$C290*Thresholds_Rates!$F$15,IF(AND(OR($B$4="New Consultant Contract"),$B290&lt;&gt;""),$C290*Thresholds_Rates!$F$15,IF(AND(OR($B$4="Clinical Lecturer / Medical Research Fellow",$B$4="Clinical Consultant - Old Contract (GP)"),$B290&lt;&gt;""),$C290*Thresholds_Rates!$F$15,IF(OR($B$4="APM Level 7",$B$4="R&amp;T Level 7"),$C290*Thresholds_Rates!$F$15,IF(SUMIF(Grades!$A:$A,$B$4,Grades!$BO:$BO)=1,$C290*Thresholds_Rates!$F$15,""))))))))</f>
        <v/>
      </c>
      <c r="K290" s="24" t="str">
        <f t="shared" si="23"/>
        <v/>
      </c>
      <c r="L290" s="24" t="str">
        <f t="shared" si="24"/>
        <v/>
      </c>
      <c r="M290" s="24" t="str">
        <f t="shared" si="25"/>
        <v/>
      </c>
      <c r="N290" s="24" t="str">
        <f t="shared" si="26"/>
        <v/>
      </c>
      <c r="O290" s="24" t="str">
        <f t="shared" si="27"/>
        <v/>
      </c>
    </row>
    <row r="291" spans="5:15" x14ac:dyDescent="0.25">
      <c r="E291" s="24" t="str">
        <f>IF($B291="","",IF(AND($B$4="Salary Points 2 to 57",B291&lt;Thresholds_Rates!$C$16),"-",IF(SUMIF(Grades!$A:$A,$B$4,Grades!$BO:$BO)=0,"-",IF(AND($B$4="Salary Points 2 to 57",B291&gt;=Thresholds_Rates!$C$16),$C291*Thresholds_Rates!$F$15,IF(AND(OR($B$4="New Consultant Contract"),$B291&lt;&gt;""),$C291*Thresholds_Rates!$F$15,IF(AND(OR($B$4="Clinical Lecturer / Medical Research Fellow",$B$4="Clinical Consultant - Old Contract (GP)"),$B291&lt;&gt;""),$C291*Thresholds_Rates!$F$15,IF(OR($B$4="APM Level 7",$B$4="R&amp;T Level 7"),$C291*Thresholds_Rates!$F$15,IF(SUMIF(Grades!$A:$A,$B$4,Grades!$BO:$BO)=1,$C291*Thresholds_Rates!$F$15,""))))))))</f>
        <v/>
      </c>
      <c r="K291" s="24" t="str">
        <f t="shared" si="23"/>
        <v/>
      </c>
      <c r="L291" s="24" t="str">
        <f t="shared" si="24"/>
        <v/>
      </c>
      <c r="M291" s="24" t="str">
        <f t="shared" si="25"/>
        <v/>
      </c>
      <c r="N291" s="24" t="str">
        <f t="shared" si="26"/>
        <v/>
      </c>
      <c r="O291" s="24" t="str">
        <f t="shared" si="27"/>
        <v/>
      </c>
    </row>
    <row r="292" spans="5:15" x14ac:dyDescent="0.25">
      <c r="E292" s="24" t="str">
        <f>IF($B292="","",IF(AND($B$4="Salary Points 2 to 57",B292&lt;Thresholds_Rates!$C$16),"-",IF(SUMIF(Grades!$A:$A,$B$4,Grades!$BO:$BO)=0,"-",IF(AND($B$4="Salary Points 2 to 57",B292&gt;=Thresholds_Rates!$C$16),$C292*Thresholds_Rates!$F$15,IF(AND(OR($B$4="New Consultant Contract"),$B292&lt;&gt;""),$C292*Thresholds_Rates!$F$15,IF(AND(OR($B$4="Clinical Lecturer / Medical Research Fellow",$B$4="Clinical Consultant - Old Contract (GP)"),$B292&lt;&gt;""),$C292*Thresholds_Rates!$F$15,IF(OR($B$4="APM Level 7",$B$4="R&amp;T Level 7"),$C292*Thresholds_Rates!$F$15,IF(SUMIF(Grades!$A:$A,$B$4,Grades!$BO:$BO)=1,$C292*Thresholds_Rates!$F$15,""))))))))</f>
        <v/>
      </c>
      <c r="K292" s="24" t="str">
        <f t="shared" si="23"/>
        <v/>
      </c>
      <c r="L292" s="24" t="str">
        <f t="shared" si="24"/>
        <v/>
      </c>
      <c r="M292" s="24" t="str">
        <f t="shared" si="25"/>
        <v/>
      </c>
      <c r="N292" s="24" t="str">
        <f t="shared" si="26"/>
        <v/>
      </c>
      <c r="O292" s="24" t="str">
        <f t="shared" si="27"/>
        <v/>
      </c>
    </row>
    <row r="293" spans="5:15" x14ac:dyDescent="0.25">
      <c r="E293" s="24" t="str">
        <f>IF($B293="","",IF(AND($B$4="Salary Points 2 to 57",B293&lt;Thresholds_Rates!$C$16),"-",IF(SUMIF(Grades!$A:$A,$B$4,Grades!$BO:$BO)=0,"-",IF(AND($B$4="Salary Points 2 to 57",B293&gt;=Thresholds_Rates!$C$16),$C293*Thresholds_Rates!$F$15,IF(AND(OR($B$4="New Consultant Contract"),$B293&lt;&gt;""),$C293*Thresholds_Rates!$F$15,IF(AND(OR($B$4="Clinical Lecturer / Medical Research Fellow",$B$4="Clinical Consultant - Old Contract (GP)"),$B293&lt;&gt;""),$C293*Thresholds_Rates!$F$15,IF(OR($B$4="APM Level 7",$B$4="R&amp;T Level 7"),$C293*Thresholds_Rates!$F$15,IF(SUMIF(Grades!$A:$A,$B$4,Grades!$BO:$BO)=1,$C293*Thresholds_Rates!$F$15,""))))))))</f>
        <v/>
      </c>
      <c r="K293" s="24" t="str">
        <f t="shared" si="23"/>
        <v/>
      </c>
      <c r="L293" s="24" t="str">
        <f t="shared" si="24"/>
        <v/>
      </c>
      <c r="M293" s="24" t="str">
        <f t="shared" si="25"/>
        <v/>
      </c>
      <c r="N293" s="24" t="str">
        <f t="shared" si="26"/>
        <v/>
      </c>
      <c r="O293" s="24" t="str">
        <f t="shared" si="27"/>
        <v/>
      </c>
    </row>
    <row r="294" spans="5:15" x14ac:dyDescent="0.25">
      <c r="E294" s="24" t="str">
        <f>IF($B294="","",IF(AND($B$4="Salary Points 2 to 57",B294&lt;Thresholds_Rates!$C$16),"-",IF(SUMIF(Grades!$A:$A,$B$4,Grades!$BO:$BO)=0,"-",IF(AND($B$4="Salary Points 2 to 57",B294&gt;=Thresholds_Rates!$C$16),$C294*Thresholds_Rates!$F$15,IF(AND(OR($B$4="New Consultant Contract"),$B294&lt;&gt;""),$C294*Thresholds_Rates!$F$15,IF(AND(OR($B$4="Clinical Lecturer / Medical Research Fellow",$B$4="Clinical Consultant - Old Contract (GP)"),$B294&lt;&gt;""),$C294*Thresholds_Rates!$F$15,IF(OR($B$4="APM Level 7",$B$4="R&amp;T Level 7"),$C294*Thresholds_Rates!$F$15,IF(SUMIF(Grades!$A:$A,$B$4,Grades!$BO:$BO)=1,$C294*Thresholds_Rates!$F$15,""))))))))</f>
        <v/>
      </c>
      <c r="K294" s="24" t="str">
        <f t="shared" si="23"/>
        <v/>
      </c>
      <c r="L294" s="24" t="str">
        <f t="shared" si="24"/>
        <v/>
      </c>
      <c r="M294" s="24" t="str">
        <f t="shared" si="25"/>
        <v/>
      </c>
      <c r="N294" s="24" t="str">
        <f t="shared" si="26"/>
        <v/>
      </c>
      <c r="O294" s="24" t="str">
        <f t="shared" si="27"/>
        <v/>
      </c>
    </row>
    <row r="295" spans="5:15" x14ac:dyDescent="0.25">
      <c r="E295" s="24" t="str">
        <f>IF($B295="","",IF(AND($B$4="Salary Points 2 to 57",B295&lt;Thresholds_Rates!$C$16),"-",IF(SUMIF(Grades!$A:$A,$B$4,Grades!$BO:$BO)=0,"-",IF(AND($B$4="Salary Points 2 to 57",B295&gt;=Thresholds_Rates!$C$16),$C295*Thresholds_Rates!$F$15,IF(AND(OR($B$4="New Consultant Contract"),$B295&lt;&gt;""),$C295*Thresholds_Rates!$F$15,IF(AND(OR($B$4="Clinical Lecturer / Medical Research Fellow",$B$4="Clinical Consultant - Old Contract (GP)"),$B295&lt;&gt;""),$C295*Thresholds_Rates!$F$15,IF(OR($B$4="APM Level 7",$B$4="R&amp;T Level 7"),$C295*Thresholds_Rates!$F$15,IF(SUMIF(Grades!$A:$A,$B$4,Grades!$BO:$BO)=1,$C295*Thresholds_Rates!$F$15,""))))))))</f>
        <v/>
      </c>
      <c r="K295" s="24" t="str">
        <f t="shared" si="23"/>
        <v/>
      </c>
      <c r="L295" s="24" t="str">
        <f t="shared" si="24"/>
        <v/>
      </c>
      <c r="M295" s="24" t="str">
        <f t="shared" si="25"/>
        <v/>
      </c>
      <c r="N295" s="24" t="str">
        <f t="shared" si="26"/>
        <v/>
      </c>
      <c r="O295" s="24" t="str">
        <f t="shared" si="27"/>
        <v/>
      </c>
    </row>
    <row r="296" spans="5:15" x14ac:dyDescent="0.25">
      <c r="K296" s="24" t="str">
        <f t="shared" si="23"/>
        <v/>
      </c>
      <c r="L296" s="24" t="str">
        <f t="shared" si="24"/>
        <v/>
      </c>
      <c r="M296" s="24" t="str">
        <f t="shared" si="25"/>
        <v/>
      </c>
      <c r="N296" s="24" t="str">
        <f t="shared" si="26"/>
        <v/>
      </c>
      <c r="O296" s="24" t="str">
        <f t="shared" si="27"/>
        <v/>
      </c>
    </row>
    <row r="297" spans="5:15" x14ac:dyDescent="0.25">
      <c r="K297" s="24" t="str">
        <f t="shared" si="23"/>
        <v/>
      </c>
      <c r="L297" s="24" t="str">
        <f t="shared" si="24"/>
        <v/>
      </c>
      <c r="M297" s="24" t="str">
        <f t="shared" si="25"/>
        <v/>
      </c>
      <c r="N297" s="24" t="str">
        <f t="shared" si="26"/>
        <v/>
      </c>
      <c r="O297" s="24" t="str">
        <f t="shared" si="27"/>
        <v/>
      </c>
    </row>
    <row r="298" spans="5:15" x14ac:dyDescent="0.25">
      <c r="K298" s="24" t="str">
        <f t="shared" si="23"/>
        <v/>
      </c>
      <c r="L298" s="24" t="str">
        <f t="shared" si="24"/>
        <v/>
      </c>
      <c r="M298" s="24" t="str">
        <f t="shared" si="25"/>
        <v/>
      </c>
      <c r="N298" s="24" t="str">
        <f t="shared" si="26"/>
        <v/>
      </c>
      <c r="O298" s="24" t="str">
        <f t="shared" si="27"/>
        <v/>
      </c>
    </row>
    <row r="299" spans="5:15" x14ac:dyDescent="0.25">
      <c r="K299" s="24" t="str">
        <f t="shared" si="23"/>
        <v/>
      </c>
      <c r="L299" s="24" t="str">
        <f t="shared" si="24"/>
        <v/>
      </c>
      <c r="M299" s="24" t="str">
        <f t="shared" si="25"/>
        <v/>
      </c>
      <c r="N299" s="24" t="str">
        <f t="shared" si="26"/>
        <v/>
      </c>
      <c r="O299" s="24" t="str">
        <f t="shared" si="27"/>
        <v/>
      </c>
    </row>
    <row r="300" spans="5:15" x14ac:dyDescent="0.25">
      <c r="K300" s="24" t="str">
        <f t="shared" si="23"/>
        <v/>
      </c>
      <c r="L300" s="24" t="str">
        <f t="shared" si="24"/>
        <v/>
      </c>
      <c r="M300" s="24" t="str">
        <f t="shared" si="25"/>
        <v/>
      </c>
      <c r="N300" s="24" t="str">
        <f t="shared" si="26"/>
        <v/>
      </c>
      <c r="O300" s="24" t="str">
        <f t="shared" si="27"/>
        <v/>
      </c>
    </row>
    <row r="301" spans="5:15" x14ac:dyDescent="0.25">
      <c r="K301" s="24" t="str">
        <f t="shared" si="23"/>
        <v/>
      </c>
      <c r="L301" s="24" t="str">
        <f t="shared" si="24"/>
        <v/>
      </c>
      <c r="M301" s="24" t="str">
        <f t="shared" si="25"/>
        <v/>
      </c>
      <c r="N301" s="24" t="str">
        <f t="shared" si="26"/>
        <v/>
      </c>
      <c r="O301" s="24" t="str">
        <f t="shared" si="27"/>
        <v/>
      </c>
    </row>
    <row r="302" spans="5:15" x14ac:dyDescent="0.25">
      <c r="K302" s="24" t="str">
        <f t="shared" si="23"/>
        <v/>
      </c>
      <c r="L302" s="24" t="str">
        <f t="shared" si="24"/>
        <v/>
      </c>
      <c r="M302" s="24" t="str">
        <f t="shared" si="25"/>
        <v/>
      </c>
      <c r="N302" s="24" t="str">
        <f t="shared" si="26"/>
        <v/>
      </c>
      <c r="O302" s="24" t="str">
        <f t="shared" si="27"/>
        <v/>
      </c>
    </row>
    <row r="303" spans="5:15" x14ac:dyDescent="0.25">
      <c r="K303" s="24" t="str">
        <f t="shared" si="23"/>
        <v/>
      </c>
      <c r="L303" s="24" t="str">
        <f t="shared" si="24"/>
        <v/>
      </c>
      <c r="M303" s="24" t="str">
        <f t="shared" si="25"/>
        <v/>
      </c>
      <c r="N303" s="24" t="str">
        <f t="shared" si="26"/>
        <v/>
      </c>
      <c r="O303" s="24" t="str">
        <f t="shared" si="27"/>
        <v/>
      </c>
    </row>
  </sheetData>
  <sheetProtection algorithmName="SHA-512" hashValue="PvRCdZtgbpsJnLhZvedxs7M7HmNhkyVhaZYa7WV08nu/mikD3lCr4Xi3uwEr/JD5UXRX7soST30xAnErQmpEjA==" saltValue="/ej71FUakgCjdeBfII5w3w==" spinCount="100000" sheet="1" objects="1" scenarios="1"/>
  <mergeCells count="8">
    <mergeCell ref="B1:I2"/>
    <mergeCell ref="S7:T7"/>
    <mergeCell ref="K7:O7"/>
    <mergeCell ref="Q7:R7"/>
    <mergeCell ref="E7:I7"/>
    <mergeCell ref="B4:C4"/>
    <mergeCell ref="E4:H4"/>
    <mergeCell ref="K2:P2"/>
  </mergeCells>
  <conditionalFormatting sqref="Q7:T8">
    <cfRule type="expression" dxfId="11" priority="6">
      <formula>$Q$8&lt;&gt;""</formula>
    </cfRule>
  </conditionalFormatting>
  <dataValidations count="1">
    <dataValidation type="list" allowBlank="1" showInputMessage="1" showErrorMessage="1" sqref="B4:C4">
      <formula1>LIST</formula1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71" orientation="landscape" r:id="rId1"/>
  <headerFooter>
    <oddHeader>&amp;C&amp;"-,Bold"&amp;20Pay Award Date: 01/08/2015 (01/04/2016 for Clinical Grades)
National Insurance: 2016/17 Tax Year</oddHeader>
    <oddFooter>&amp;CVersion 3, last changed 29/06/2016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6B5B06B3-D9FA-4CC9-92C4-BB3B587251A8}">
            <xm:f>$B9=Thresholds_Rates!$C$15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K174:O303 B9:O173 E174:E295</xm:sqref>
        </x14:conditionalFormatting>
        <x14:conditionalFormatting xmlns:xm="http://schemas.microsoft.com/office/excel/2006/main">
          <x14:cfRule type="expression" priority="21" id="{7A1CD022-C5B3-4A9F-B822-D53F5F12A0AE}">
            <xm:f>AND(Thresholds_Rates!$C$15=0,$B$4&lt;&gt;"O&amp;F Level 1",$B$4&lt;&gt;"O&amp;F Level 2")</xm:f>
            <x14:dxf>
              <numFmt numFmtId="0" formatCode="General"/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E4:H4</xm:sqref>
        </x14:conditionalFormatting>
        <x14:conditionalFormatting xmlns:xm="http://schemas.microsoft.com/office/excel/2006/main">
          <x14:cfRule type="expression" priority="22" id="{ABE4A44D-BD52-4335-A3FD-5FCEE129207B}">
            <xm:f>AND($B9=Thresholds_Rates!$C$15,$Q$8&lt;&gt;"")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P9:T173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showGridLines="0" zoomScale="70" zoomScaleNormal="70" workbookViewId="0">
      <pane ySplit="2" topLeftCell="A3" activePane="bottomLeft" state="frozen"/>
      <selection pane="bottomLeft" activeCell="W12" sqref="W12"/>
    </sheetView>
  </sheetViews>
  <sheetFormatPr defaultColWidth="9.140625" defaultRowHeight="15" x14ac:dyDescent="0.25"/>
  <cols>
    <col min="1" max="1" width="1.7109375" style="8" customWidth="1"/>
    <col min="2" max="2" width="9.140625" style="8" customWidth="1"/>
    <col min="3" max="3" width="13.28515625" style="8" bestFit="1" customWidth="1"/>
    <col min="4" max="4" width="1.42578125" style="1" customWidth="1"/>
    <col min="5" max="6" width="4.7109375" style="1" customWidth="1"/>
    <col min="7" max="7" width="4.7109375" style="8" customWidth="1"/>
    <col min="8" max="8" width="19.5703125" style="8" customWidth="1"/>
    <col min="9" max="10" width="9.140625" style="8" customWidth="1"/>
    <col min="11" max="11" width="19.5703125" style="8" customWidth="1"/>
    <col min="12" max="14" width="4.7109375" style="8" customWidth="1"/>
    <col min="15" max="15" width="1.140625" style="55" customWidth="1"/>
    <col min="16" max="16" width="12.85546875" style="8" customWidth="1"/>
    <col min="17" max="17" width="5.5703125" style="8" customWidth="1"/>
    <col min="18" max="18" width="1.5703125" style="8" customWidth="1"/>
    <col min="19" max="19" width="15.42578125" style="8" customWidth="1"/>
    <col min="20" max="20" width="9.140625" style="8" customWidth="1"/>
    <col min="21" max="16384" width="9.140625" style="8"/>
  </cols>
  <sheetData>
    <row r="1" spans="1:20" x14ac:dyDescent="0.25">
      <c r="A1" s="115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7"/>
    </row>
    <row r="2" spans="1:20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</row>
    <row r="3" spans="1:20" x14ac:dyDescent="0.25">
      <c r="H3" s="90" t="s">
        <v>80</v>
      </c>
    </row>
    <row r="4" spans="1:20" s="11" customFormat="1" ht="35.1" customHeight="1" x14ac:dyDescent="0.25">
      <c r="I4" s="40" t="s">
        <v>46</v>
      </c>
      <c r="J4" s="41" t="s">
        <v>1</v>
      </c>
      <c r="O4" s="42"/>
    </row>
    <row r="5" spans="1:20" s="11" customFormat="1" ht="35.1" customHeight="1" x14ac:dyDescent="0.25">
      <c r="I5" s="88">
        <v>1</v>
      </c>
      <c r="J5" s="89">
        <f>SUMIF(Points_Lookup!$A:$A,I5,Points_Lookup!$B:$B)</f>
        <v>14323</v>
      </c>
      <c r="O5" s="42"/>
    </row>
    <row r="6" spans="1:20" ht="24" customHeight="1" x14ac:dyDescent="0.25">
      <c r="H6" s="11"/>
      <c r="I6" s="88">
        <v>2</v>
      </c>
      <c r="J6" s="89">
        <f>SUMIF(Points_Lookup!$A:$A,I6,Points_Lookup!$B:$B)</f>
        <v>14767</v>
      </c>
      <c r="L6" s="11"/>
      <c r="M6" s="11"/>
      <c r="N6" s="11"/>
      <c r="O6" s="46"/>
    </row>
    <row r="7" spans="1:20" ht="24" customHeight="1" x14ac:dyDescent="0.25">
      <c r="H7" s="139"/>
      <c r="I7" s="43">
        <v>3</v>
      </c>
      <c r="J7" s="44">
        <f>SUMIF(Points_Lookup!$A:$A,I7,Points_Lookup!$B:$B)</f>
        <v>14953</v>
      </c>
      <c r="K7" s="70"/>
      <c r="L7" s="135" t="s">
        <v>64</v>
      </c>
      <c r="M7" s="138"/>
      <c r="N7" s="101"/>
      <c r="O7" s="46"/>
      <c r="P7" s="92" t="s">
        <v>66</v>
      </c>
    </row>
    <row r="8" spans="1:20" ht="24" customHeight="1" x14ac:dyDescent="0.25">
      <c r="H8" s="139"/>
      <c r="I8" s="43">
        <v>4</v>
      </c>
      <c r="J8" s="44">
        <f>SUMIF(Points_Lookup!$A:$A,I8,Points_Lookup!$B:$B)</f>
        <v>15258</v>
      </c>
      <c r="K8" s="47"/>
      <c r="L8" s="136"/>
      <c r="M8" s="138"/>
      <c r="N8" s="101"/>
      <c r="O8" s="46"/>
      <c r="P8" s="92" t="s">
        <v>67</v>
      </c>
    </row>
    <row r="9" spans="1:20" ht="24" customHeight="1" x14ac:dyDescent="0.25">
      <c r="H9" s="139"/>
      <c r="I9" s="43">
        <v>5</v>
      </c>
      <c r="J9" s="44">
        <f>SUMIF(Points_Lookup!$A:$A,I9,Points_Lookup!$B:$B)</f>
        <v>15632</v>
      </c>
      <c r="K9" s="47"/>
      <c r="L9" s="136"/>
      <c r="M9" s="138"/>
      <c r="N9" s="101"/>
      <c r="O9" s="46"/>
      <c r="P9" s="92" t="s">
        <v>68</v>
      </c>
    </row>
    <row r="10" spans="1:20" ht="24" customHeight="1" x14ac:dyDescent="0.25">
      <c r="H10" s="139"/>
      <c r="I10" s="43">
        <v>6</v>
      </c>
      <c r="J10" s="44">
        <f>SUMIF(Points_Lookup!$A:$A,I10,Points_Lookup!$B:$B)</f>
        <v>16017</v>
      </c>
      <c r="K10" s="62" t="s">
        <v>47</v>
      </c>
      <c r="L10" s="136"/>
      <c r="M10" s="138"/>
      <c r="N10" s="101"/>
      <c r="O10" s="46"/>
      <c r="P10" s="92" t="s">
        <v>69</v>
      </c>
    </row>
    <row r="11" spans="1:20" ht="24" customHeight="1" x14ac:dyDescent="0.25">
      <c r="I11" s="43">
        <v>7</v>
      </c>
      <c r="J11" s="44">
        <f>SUMIF(Points_Lookup!$A:$A,I11,Points_Lookup!$B:$B)</f>
        <v>16357</v>
      </c>
      <c r="K11" s="47"/>
      <c r="L11" s="136"/>
      <c r="M11" s="138"/>
      <c r="N11" s="101"/>
      <c r="O11" s="46"/>
      <c r="P11" s="92" t="s">
        <v>70</v>
      </c>
    </row>
    <row r="12" spans="1:20" ht="24" customHeight="1" x14ac:dyDescent="0.25">
      <c r="I12" s="43">
        <v>8</v>
      </c>
      <c r="J12" s="44">
        <f>SUMIF(Points_Lookup!$A:$A,I12,Points_Lookup!$B:$B)</f>
        <v>16776</v>
      </c>
      <c r="K12" s="47"/>
      <c r="L12" s="136"/>
      <c r="M12" s="138"/>
      <c r="N12" s="101"/>
      <c r="O12" s="46"/>
      <c r="P12" s="93"/>
    </row>
    <row r="13" spans="1:20" ht="24" customHeight="1" x14ac:dyDescent="0.25">
      <c r="F13" s="125"/>
      <c r="G13" s="129" t="s">
        <v>45</v>
      </c>
      <c r="H13" s="48"/>
      <c r="I13" s="43">
        <v>9</v>
      </c>
      <c r="J13" s="44">
        <f>SUMIF(Points_Lookup!$A:$A,I13,Points_Lookup!$B:$B)</f>
        <v>17210</v>
      </c>
      <c r="K13" s="47"/>
      <c r="L13" s="136"/>
      <c r="M13" s="138"/>
      <c r="N13" s="101"/>
      <c r="O13" s="46"/>
      <c r="P13" s="93"/>
      <c r="R13" s="49"/>
      <c r="S13" s="50"/>
      <c r="T13" s="132" t="s">
        <v>44</v>
      </c>
    </row>
    <row r="14" spans="1:20" ht="24" customHeight="1" x14ac:dyDescent="0.25">
      <c r="F14" s="126"/>
      <c r="G14" s="129"/>
      <c r="H14" s="51"/>
      <c r="I14" s="43">
        <v>10</v>
      </c>
      <c r="J14" s="44">
        <f>SUMIF(Points_Lookup!$A:$A,I14,Points_Lookup!$B:$B)</f>
        <v>17703</v>
      </c>
      <c r="K14" s="47"/>
      <c r="L14" s="136"/>
      <c r="M14" s="138"/>
      <c r="N14" s="101"/>
      <c r="O14" s="46"/>
      <c r="P14" s="92" t="s">
        <v>71</v>
      </c>
      <c r="R14" s="52"/>
      <c r="S14" s="53"/>
      <c r="T14" s="133"/>
    </row>
    <row r="15" spans="1:20" ht="24" customHeight="1" x14ac:dyDescent="0.25">
      <c r="F15" s="126"/>
      <c r="G15" s="129"/>
      <c r="H15" s="51"/>
      <c r="I15" s="43">
        <v>11</v>
      </c>
      <c r="J15" s="44">
        <f>SUMIF(Points_Lookup!$A:$A,I15,Points_Lookup!$B:$B)</f>
        <v>18212</v>
      </c>
      <c r="K15" s="47"/>
      <c r="L15" s="136"/>
      <c r="M15" s="138"/>
      <c r="N15" s="101"/>
      <c r="O15" s="46"/>
      <c r="P15" s="93"/>
      <c r="R15" s="52"/>
      <c r="S15" s="53"/>
      <c r="T15" s="133"/>
    </row>
    <row r="16" spans="1:20" ht="24" customHeight="1" x14ac:dyDescent="0.25">
      <c r="F16" s="126"/>
      <c r="G16" s="129"/>
      <c r="H16" s="51"/>
      <c r="I16" s="43">
        <v>12</v>
      </c>
      <c r="J16" s="44">
        <f>SUMIF(Points_Lookup!$A:$A,I16,Points_Lookup!$B:$B)</f>
        <v>18734</v>
      </c>
      <c r="K16" s="54"/>
      <c r="L16" s="137"/>
      <c r="M16" s="138"/>
      <c r="N16" s="101"/>
      <c r="O16" s="46"/>
      <c r="P16" s="93"/>
      <c r="R16" s="130" t="s">
        <v>10</v>
      </c>
      <c r="S16" s="131"/>
      <c r="T16" s="133"/>
    </row>
    <row r="17" spans="2:20" ht="24" customHeight="1" x14ac:dyDescent="0.25">
      <c r="F17" s="126"/>
      <c r="G17" s="129"/>
      <c r="H17" s="51"/>
      <c r="I17" s="43">
        <v>13</v>
      </c>
      <c r="J17" s="44">
        <f>SUMIF(Points_Lookup!$A:$A,I17,Points_Lookup!$B:$B)</f>
        <v>19273</v>
      </c>
      <c r="P17" s="93"/>
      <c r="R17" s="52"/>
      <c r="S17" s="53"/>
      <c r="T17" s="133"/>
    </row>
    <row r="18" spans="2:20" ht="24" customHeight="1" x14ac:dyDescent="0.25">
      <c r="F18" s="126"/>
      <c r="G18" s="129"/>
      <c r="H18" s="51"/>
      <c r="I18" s="43">
        <v>14</v>
      </c>
      <c r="J18" s="44">
        <f>SUMIF(Points_Lookup!$A:$A,I18,Points_Lookup!$B:$B)</f>
        <v>19828</v>
      </c>
      <c r="P18" s="93"/>
      <c r="R18" s="52"/>
      <c r="S18" s="53"/>
      <c r="T18" s="133"/>
    </row>
    <row r="19" spans="2:20" ht="24" customHeight="1" x14ac:dyDescent="0.25">
      <c r="F19" s="126"/>
      <c r="G19" s="129"/>
      <c r="H19" s="62" t="s">
        <v>48</v>
      </c>
      <c r="I19" s="43">
        <v>15</v>
      </c>
      <c r="J19" s="44">
        <f>SUMIF(Points_Lookup!$A:$A,I19,Points_Lookup!$B:$B)</f>
        <v>20400</v>
      </c>
      <c r="P19" s="92" t="s">
        <v>72</v>
      </c>
      <c r="R19" s="56"/>
      <c r="S19" s="57"/>
      <c r="T19" s="134"/>
    </row>
    <row r="20" spans="2:20" ht="24" customHeight="1" x14ac:dyDescent="0.25">
      <c r="F20" s="126"/>
      <c r="G20" s="129"/>
      <c r="H20" s="51"/>
      <c r="I20" s="43">
        <v>16</v>
      </c>
      <c r="J20" s="44">
        <f>SUMIF(Points_Lookup!$A:$A,I20,Points_Lookup!$B:$B)</f>
        <v>20989</v>
      </c>
      <c r="P20" s="93"/>
      <c r="R20" s="49"/>
      <c r="S20" s="50"/>
      <c r="T20" s="132" t="s">
        <v>43</v>
      </c>
    </row>
    <row r="21" spans="2:20" ht="24" customHeight="1" x14ac:dyDescent="0.25">
      <c r="F21" s="126"/>
      <c r="G21" s="129"/>
      <c r="H21" s="51"/>
      <c r="I21" s="43">
        <v>17</v>
      </c>
      <c r="J21" s="44">
        <f>SUMIF(Points_Lookup!$A:$A,I21,Points_Lookup!$B:$B)</f>
        <v>21605</v>
      </c>
      <c r="P21" s="93"/>
      <c r="R21" s="52"/>
      <c r="S21" s="53"/>
      <c r="T21" s="133"/>
    </row>
    <row r="22" spans="2:20" ht="24" customHeight="1" x14ac:dyDescent="0.25">
      <c r="F22" s="126"/>
      <c r="G22" s="129"/>
      <c r="H22" s="51"/>
      <c r="I22" s="43">
        <v>18</v>
      </c>
      <c r="J22" s="44">
        <f>SUMIF(Points_Lookup!$A:$A,I22,Points_Lookup!$B:$B)</f>
        <v>22249</v>
      </c>
      <c r="K22" s="45"/>
      <c r="L22" s="121" t="s">
        <v>42</v>
      </c>
      <c r="M22" s="124"/>
      <c r="N22" s="124"/>
      <c r="O22" s="58"/>
      <c r="P22" s="93"/>
      <c r="R22" s="52"/>
      <c r="S22" s="53"/>
      <c r="T22" s="133"/>
    </row>
    <row r="23" spans="2:20" ht="24" customHeight="1" x14ac:dyDescent="0.25">
      <c r="F23" s="126"/>
      <c r="G23" s="129"/>
      <c r="H23" s="51"/>
      <c r="I23" s="43">
        <v>19</v>
      </c>
      <c r="J23" s="44">
        <f>SUMIF(Points_Lookup!$A:$A,I23,Points_Lookup!$B:$B)</f>
        <v>22912</v>
      </c>
      <c r="K23" s="47"/>
      <c r="L23" s="122"/>
      <c r="M23" s="124"/>
      <c r="N23" s="124"/>
      <c r="O23" s="58"/>
      <c r="P23" s="93"/>
      <c r="R23" s="130" t="s">
        <v>10</v>
      </c>
      <c r="S23" s="131"/>
      <c r="T23" s="133"/>
    </row>
    <row r="24" spans="2:20" ht="24" customHeight="1" x14ac:dyDescent="0.25">
      <c r="F24" s="126"/>
      <c r="G24" s="129"/>
      <c r="H24" s="51"/>
      <c r="I24" s="43">
        <v>20</v>
      </c>
      <c r="J24" s="44">
        <f>SUMIF(Points_Lookup!$A:$A,I24,Points_Lookup!$B:$B)</f>
        <v>23619</v>
      </c>
      <c r="K24" s="47"/>
      <c r="L24" s="122"/>
      <c r="M24" s="124"/>
      <c r="N24" s="124"/>
      <c r="O24" s="58"/>
      <c r="P24" s="93"/>
      <c r="R24" s="52"/>
      <c r="S24" s="53"/>
      <c r="T24" s="133"/>
    </row>
    <row r="25" spans="2:20" ht="24" customHeight="1" x14ac:dyDescent="0.25">
      <c r="F25" s="127"/>
      <c r="G25" s="129"/>
      <c r="H25" s="59"/>
      <c r="I25" s="43">
        <v>21</v>
      </c>
      <c r="J25" s="44">
        <f>SUMIF(Points_Lookup!$A:$A,I25,Points_Lookup!$B:$B)</f>
        <v>24298</v>
      </c>
      <c r="K25" s="47"/>
      <c r="L25" s="122"/>
      <c r="M25" s="124"/>
      <c r="N25" s="124"/>
      <c r="O25" s="58"/>
      <c r="P25" s="92" t="s">
        <v>73</v>
      </c>
      <c r="R25" s="52"/>
      <c r="S25" s="53"/>
      <c r="T25" s="133"/>
    </row>
    <row r="26" spans="2:20" ht="24" customHeight="1" x14ac:dyDescent="0.25">
      <c r="I26" s="43">
        <v>22</v>
      </c>
      <c r="J26" s="44">
        <f>SUMIF(Points_Lookup!$A:$A,I26,Points_Lookup!$B:$B)</f>
        <v>25023</v>
      </c>
      <c r="K26" s="47"/>
      <c r="L26" s="122"/>
      <c r="M26" s="124"/>
      <c r="N26" s="124"/>
      <c r="O26" s="58"/>
      <c r="P26" s="93"/>
      <c r="R26" s="56"/>
      <c r="S26" s="57"/>
      <c r="T26" s="134"/>
    </row>
    <row r="27" spans="2:20" ht="24" customHeight="1" x14ac:dyDescent="0.25">
      <c r="B27" s="113"/>
      <c r="C27" s="76"/>
      <c r="D27" s="99"/>
      <c r="E27" s="99"/>
      <c r="F27" s="128"/>
      <c r="G27" s="128"/>
      <c r="H27" s="51"/>
      <c r="I27" s="43">
        <v>23</v>
      </c>
      <c r="J27" s="44">
        <f>SUMIF(Points_Lookup!$A:$A,I27,Points_Lookup!$B:$B)</f>
        <v>25769</v>
      </c>
      <c r="K27" s="47"/>
      <c r="L27" s="122"/>
      <c r="M27" s="124"/>
      <c r="N27" s="124"/>
      <c r="O27" s="58"/>
      <c r="P27" s="93"/>
    </row>
    <row r="28" spans="2:20" ht="24" customHeight="1" x14ac:dyDescent="0.25">
      <c r="B28" s="113"/>
      <c r="C28" s="76"/>
      <c r="D28" s="99"/>
      <c r="E28" s="99"/>
      <c r="F28" s="128"/>
      <c r="G28" s="128"/>
      <c r="H28" s="51"/>
      <c r="I28" s="43">
        <v>24</v>
      </c>
      <c r="J28" s="44">
        <f>SUMIF(Points_Lookup!$A:$A,I28,Points_Lookup!$B:$B)</f>
        <v>26537</v>
      </c>
      <c r="K28" s="62" t="s">
        <v>49</v>
      </c>
      <c r="L28" s="122"/>
      <c r="M28" s="124"/>
      <c r="N28" s="124"/>
      <c r="O28" s="58"/>
      <c r="P28" s="92" t="s">
        <v>74</v>
      </c>
    </row>
    <row r="29" spans="2:20" ht="24" customHeight="1" x14ac:dyDescent="0.25">
      <c r="B29" s="113"/>
      <c r="C29" s="100"/>
      <c r="D29" s="99"/>
      <c r="E29" s="99"/>
      <c r="F29" s="128"/>
      <c r="G29" s="128"/>
      <c r="H29" s="60"/>
      <c r="I29" s="43">
        <v>25</v>
      </c>
      <c r="J29" s="44">
        <f>SUMIF(Points_Lookup!$A:$A,I29,Points_Lookup!$B:$B)</f>
        <v>27328</v>
      </c>
      <c r="K29" s="47"/>
      <c r="L29" s="122"/>
      <c r="M29" s="124"/>
      <c r="N29" s="124"/>
      <c r="O29" s="58"/>
      <c r="P29" s="91"/>
    </row>
    <row r="30" spans="2:20" ht="24" customHeight="1" x14ac:dyDescent="0.25">
      <c r="B30" s="113"/>
      <c r="C30" s="77"/>
      <c r="D30" s="99"/>
      <c r="E30" s="99"/>
      <c r="F30" s="128"/>
      <c r="G30" s="128"/>
      <c r="H30" s="51"/>
      <c r="I30" s="43">
        <v>26</v>
      </c>
      <c r="J30" s="44">
        <f>SUMIF(Points_Lookup!$A:$A,I30,Points_Lookup!$B:$B)</f>
        <v>28143</v>
      </c>
      <c r="K30" s="47"/>
      <c r="L30" s="122"/>
      <c r="M30" s="124"/>
      <c r="N30" s="124"/>
      <c r="O30" s="58"/>
      <c r="P30" s="91"/>
    </row>
    <row r="31" spans="2:20" ht="24" customHeight="1" x14ac:dyDescent="0.25">
      <c r="B31" s="113"/>
      <c r="C31" s="76"/>
      <c r="D31" s="99"/>
      <c r="E31" s="114"/>
      <c r="F31" s="114"/>
      <c r="G31" s="114"/>
      <c r="H31" s="51"/>
      <c r="I31" s="43">
        <v>27</v>
      </c>
      <c r="J31" s="44">
        <f>SUMIF(Points_Lookup!$A:$A,I31,Points_Lookup!$B:$B)</f>
        <v>28982</v>
      </c>
      <c r="K31" s="47"/>
      <c r="L31" s="122"/>
      <c r="M31" s="124"/>
      <c r="N31" s="124"/>
      <c r="O31" s="58"/>
      <c r="P31" s="91"/>
    </row>
    <row r="32" spans="2:20" ht="24" customHeight="1" x14ac:dyDescent="0.25">
      <c r="B32" s="113"/>
      <c r="C32" s="76"/>
      <c r="D32" s="99"/>
      <c r="E32" s="114"/>
      <c r="F32" s="114"/>
      <c r="G32" s="114"/>
      <c r="H32" s="51"/>
      <c r="I32" s="43">
        <v>28</v>
      </c>
      <c r="J32" s="44">
        <f>SUMIF(Points_Lookup!$A:$A,I32,Points_Lookup!$B:$B)</f>
        <v>29847</v>
      </c>
      <c r="K32" s="47"/>
      <c r="L32" s="122"/>
      <c r="M32" s="124"/>
      <c r="N32" s="124"/>
      <c r="O32" s="58"/>
      <c r="P32" s="91"/>
    </row>
    <row r="33" spans="2:16" ht="24" customHeight="1" x14ac:dyDescent="0.25">
      <c r="B33" s="113"/>
      <c r="C33" s="76"/>
      <c r="D33" s="99"/>
      <c r="E33" s="114"/>
      <c r="F33" s="114"/>
      <c r="G33" s="114"/>
      <c r="H33" s="51"/>
      <c r="I33" s="43">
        <v>29</v>
      </c>
      <c r="J33" s="44">
        <f>SUMIF(Points_Lookup!$A:$A,I33,Points_Lookup!$B:$B)</f>
        <v>30738</v>
      </c>
      <c r="K33" s="47"/>
      <c r="L33" s="122"/>
      <c r="M33" s="124"/>
      <c r="N33" s="124"/>
      <c r="O33" s="58"/>
      <c r="P33" s="91"/>
    </row>
    <row r="34" spans="2:16" ht="24" customHeight="1" x14ac:dyDescent="0.25">
      <c r="B34" s="113"/>
      <c r="C34" s="76"/>
      <c r="D34" s="99"/>
      <c r="E34" s="114"/>
      <c r="F34" s="114"/>
      <c r="G34" s="114"/>
      <c r="H34" s="51"/>
      <c r="I34" s="61">
        <v>30</v>
      </c>
      <c r="J34" s="63">
        <f>SUMIF(Points_Lookup!$A:$A,I34,Points_Lookup!$B:$B)</f>
        <v>31656</v>
      </c>
      <c r="K34" s="54"/>
      <c r="L34" s="123"/>
      <c r="M34" s="124"/>
      <c r="N34" s="124"/>
      <c r="O34" s="58"/>
      <c r="P34" s="91"/>
    </row>
    <row r="35" spans="2:16" ht="35.1" customHeight="1" x14ac:dyDescent="0.25"/>
  </sheetData>
  <sheetProtection algorithmName="SHA-512" hashValue="gDWOJN7fRvHNe3sP9dwKRMycReZ/Xx450qo0eX0bnc+xo43H8hUtZ7NzEcjTXLrBb2FsGIeMC6W+2qN+MzfQPg==" saltValue="nXXrS9WECFxVZ16VScPDAw==" spinCount="100000" sheet="1" objects="1" scenarios="1"/>
  <mergeCells count="19">
    <mergeCell ref="M7:M16"/>
    <mergeCell ref="H7:H10"/>
    <mergeCell ref="G27:G30"/>
    <mergeCell ref="B27:B34"/>
    <mergeCell ref="E31:E34"/>
    <mergeCell ref="F31:F34"/>
    <mergeCell ref="A1:T2"/>
    <mergeCell ref="L22:L34"/>
    <mergeCell ref="M22:M34"/>
    <mergeCell ref="F13:F25"/>
    <mergeCell ref="F27:F30"/>
    <mergeCell ref="G13:G25"/>
    <mergeCell ref="N22:N34"/>
    <mergeCell ref="G31:G34"/>
    <mergeCell ref="R16:S16"/>
    <mergeCell ref="T13:T19"/>
    <mergeCell ref="T20:T26"/>
    <mergeCell ref="R23:S23"/>
    <mergeCell ref="L7:L16"/>
  </mergeCells>
  <conditionalFormatting sqref="A4:IV4 A11:K12 N15:IV16 L6 A7:O7 A5:G5 I5:K5 A6:J6 O5:IV5 N6:O6 N8:O14 Q6:IV14 Q19:IV19 D19:O19 D20:IV21 A13:B22 D13:K16 D17:IV18 D22:O22 Q22:IV28 A23:O34 Q29:IT34 A8:G10 I8:K10 A35:IV65511">
    <cfRule type="expression" dxfId="7" priority="8" stopIfTrue="1">
      <formula>RIGHT(A4,12)="Standard Max"</formula>
    </cfRule>
  </conditionalFormatting>
  <conditionalFormatting sqref="P7:P13">
    <cfRule type="expression" dxfId="6" priority="7" stopIfTrue="1">
      <formula>RIGHT(P7,12)="Standard Max"</formula>
    </cfRule>
  </conditionalFormatting>
  <conditionalFormatting sqref="P14">
    <cfRule type="expression" dxfId="5" priority="6" stopIfTrue="1">
      <formula>RIGHT(P14,12)="Standard Max"</formula>
    </cfRule>
  </conditionalFormatting>
  <conditionalFormatting sqref="P19">
    <cfRule type="expression" dxfId="4" priority="5" stopIfTrue="1">
      <formula>RIGHT(P19,12)="Standard Max"</formula>
    </cfRule>
  </conditionalFormatting>
  <conditionalFormatting sqref="C13:C22">
    <cfRule type="expression" dxfId="3" priority="4" stopIfTrue="1">
      <formula>RIGHT(C13,12)="Standard Max"</formula>
    </cfRule>
  </conditionalFormatting>
  <conditionalFormatting sqref="P22:P24 P26:P27 P29:P34">
    <cfRule type="expression" dxfId="2" priority="3" stopIfTrue="1">
      <formula>RIGHT(P22,12)="Standard Max"</formula>
    </cfRule>
  </conditionalFormatting>
  <conditionalFormatting sqref="P25">
    <cfRule type="expression" dxfId="1" priority="2" stopIfTrue="1">
      <formula>RIGHT(P25,12)="Standard Max"</formula>
    </cfRule>
  </conditionalFormatting>
  <conditionalFormatting sqref="P28">
    <cfRule type="expression" dxfId="0" priority="1" stopIfTrue="1">
      <formula>RIGHT(P28,12)="Standard Max"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&amp;C&amp;"-,Bold"&amp;36Effective Date of Pay Award: 01/08/2015</oddHeader>
    <oddFooter>&amp;CVersion3, last updated 
29/06/2016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showGridLines="0" topLeftCell="A7" zoomScale="115" zoomScaleNormal="115" workbookViewId="0">
      <selection activeCell="BI6" sqref="BI6"/>
    </sheetView>
  </sheetViews>
  <sheetFormatPr defaultColWidth="9.140625" defaultRowHeight="15" x14ac:dyDescent="0.25"/>
  <cols>
    <col min="2" max="2" width="24.42578125" bestFit="1" customWidth="1"/>
    <col min="3" max="3" width="9.140625" style="68" customWidth="1"/>
  </cols>
  <sheetData>
    <row r="2" spans="2:6" x14ac:dyDescent="0.25">
      <c r="B2" s="66" t="s">
        <v>60</v>
      </c>
      <c r="C2" s="78">
        <v>2016</v>
      </c>
      <c r="D2" t="s">
        <v>61</v>
      </c>
    </row>
    <row r="3" spans="2:6" x14ac:dyDescent="0.25">
      <c r="C3" s="79"/>
    </row>
    <row r="4" spans="2:6" x14ac:dyDescent="0.25">
      <c r="B4" s="67" t="s">
        <v>55</v>
      </c>
      <c r="C4" s="80">
        <v>486</v>
      </c>
    </row>
    <row r="5" spans="2:6" x14ac:dyDescent="0.25">
      <c r="B5" s="67" t="s">
        <v>56</v>
      </c>
      <c r="C5" s="78">
        <v>676</v>
      </c>
    </row>
    <row r="6" spans="2:6" x14ac:dyDescent="0.25">
      <c r="B6" s="67" t="s">
        <v>58</v>
      </c>
      <c r="C6" s="78">
        <v>672</v>
      </c>
    </row>
    <row r="7" spans="2:6" x14ac:dyDescent="0.25">
      <c r="B7" s="67" t="s">
        <v>57</v>
      </c>
      <c r="C7" s="78">
        <v>3337</v>
      </c>
    </row>
    <row r="8" spans="2:6" x14ac:dyDescent="0.25">
      <c r="B8" s="67" t="s">
        <v>53</v>
      </c>
      <c r="C8" s="69">
        <v>3.4000000000000002E-2</v>
      </c>
    </row>
    <row r="9" spans="2:6" x14ac:dyDescent="0.25">
      <c r="B9" s="67" t="s">
        <v>59</v>
      </c>
      <c r="C9" s="69">
        <v>0.104</v>
      </c>
      <c r="D9" s="65"/>
    </row>
    <row r="10" spans="2:6" x14ac:dyDescent="0.25">
      <c r="B10" s="67" t="s">
        <v>54</v>
      </c>
      <c r="C10" s="69">
        <v>0.13800000000000001</v>
      </c>
    </row>
    <row r="14" spans="2:6" x14ac:dyDescent="0.25">
      <c r="E14" s="66" t="s">
        <v>87</v>
      </c>
      <c r="F14" s="66"/>
    </row>
    <row r="15" spans="2:6" x14ac:dyDescent="0.25">
      <c r="B15" s="95" t="s">
        <v>10</v>
      </c>
      <c r="C15" s="95">
        <f>IF(Rates!$B$4="","",SUMIF(Grades!$A:$A,Rates!$B$4,Grades!$BI:$BI))</f>
        <v>0</v>
      </c>
      <c r="D15" s="25"/>
      <c r="E15" s="96" t="s">
        <v>83</v>
      </c>
      <c r="F15" s="97">
        <v>0.18</v>
      </c>
    </row>
    <row r="16" spans="2:6" x14ac:dyDescent="0.25">
      <c r="B16" s="96" t="s">
        <v>82</v>
      </c>
      <c r="C16" s="97">
        <v>23</v>
      </c>
      <c r="D16" s="33"/>
      <c r="E16" s="96" t="s">
        <v>84</v>
      </c>
      <c r="F16" s="97">
        <v>0.14299999999999999</v>
      </c>
    </row>
    <row r="17" spans="2:6" x14ac:dyDescent="0.25">
      <c r="B17" s="95" t="s">
        <v>25</v>
      </c>
      <c r="C17" s="97">
        <v>30</v>
      </c>
      <c r="D17" s="25"/>
      <c r="E17" s="96" t="s">
        <v>85</v>
      </c>
      <c r="F17" s="97">
        <v>0.39</v>
      </c>
    </row>
    <row r="18" spans="2:6" x14ac:dyDescent="0.25">
      <c r="B18" s="95" t="s">
        <v>11</v>
      </c>
      <c r="C18" s="95">
        <f>IF(Rates!$B$4="","",SUMIF(Grades!$A:$A,Rates!$B$4,Grades!$BJ:$BJ))</f>
        <v>0</v>
      </c>
      <c r="D18" s="25"/>
      <c r="E18" s="96" t="s">
        <v>86</v>
      </c>
      <c r="F18" s="97">
        <v>0.1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zoomScale="85" zoomScaleNormal="85" workbookViewId="0">
      <selection activeCell="A5" sqref="A5"/>
    </sheetView>
  </sheetViews>
  <sheetFormatPr defaultColWidth="9.140625" defaultRowHeight="15" x14ac:dyDescent="0.25"/>
  <cols>
    <col min="1" max="1" width="134.85546875" bestFit="1" customWidth="1"/>
  </cols>
  <sheetData>
    <row r="1" spans="1:1" s="31" customFormat="1" ht="20.100000000000001" customHeight="1" x14ac:dyDescent="0.25">
      <c r="A1" s="36" t="s">
        <v>31</v>
      </c>
    </row>
    <row r="2" spans="1:1" s="31" customFormat="1" ht="34.5" customHeight="1" x14ac:dyDescent="0.25">
      <c r="A2" s="37" t="s">
        <v>38</v>
      </c>
    </row>
    <row r="3" spans="1:1" s="31" customFormat="1" ht="34.5" customHeight="1" x14ac:dyDescent="0.25">
      <c r="A3" s="38" t="s">
        <v>52</v>
      </c>
    </row>
    <row r="4" spans="1:1" s="31" customFormat="1" ht="35.1" customHeight="1" x14ac:dyDescent="0.25">
      <c r="A4" s="37" t="s">
        <v>36</v>
      </c>
    </row>
    <row r="5" spans="1:1" s="31" customFormat="1" ht="35.1" customHeight="1" x14ac:dyDescent="0.25">
      <c r="A5" s="38" t="s">
        <v>34</v>
      </c>
    </row>
    <row r="6" spans="1:1" s="31" customFormat="1" ht="35.1" customHeight="1" x14ac:dyDescent="0.25">
      <c r="A6" s="38" t="s">
        <v>32</v>
      </c>
    </row>
    <row r="7" spans="1:1" s="31" customFormat="1" ht="35.1" customHeight="1" x14ac:dyDescent="0.25">
      <c r="A7" s="38" t="s">
        <v>41</v>
      </c>
    </row>
    <row r="8" spans="1:1" s="31" customFormat="1" ht="35.1" customHeight="1" x14ac:dyDescent="0.25">
      <c r="A8" s="38" t="s">
        <v>62</v>
      </c>
    </row>
    <row r="9" spans="1:1" s="31" customFormat="1" ht="35.1" customHeight="1" x14ac:dyDescent="0.25">
      <c r="A9" s="38"/>
    </row>
    <row r="10" spans="1:1" s="31" customFormat="1" ht="35.1" customHeight="1" x14ac:dyDescent="0.25">
      <c r="A10" s="36" t="s">
        <v>33</v>
      </c>
    </row>
    <row r="11" spans="1:1" s="31" customFormat="1" ht="35.1" customHeight="1" x14ac:dyDescent="0.25">
      <c r="A11" s="94" t="s">
        <v>81</v>
      </c>
    </row>
    <row r="12" spans="1:1" s="31" customFormat="1" ht="35.1" customHeight="1" x14ac:dyDescent="0.25">
      <c r="A12" s="38"/>
    </row>
    <row r="13" spans="1:1" s="31" customFormat="1" ht="35.1" customHeight="1" x14ac:dyDescent="0.25">
      <c r="A13" s="38" t="s">
        <v>39</v>
      </c>
    </row>
    <row r="14" spans="1:1" ht="35.1" customHeight="1" x14ac:dyDescent="0.25">
      <c r="A14" s="38" t="s">
        <v>35</v>
      </c>
    </row>
  </sheetData>
  <sheetProtection password="CCB2" sheet="1" objects="1" scenarios="1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86"/>
  <sheetViews>
    <sheetView showGridLines="0" zoomScale="80" workbookViewId="0">
      <pane ySplit="2" topLeftCell="A3" activePane="bottomLeft" state="frozenSplit"/>
      <selection activeCell="BI6" sqref="BI6"/>
      <selection pane="bottomLeft" activeCell="D1" sqref="D1:D1048576"/>
    </sheetView>
  </sheetViews>
  <sheetFormatPr defaultColWidth="9.140625" defaultRowHeight="15" x14ac:dyDescent="0.25"/>
  <cols>
    <col min="1" max="2" width="10.42578125" style="1" customWidth="1"/>
    <col min="3" max="3" width="14.85546875" style="1" customWidth="1"/>
    <col min="4" max="5" width="10.42578125" style="1" customWidth="1"/>
    <col min="6" max="6" width="10.42578125" style="18" customWidth="1"/>
    <col min="7" max="8" width="10.42578125" style="1" customWidth="1"/>
    <col min="9" max="9" width="9.140625" style="18" customWidth="1"/>
    <col min="10" max="10" width="11.140625" style="1" customWidth="1"/>
    <col min="11" max="11" width="9.85546875" style="1" bestFit="1" customWidth="1"/>
    <col min="12" max="12" width="9.140625" style="1" customWidth="1"/>
    <col min="13" max="13" width="20.28515625" style="1" customWidth="1"/>
    <col min="14" max="14" width="9.140625" style="1" customWidth="1"/>
    <col min="15" max="15" width="13.42578125" style="1" bestFit="1" customWidth="1"/>
    <col min="16" max="16" width="9.140625" style="1" customWidth="1"/>
    <col min="17" max="17" width="15.42578125" style="1" customWidth="1"/>
    <col min="18" max="18" width="19" style="1" customWidth="1"/>
    <col min="19" max="19" width="9.140625" style="1" customWidth="1"/>
    <col min="20" max="20" width="25.42578125" style="1" bestFit="1" customWidth="1"/>
    <col min="21" max="21" width="8.28515625" style="1" bestFit="1" customWidth="1"/>
    <col min="22" max="22" width="8.42578125" style="1" bestFit="1" customWidth="1"/>
    <col min="23" max="23" width="9.5703125" style="1" bestFit="1" customWidth="1"/>
    <col min="24" max="26" width="11" style="1" bestFit="1" customWidth="1"/>
    <col min="27" max="28" width="20.140625" style="1" customWidth="1"/>
    <col min="29" max="29" width="11" style="1" customWidth="1"/>
    <col min="30" max="34" width="9.140625" style="1" customWidth="1"/>
    <col min="35" max="35" width="12" style="1" customWidth="1"/>
    <col min="36" max="36" width="11.28515625" style="1" bestFit="1" customWidth="1"/>
    <col min="37" max="37" width="9.140625" style="1" customWidth="1"/>
    <col min="38" max="16384" width="9.140625" style="1"/>
  </cols>
  <sheetData>
    <row r="1" spans="1:37" ht="35.25" customHeight="1" x14ac:dyDescent="0.25">
      <c r="A1" s="4"/>
      <c r="B1" s="4"/>
      <c r="C1" s="4"/>
      <c r="D1" s="4"/>
      <c r="E1" s="4"/>
      <c r="F1" s="7"/>
      <c r="G1" s="4"/>
      <c r="H1" s="4"/>
      <c r="I1" s="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F1" s="8"/>
      <c r="AG1" s="8"/>
      <c r="AH1" s="8"/>
      <c r="AI1" s="8"/>
      <c r="AJ1" s="8"/>
    </row>
    <row r="2" spans="1:37" ht="91.5" customHeight="1" x14ac:dyDescent="0.25">
      <c r="A2" s="3" t="s">
        <v>0</v>
      </c>
      <c r="B2" s="3" t="s">
        <v>1</v>
      </c>
      <c r="C2" s="9"/>
      <c r="D2" s="3" t="s">
        <v>6</v>
      </c>
      <c r="E2" s="3" t="s">
        <v>1</v>
      </c>
      <c r="F2" s="10"/>
      <c r="G2" s="3" t="s">
        <v>14</v>
      </c>
      <c r="H2" s="75" t="s">
        <v>1</v>
      </c>
      <c r="I2" s="10"/>
      <c r="J2" s="3" t="s">
        <v>13</v>
      </c>
      <c r="K2" s="3" t="s">
        <v>1</v>
      </c>
      <c r="L2" s="4"/>
      <c r="M2" s="3" t="s">
        <v>23</v>
      </c>
      <c r="N2" s="3" t="s">
        <v>28</v>
      </c>
      <c r="O2" s="3" t="s">
        <v>1</v>
      </c>
      <c r="P2" s="3" t="s">
        <v>27</v>
      </c>
      <c r="Q2" s="3" t="s">
        <v>29</v>
      </c>
      <c r="R2" s="3" t="s">
        <v>30</v>
      </c>
      <c r="S2" s="4"/>
      <c r="T2" s="3" t="s">
        <v>24</v>
      </c>
      <c r="U2" s="3" t="s">
        <v>28</v>
      </c>
      <c r="V2" s="3" t="s">
        <v>1</v>
      </c>
      <c r="W2" s="3" t="s">
        <v>27</v>
      </c>
      <c r="X2" s="3" t="s">
        <v>29</v>
      </c>
      <c r="Y2" s="3" t="s">
        <v>30</v>
      </c>
      <c r="Z2" s="4"/>
      <c r="AA2" s="3" t="s">
        <v>50</v>
      </c>
      <c r="AB2" s="3" t="s">
        <v>51</v>
      </c>
      <c r="AC2" s="3" t="s">
        <v>1</v>
      </c>
      <c r="AD2" s="4"/>
      <c r="AE2" s="1" t="s">
        <v>12</v>
      </c>
      <c r="AF2" s="11"/>
      <c r="AG2" s="11"/>
      <c r="AH2" s="11"/>
      <c r="AI2" s="11"/>
      <c r="AJ2" s="11"/>
      <c r="AK2" s="11"/>
    </row>
    <row r="3" spans="1:37" ht="18.75" customHeight="1" x14ac:dyDescent="0.25">
      <c r="A3" s="12">
        <v>1</v>
      </c>
      <c r="B3" s="81">
        <v>14323</v>
      </c>
      <c r="C3" s="24"/>
      <c r="D3" s="13">
        <v>1</v>
      </c>
      <c r="E3" s="83">
        <v>58754</v>
      </c>
      <c r="F3" s="39"/>
      <c r="G3" s="13">
        <v>1</v>
      </c>
      <c r="H3" s="74">
        <v>31614</v>
      </c>
      <c r="I3" s="14"/>
      <c r="J3" s="13">
        <v>1</v>
      </c>
      <c r="K3" s="74">
        <v>76001</v>
      </c>
      <c r="L3" s="4"/>
      <c r="M3" s="12">
        <v>36</v>
      </c>
      <c r="N3" s="26">
        <v>0.05</v>
      </c>
      <c r="O3" s="15">
        <f t="shared" ref="O3:O15" si="0">SUMIF($A:$A,M3,$B:$B)</f>
        <v>37768</v>
      </c>
      <c r="P3" s="12">
        <f t="shared" ref="P3:P15" si="1">ROUND(O3+(O3*N3),0)</f>
        <v>39656</v>
      </c>
      <c r="Q3" s="26">
        <v>0.15</v>
      </c>
      <c r="R3" s="12">
        <f t="shared" ref="R3:R15" si="2">ROUND(O3*Q3,0)</f>
        <v>5665</v>
      </c>
      <c r="S3" s="4"/>
      <c r="T3" s="12">
        <v>45</v>
      </c>
      <c r="U3" s="26">
        <v>0.1</v>
      </c>
      <c r="V3" s="15">
        <f t="shared" ref="V3:V15" si="3">SUMIF($A:$A,T3,$B:$B)</f>
        <v>49230</v>
      </c>
      <c r="W3" s="12">
        <f t="shared" ref="W3:W15" si="4">ROUND(V3+(V3*U3),0)</f>
        <v>54153</v>
      </c>
      <c r="X3" s="26">
        <v>0.15</v>
      </c>
      <c r="Y3" s="12">
        <f t="shared" ref="Y3:Y15" si="5">ROUND(V3*X3,0)</f>
        <v>7385</v>
      </c>
      <c r="Z3" s="64"/>
      <c r="AA3" s="12">
        <v>1</v>
      </c>
      <c r="AB3" s="12">
        <v>116</v>
      </c>
      <c r="AC3" s="12">
        <f>SUMIF($A:$A,AB3,$B:$B)</f>
        <v>10026</v>
      </c>
      <c r="AD3" s="4"/>
      <c r="AE3" s="1" t="str">
        <f ca="1">IFERROR(MATCH(A3,OFFSET(Grades!$A$1,MATCH(Rates!$B$4,LIST,0),2,1,SUMIF(Grades!$A:$A,Rates!$B$4,Grades!$B:$B)),0),"")</f>
        <v/>
      </c>
    </row>
    <row r="4" spans="1:37" ht="18.75" customHeight="1" x14ac:dyDescent="0.2">
      <c r="A4" s="12">
        <v>2</v>
      </c>
      <c r="B4" s="82">
        <v>14767</v>
      </c>
      <c r="C4" s="24"/>
      <c r="D4" s="13">
        <v>2</v>
      </c>
      <c r="E4" s="83">
        <v>59926</v>
      </c>
      <c r="F4" s="39"/>
      <c r="G4" s="13">
        <v>2</v>
      </c>
      <c r="H4" s="74">
        <v>33180</v>
      </c>
      <c r="I4" s="14"/>
      <c r="J4" s="13">
        <v>2</v>
      </c>
      <c r="K4" s="74">
        <v>78381</v>
      </c>
      <c r="L4" s="4"/>
      <c r="M4" s="12">
        <v>37</v>
      </c>
      <c r="N4" s="26">
        <v>0.05</v>
      </c>
      <c r="O4" s="15">
        <f t="shared" si="0"/>
        <v>38896</v>
      </c>
      <c r="P4" s="12">
        <f t="shared" si="1"/>
        <v>40841</v>
      </c>
      <c r="Q4" s="26">
        <v>0.15</v>
      </c>
      <c r="R4" s="12">
        <f t="shared" si="2"/>
        <v>5834</v>
      </c>
      <c r="S4" s="4"/>
      <c r="T4" s="12">
        <v>46</v>
      </c>
      <c r="U4" s="26">
        <v>0.1</v>
      </c>
      <c r="V4" s="15">
        <f t="shared" si="3"/>
        <v>50702</v>
      </c>
      <c r="W4" s="12">
        <f t="shared" si="4"/>
        <v>55772</v>
      </c>
      <c r="X4" s="26">
        <v>0.15</v>
      </c>
      <c r="Y4" s="12">
        <f t="shared" si="5"/>
        <v>7605</v>
      </c>
      <c r="Z4" s="64"/>
      <c r="AA4" s="12">
        <v>2</v>
      </c>
      <c r="AB4" s="12">
        <v>216</v>
      </c>
      <c r="AC4" s="15">
        <f>SUM(14599*70%)</f>
        <v>10219.299999999999</v>
      </c>
      <c r="AD4" s="4"/>
      <c r="AE4" s="1">
        <f ca="1">IFERROR(MATCH(A4,OFFSET(Grades!$A$1,MATCH(Rates!$B$4,LIST,0),2,1,SUMIF(Grades!$A:$A,Rates!$B$4,Grades!$B:$B)),0),"")</f>
        <v>1</v>
      </c>
    </row>
    <row r="5" spans="1:37" ht="18.75" customHeight="1" x14ac:dyDescent="0.2">
      <c r="A5" s="12">
        <v>3</v>
      </c>
      <c r="B5" s="82">
        <v>14953</v>
      </c>
      <c r="C5" s="24"/>
      <c r="D5" s="13">
        <v>3</v>
      </c>
      <c r="E5" s="83">
        <v>61122</v>
      </c>
      <c r="F5" s="39"/>
      <c r="G5" s="13">
        <v>3</v>
      </c>
      <c r="H5" s="74">
        <v>34746</v>
      </c>
      <c r="I5" s="14"/>
      <c r="J5" s="13">
        <v>3</v>
      </c>
      <c r="K5" s="74">
        <v>80761</v>
      </c>
      <c r="L5" s="4"/>
      <c r="M5" s="12">
        <v>38</v>
      </c>
      <c r="N5" s="26">
        <v>0.05</v>
      </c>
      <c r="O5" s="15">
        <f t="shared" si="0"/>
        <v>40082</v>
      </c>
      <c r="P5" s="12">
        <f t="shared" si="1"/>
        <v>42086</v>
      </c>
      <c r="Q5" s="26">
        <v>0.15</v>
      </c>
      <c r="R5" s="12">
        <f t="shared" si="2"/>
        <v>6012</v>
      </c>
      <c r="S5" s="4"/>
      <c r="T5" s="12">
        <v>47</v>
      </c>
      <c r="U5" s="26">
        <v>0.1</v>
      </c>
      <c r="V5" s="15">
        <f t="shared" si="3"/>
        <v>52219</v>
      </c>
      <c r="W5" s="12">
        <f t="shared" si="4"/>
        <v>57441</v>
      </c>
      <c r="X5" s="26">
        <v>0.15</v>
      </c>
      <c r="Y5" s="12">
        <f t="shared" si="5"/>
        <v>7833</v>
      </c>
      <c r="Z5" s="64"/>
      <c r="AA5" s="12">
        <v>3</v>
      </c>
      <c r="AB5" s="12">
        <v>316</v>
      </c>
      <c r="AC5" s="12">
        <f>SUMIF($A:$A,AB5,$B:$B)</f>
        <v>10467</v>
      </c>
      <c r="AD5" s="4"/>
      <c r="AE5" s="1">
        <f ca="1">IFERROR(MATCH(A5,OFFSET(Grades!$A$1,MATCH(Rates!$B$4,LIST,0),2,1,SUMIF(Grades!$A:$A,Rates!$B$4,Grades!$B:$B)),0),"")</f>
        <v>2</v>
      </c>
    </row>
    <row r="6" spans="1:37" ht="18.75" customHeight="1" x14ac:dyDescent="0.2">
      <c r="A6" s="12">
        <v>4</v>
      </c>
      <c r="B6" s="82">
        <v>15258</v>
      </c>
      <c r="C6" s="24"/>
      <c r="D6" s="13">
        <v>4</v>
      </c>
      <c r="E6" s="83">
        <v>62341</v>
      </c>
      <c r="F6" s="39"/>
      <c r="G6" s="13">
        <v>4</v>
      </c>
      <c r="H6" s="74">
        <v>36312</v>
      </c>
      <c r="I6" s="14"/>
      <c r="J6" s="13">
        <v>4</v>
      </c>
      <c r="K6" s="74">
        <v>83141</v>
      </c>
      <c r="L6" s="4"/>
      <c r="M6" s="12">
        <v>39</v>
      </c>
      <c r="N6" s="26">
        <v>0.05</v>
      </c>
      <c r="O6" s="15">
        <f t="shared" si="0"/>
        <v>41255</v>
      </c>
      <c r="P6" s="12">
        <f t="shared" si="1"/>
        <v>43318</v>
      </c>
      <c r="Q6" s="26">
        <v>0.15</v>
      </c>
      <c r="R6" s="12">
        <f t="shared" si="2"/>
        <v>6188</v>
      </c>
      <c r="S6" s="4"/>
      <c r="T6" s="12">
        <v>48</v>
      </c>
      <c r="U6" s="26">
        <v>0.1</v>
      </c>
      <c r="V6" s="15">
        <f t="shared" si="3"/>
        <v>53781</v>
      </c>
      <c r="W6" s="12">
        <f t="shared" si="4"/>
        <v>59159</v>
      </c>
      <c r="X6" s="26">
        <v>0.15</v>
      </c>
      <c r="Y6" s="12">
        <f t="shared" si="5"/>
        <v>8067</v>
      </c>
      <c r="Z6" s="64"/>
      <c r="AA6" s="12">
        <v>4</v>
      </c>
      <c r="AB6" s="12">
        <v>117</v>
      </c>
      <c r="AC6" s="12">
        <f>SUMIF($A:$A,AB6,$B:$B)</f>
        <v>12175</v>
      </c>
      <c r="AD6" s="4"/>
      <c r="AE6" s="1">
        <f ca="1">IFERROR(MATCH(A6,OFFSET(Grades!$A$1,MATCH(Rates!$B$4,LIST,0),2,1,SUMIF(Grades!$A:$A,Rates!$B$4,Grades!$B:$B)),0),"")</f>
        <v>3</v>
      </c>
    </row>
    <row r="7" spans="1:37" ht="18.75" customHeight="1" x14ac:dyDescent="0.2">
      <c r="A7" s="12">
        <v>5</v>
      </c>
      <c r="B7" s="82">
        <v>15632</v>
      </c>
      <c r="C7" s="24"/>
      <c r="D7" s="13">
        <v>5</v>
      </c>
      <c r="E7" s="83">
        <v>63585</v>
      </c>
      <c r="F7" s="39"/>
      <c r="G7" s="13">
        <v>5</v>
      </c>
      <c r="H7" s="74">
        <v>38200</v>
      </c>
      <c r="I7" s="14"/>
      <c r="J7" s="13">
        <v>5</v>
      </c>
      <c r="K7" s="74">
        <v>85514</v>
      </c>
      <c r="L7" s="4"/>
      <c r="M7" s="12">
        <v>40</v>
      </c>
      <c r="N7" s="26">
        <v>0.05</v>
      </c>
      <c r="O7" s="15">
        <f t="shared" si="0"/>
        <v>42488</v>
      </c>
      <c r="P7" s="12">
        <f t="shared" si="1"/>
        <v>44612</v>
      </c>
      <c r="Q7" s="26">
        <v>0.15</v>
      </c>
      <c r="R7" s="12">
        <f t="shared" si="2"/>
        <v>6373</v>
      </c>
      <c r="S7" s="4"/>
      <c r="T7" s="12">
        <v>49</v>
      </c>
      <c r="U7" s="26">
        <v>0.1</v>
      </c>
      <c r="V7" s="15">
        <f t="shared" si="3"/>
        <v>55389</v>
      </c>
      <c r="W7" s="12">
        <f t="shared" si="4"/>
        <v>60928</v>
      </c>
      <c r="X7" s="26">
        <v>0.15</v>
      </c>
      <c r="Y7" s="12">
        <f t="shared" si="5"/>
        <v>8308</v>
      </c>
      <c r="Z7" s="64"/>
      <c r="AA7" s="12">
        <v>5</v>
      </c>
      <c r="AB7" s="12">
        <v>217</v>
      </c>
      <c r="AC7" s="15">
        <f>SUM(14599*85%)</f>
        <v>12409.15</v>
      </c>
      <c r="AD7" s="4"/>
      <c r="AE7" s="1">
        <f ca="1">IFERROR(MATCH(A7,OFFSET(Grades!$A$1,MATCH(Rates!$B$4,LIST,0),2,1,SUMIF(Grades!$A:$A,Rates!$B$4,Grades!$B:$B)),0),"")</f>
        <v>4</v>
      </c>
    </row>
    <row r="8" spans="1:37" ht="18.75" customHeight="1" x14ac:dyDescent="0.2">
      <c r="A8" s="12">
        <v>6</v>
      </c>
      <c r="B8" s="82">
        <v>16017</v>
      </c>
      <c r="C8" s="24"/>
      <c r="D8" s="13">
        <v>6</v>
      </c>
      <c r="E8" s="83">
        <v>64854</v>
      </c>
      <c r="F8" s="39"/>
      <c r="G8" s="13">
        <v>6</v>
      </c>
      <c r="H8" s="74">
        <v>40090</v>
      </c>
      <c r="I8" s="14"/>
      <c r="J8" s="13">
        <v>6</v>
      </c>
      <c r="K8" s="74">
        <v>91166</v>
      </c>
      <c r="L8" s="4"/>
      <c r="M8" s="12">
        <v>41</v>
      </c>
      <c r="N8" s="26">
        <v>0.05</v>
      </c>
      <c r="O8" s="15">
        <f t="shared" si="0"/>
        <v>43758</v>
      </c>
      <c r="P8" s="12">
        <f t="shared" si="1"/>
        <v>45946</v>
      </c>
      <c r="Q8" s="26">
        <v>0.15</v>
      </c>
      <c r="R8" s="12">
        <f t="shared" si="2"/>
        <v>6564</v>
      </c>
      <c r="S8" s="4"/>
      <c r="T8" s="12">
        <v>50</v>
      </c>
      <c r="U8" s="26">
        <v>0.1</v>
      </c>
      <c r="V8" s="15">
        <f t="shared" si="3"/>
        <v>57047</v>
      </c>
      <c r="W8" s="12">
        <f t="shared" si="4"/>
        <v>62752</v>
      </c>
      <c r="X8" s="26">
        <v>0.15</v>
      </c>
      <c r="Y8" s="12">
        <f t="shared" si="5"/>
        <v>8557</v>
      </c>
      <c r="Z8" s="64"/>
      <c r="AA8" s="12">
        <v>6</v>
      </c>
      <c r="AB8" s="12">
        <v>317</v>
      </c>
      <c r="AC8" s="12">
        <f>SUMIF($A:$A,AB8,$B:$B)</f>
        <v>12710</v>
      </c>
      <c r="AD8" s="4"/>
      <c r="AE8" s="1">
        <f ca="1">IFERROR(MATCH(A8,OFFSET(Grades!$A$1,MATCH(Rates!$B$4,LIST,0),2,1,SUMIF(Grades!$A:$A,Rates!$B$4,Grades!$B:$B)),0),"")</f>
        <v>5</v>
      </c>
    </row>
    <row r="9" spans="1:37" ht="18.75" customHeight="1" x14ac:dyDescent="0.2">
      <c r="A9" s="12">
        <v>7</v>
      </c>
      <c r="B9" s="82">
        <v>16357</v>
      </c>
      <c r="C9" s="24"/>
      <c r="D9" s="13">
        <v>7</v>
      </c>
      <c r="E9" s="83">
        <v>66147</v>
      </c>
      <c r="F9" s="39"/>
      <c r="G9" s="13">
        <v>7</v>
      </c>
      <c r="H9" s="74">
        <v>41979</v>
      </c>
      <c r="I9" s="14"/>
      <c r="J9" s="13">
        <v>7</v>
      </c>
      <c r="K9" s="74">
        <v>96819</v>
      </c>
      <c r="L9" s="4"/>
      <c r="M9" s="12">
        <v>42</v>
      </c>
      <c r="N9" s="26">
        <v>0.05</v>
      </c>
      <c r="O9" s="15">
        <f t="shared" si="0"/>
        <v>45066</v>
      </c>
      <c r="P9" s="12">
        <f t="shared" si="1"/>
        <v>47319</v>
      </c>
      <c r="Q9" s="26">
        <v>0.15</v>
      </c>
      <c r="R9" s="12">
        <f t="shared" si="2"/>
        <v>6760</v>
      </c>
      <c r="S9" s="4"/>
      <c r="T9" s="12">
        <v>51</v>
      </c>
      <c r="U9" s="26">
        <v>0.15</v>
      </c>
      <c r="V9" s="15">
        <f t="shared" si="3"/>
        <v>58754</v>
      </c>
      <c r="W9" s="12">
        <f t="shared" si="4"/>
        <v>67567</v>
      </c>
      <c r="X9" s="26">
        <v>0.2</v>
      </c>
      <c r="Y9" s="12">
        <f t="shared" si="5"/>
        <v>11751</v>
      </c>
      <c r="Z9" s="64"/>
      <c r="AA9" s="12">
        <v>7</v>
      </c>
      <c r="AB9" s="12">
        <v>2</v>
      </c>
      <c r="AC9" s="12">
        <v>14599</v>
      </c>
      <c r="AD9" s="4"/>
      <c r="AE9" s="1">
        <f ca="1">IFERROR(MATCH(A9,OFFSET(Grades!$A$1,MATCH(Rates!$B$4,LIST,0),2,1,SUMIF(Grades!$A:$A,Rates!$B$4,Grades!$B:$B)),0),"")</f>
        <v>6</v>
      </c>
    </row>
    <row r="10" spans="1:37" ht="18.75" customHeight="1" x14ac:dyDescent="0.2">
      <c r="A10" s="12">
        <v>8</v>
      </c>
      <c r="B10" s="82">
        <v>16776</v>
      </c>
      <c r="C10" s="24"/>
      <c r="D10" s="13">
        <v>8</v>
      </c>
      <c r="E10" s="83">
        <v>67467</v>
      </c>
      <c r="F10" s="39"/>
      <c r="G10" s="13">
        <v>8</v>
      </c>
      <c r="H10" s="74">
        <v>43868</v>
      </c>
      <c r="I10" s="14"/>
      <c r="J10" s="13">
        <v>8</v>
      </c>
      <c r="K10" s="74">
        <v>102465</v>
      </c>
      <c r="L10" s="4"/>
      <c r="M10" s="12">
        <v>43</v>
      </c>
      <c r="N10" s="26">
        <v>0.1</v>
      </c>
      <c r="O10" s="15">
        <f t="shared" si="0"/>
        <v>46414</v>
      </c>
      <c r="P10" s="12">
        <f t="shared" si="1"/>
        <v>51055</v>
      </c>
      <c r="Q10" s="26">
        <v>0.15</v>
      </c>
      <c r="R10" s="12">
        <f t="shared" si="2"/>
        <v>6962</v>
      </c>
      <c r="S10" s="4"/>
      <c r="T10" s="12">
        <v>52</v>
      </c>
      <c r="U10" s="26">
        <v>0.15</v>
      </c>
      <c r="V10" s="15">
        <f t="shared" si="3"/>
        <v>60494</v>
      </c>
      <c r="W10" s="12">
        <f t="shared" si="4"/>
        <v>69568</v>
      </c>
      <c r="X10" s="26">
        <v>0.2</v>
      </c>
      <c r="Y10" s="12">
        <f t="shared" si="5"/>
        <v>12099</v>
      </c>
      <c r="Z10" s="64"/>
      <c r="AA10" s="12">
        <v>8</v>
      </c>
      <c r="AB10" s="12">
        <v>3</v>
      </c>
      <c r="AC10" s="12">
        <f>SUMIF($A:$A,AB10,$B:$B)</f>
        <v>14953</v>
      </c>
      <c r="AD10" s="4"/>
      <c r="AE10" s="1">
        <f ca="1">IFERROR(MATCH(A10,OFFSET(Grades!$A$1,MATCH(Rates!$B$4,LIST,0),2,1,SUMIF(Grades!$A:$A,Rates!$B$4,Grades!$B:$B)),0),"")</f>
        <v>7</v>
      </c>
    </row>
    <row r="11" spans="1:37" ht="18.75" customHeight="1" x14ac:dyDescent="0.2">
      <c r="A11" s="12">
        <v>9</v>
      </c>
      <c r="B11" s="82">
        <v>17210</v>
      </c>
      <c r="C11" s="24"/>
      <c r="D11" s="13">
        <v>9</v>
      </c>
      <c r="E11" s="83">
        <v>68813</v>
      </c>
      <c r="F11" s="39"/>
      <c r="G11" s="13">
        <v>9</v>
      </c>
      <c r="H11" s="74">
        <v>45757</v>
      </c>
      <c r="I11" s="14"/>
      <c r="J11" s="14"/>
      <c r="K11" s="14"/>
      <c r="L11" s="4"/>
      <c r="M11" s="12">
        <v>44</v>
      </c>
      <c r="N11" s="26">
        <v>0.1</v>
      </c>
      <c r="O11" s="15">
        <f t="shared" si="0"/>
        <v>47801</v>
      </c>
      <c r="P11" s="12">
        <f t="shared" si="1"/>
        <v>52581</v>
      </c>
      <c r="Q11" s="26">
        <v>0.15</v>
      </c>
      <c r="R11" s="12">
        <f t="shared" si="2"/>
        <v>7170</v>
      </c>
      <c r="S11" s="4"/>
      <c r="T11" s="12">
        <v>53</v>
      </c>
      <c r="U11" s="26">
        <v>0.15</v>
      </c>
      <c r="V11" s="15">
        <f t="shared" si="3"/>
        <v>62305</v>
      </c>
      <c r="W11" s="12">
        <f t="shared" si="4"/>
        <v>71651</v>
      </c>
      <c r="X11" s="26">
        <v>0.2</v>
      </c>
      <c r="Y11" s="12">
        <f t="shared" si="5"/>
        <v>12461</v>
      </c>
      <c r="Z11" s="64"/>
      <c r="AA11" s="12">
        <v>9</v>
      </c>
      <c r="AB11" s="12">
        <v>7</v>
      </c>
      <c r="AC11" s="12">
        <f>SUMIF($A:$A,AB11,$B:$B)</f>
        <v>16357</v>
      </c>
      <c r="AD11" s="4"/>
      <c r="AE11" s="1">
        <f ca="1">IFERROR(MATCH(A11,OFFSET(Grades!$A$1,MATCH(Rates!$B$4,LIST,0),2,1,SUMIF(Grades!$A:$A,Rates!$B$4,Grades!$B:$B)),0),"")</f>
        <v>8</v>
      </c>
    </row>
    <row r="12" spans="1:37" ht="18.75" customHeight="1" x14ac:dyDescent="0.2">
      <c r="A12" s="12">
        <v>10</v>
      </c>
      <c r="B12" s="82">
        <v>17703</v>
      </c>
      <c r="C12" s="24"/>
      <c r="D12" s="13">
        <v>10</v>
      </c>
      <c r="E12" s="83">
        <v>70186</v>
      </c>
      <c r="F12" s="39"/>
      <c r="G12" s="13">
        <v>10</v>
      </c>
      <c r="H12" s="74">
        <v>50669</v>
      </c>
      <c r="I12" s="14"/>
      <c r="J12" s="14"/>
      <c r="K12" s="14"/>
      <c r="L12" s="4"/>
      <c r="M12" s="12">
        <v>45</v>
      </c>
      <c r="N12" s="26">
        <v>0.1</v>
      </c>
      <c r="O12" s="15">
        <f t="shared" si="0"/>
        <v>49230</v>
      </c>
      <c r="P12" s="12">
        <f t="shared" si="1"/>
        <v>54153</v>
      </c>
      <c r="Q12" s="26">
        <v>0.15</v>
      </c>
      <c r="R12" s="12">
        <f t="shared" si="2"/>
        <v>7385</v>
      </c>
      <c r="S12" s="4"/>
      <c r="T12" s="12">
        <v>54</v>
      </c>
      <c r="U12" s="26">
        <v>0.15</v>
      </c>
      <c r="V12" s="15">
        <f t="shared" si="3"/>
        <v>64171</v>
      </c>
      <c r="W12" s="12">
        <f t="shared" si="4"/>
        <v>73797</v>
      </c>
      <c r="X12" s="26">
        <v>0.2</v>
      </c>
      <c r="Y12" s="12">
        <f t="shared" si="5"/>
        <v>12834</v>
      </c>
      <c r="Z12" s="64"/>
      <c r="AA12" s="12">
        <v>10</v>
      </c>
      <c r="AB12" s="12">
        <v>8</v>
      </c>
      <c r="AC12" s="12">
        <f>SUMIF($A:$A,AB12,$B:$B)</f>
        <v>16776</v>
      </c>
      <c r="AD12" s="4"/>
      <c r="AE12" s="1">
        <f ca="1">IFERROR(MATCH(A12,OFFSET(Grades!$A$1,MATCH(Rates!$B$4,LIST,0),2,1,SUMIF(Grades!$A:$A,Rates!$B$4,Grades!$B:$B)),0),"")</f>
        <v>9</v>
      </c>
    </row>
    <row r="13" spans="1:37" ht="18.75" customHeight="1" x14ac:dyDescent="0.2">
      <c r="A13" s="12">
        <v>11</v>
      </c>
      <c r="B13" s="82">
        <v>18212</v>
      </c>
      <c r="C13" s="24"/>
      <c r="D13" s="13">
        <v>11</v>
      </c>
      <c r="E13" s="83">
        <v>71586</v>
      </c>
      <c r="F13" s="39"/>
      <c r="G13" s="13">
        <v>11</v>
      </c>
      <c r="H13" s="74">
        <v>54741</v>
      </c>
      <c r="I13" s="14"/>
      <c r="J13" s="14"/>
      <c r="K13" s="14"/>
      <c r="L13" s="4"/>
      <c r="M13" s="12">
        <v>46</v>
      </c>
      <c r="N13" s="26">
        <v>0.1</v>
      </c>
      <c r="O13" s="15">
        <f t="shared" si="0"/>
        <v>50702</v>
      </c>
      <c r="P13" s="12">
        <f t="shared" si="1"/>
        <v>55772</v>
      </c>
      <c r="Q13" s="26">
        <v>0.15</v>
      </c>
      <c r="R13" s="12">
        <f t="shared" si="2"/>
        <v>7605</v>
      </c>
      <c r="S13" s="4"/>
      <c r="T13" s="12">
        <v>55</v>
      </c>
      <c r="U13" s="26">
        <v>0.15</v>
      </c>
      <c r="V13" s="15">
        <f t="shared" si="3"/>
        <v>66091</v>
      </c>
      <c r="W13" s="12">
        <f t="shared" si="4"/>
        <v>76005</v>
      </c>
      <c r="X13" s="26">
        <v>0.2</v>
      </c>
      <c r="Y13" s="12">
        <f t="shared" si="5"/>
        <v>13218</v>
      </c>
      <c r="Z13" s="64"/>
      <c r="AA13" s="12">
        <v>11</v>
      </c>
      <c r="AB13" s="12">
        <v>9</v>
      </c>
      <c r="AC13" s="12">
        <f>SUMIF($A:$A,AB13,$B:$B)</f>
        <v>17210</v>
      </c>
      <c r="AD13" s="4"/>
      <c r="AE13" s="1">
        <f ca="1">IFERROR(MATCH(A13,OFFSET(Grades!$A$1,MATCH(Rates!$B$4,LIST,0),2,1,SUMIF(Grades!$A:$A,Rates!$B$4,Grades!$B:$B)),0),"")</f>
        <v>10</v>
      </c>
    </row>
    <row r="14" spans="1:37" ht="18.75" customHeight="1" x14ac:dyDescent="0.2">
      <c r="A14" s="12">
        <v>12</v>
      </c>
      <c r="B14" s="82">
        <v>18734</v>
      </c>
      <c r="C14" s="24"/>
      <c r="D14" s="13">
        <v>12</v>
      </c>
      <c r="E14" s="83">
        <v>73015</v>
      </c>
      <c r="F14" s="39"/>
      <c r="G14" s="13">
        <v>19</v>
      </c>
      <c r="H14" s="74">
        <v>63102</v>
      </c>
      <c r="I14" s="14"/>
      <c r="J14" s="14"/>
      <c r="K14" s="14"/>
      <c r="L14" s="4"/>
      <c r="M14" s="12">
        <v>47</v>
      </c>
      <c r="N14" s="26">
        <v>0.1</v>
      </c>
      <c r="O14" s="15">
        <f t="shared" si="0"/>
        <v>52219</v>
      </c>
      <c r="P14" s="12">
        <f t="shared" si="1"/>
        <v>57441</v>
      </c>
      <c r="Q14" s="26">
        <v>0.15</v>
      </c>
      <c r="R14" s="12">
        <f t="shared" si="2"/>
        <v>7833</v>
      </c>
      <c r="S14" s="4"/>
      <c r="T14" s="12">
        <v>56</v>
      </c>
      <c r="U14" s="26">
        <v>0.15</v>
      </c>
      <c r="V14" s="15">
        <f t="shared" si="3"/>
        <v>68068</v>
      </c>
      <c r="W14" s="12">
        <f t="shared" si="4"/>
        <v>78278</v>
      </c>
      <c r="X14" s="26">
        <v>0.2</v>
      </c>
      <c r="Y14" s="12">
        <f t="shared" si="5"/>
        <v>13614</v>
      </c>
      <c r="Z14" s="64"/>
      <c r="AA14" s="64"/>
      <c r="AB14" s="64"/>
      <c r="AC14" s="64"/>
      <c r="AD14" s="4"/>
      <c r="AE14" s="1">
        <f ca="1">IFERROR(MATCH(A14,OFFSET(Grades!$A$1,MATCH(Rates!$B$4,LIST,0),2,1,SUMIF(Grades!$A:$A,Rates!$B$4,Grades!$B:$B)),0),"")</f>
        <v>11</v>
      </c>
    </row>
    <row r="15" spans="1:37" ht="18.75" customHeight="1" x14ac:dyDescent="0.2">
      <c r="A15" s="12">
        <v>13</v>
      </c>
      <c r="B15" s="82">
        <v>19273</v>
      </c>
      <c r="C15" s="24"/>
      <c r="D15" s="13">
        <v>13</v>
      </c>
      <c r="E15" s="83">
        <v>74471</v>
      </c>
      <c r="F15" s="39"/>
      <c r="G15" s="13">
        <v>20</v>
      </c>
      <c r="H15" s="74">
        <v>67617</v>
      </c>
      <c r="I15" s="14"/>
      <c r="J15" s="14"/>
      <c r="K15" s="14"/>
      <c r="L15" s="4"/>
      <c r="M15" s="12">
        <v>48</v>
      </c>
      <c r="N15" s="26">
        <v>0.1</v>
      </c>
      <c r="O15" s="15">
        <f t="shared" si="0"/>
        <v>53781</v>
      </c>
      <c r="P15" s="12">
        <f t="shared" si="1"/>
        <v>59159</v>
      </c>
      <c r="Q15" s="26">
        <v>0.15</v>
      </c>
      <c r="R15" s="12">
        <f t="shared" si="2"/>
        <v>8067</v>
      </c>
      <c r="S15" s="4"/>
      <c r="T15" s="12">
        <v>57</v>
      </c>
      <c r="U15" s="26">
        <v>0.15</v>
      </c>
      <c r="V15" s="15">
        <f t="shared" si="3"/>
        <v>70106</v>
      </c>
      <c r="W15" s="12">
        <f t="shared" si="4"/>
        <v>80622</v>
      </c>
      <c r="X15" s="26">
        <v>0.2</v>
      </c>
      <c r="Y15" s="12">
        <f t="shared" si="5"/>
        <v>14021</v>
      </c>
      <c r="Z15" s="64"/>
      <c r="AA15" s="64"/>
      <c r="AB15" s="64"/>
      <c r="AC15" s="64"/>
      <c r="AD15" s="4"/>
      <c r="AE15" s="1">
        <f ca="1">IFERROR(MATCH(A15,OFFSET(Grades!$A$1,MATCH(Rates!$B$4,LIST,0),2,1,SUMIF(Grades!$A:$A,Rates!$B$4,Grades!$B:$B)),0),"")</f>
        <v>12</v>
      </c>
    </row>
    <row r="16" spans="1:37" ht="18.75" customHeight="1" x14ac:dyDescent="0.2">
      <c r="A16" s="12">
        <v>14</v>
      </c>
      <c r="B16" s="82">
        <v>19828</v>
      </c>
      <c r="C16" s="24"/>
      <c r="D16" s="13">
        <v>14</v>
      </c>
      <c r="E16" s="83">
        <v>75959</v>
      </c>
      <c r="F16" s="39"/>
      <c r="G16" s="13">
        <v>21</v>
      </c>
      <c r="H16" s="74">
        <v>72133</v>
      </c>
      <c r="I16" s="14"/>
      <c r="J16" s="14"/>
      <c r="K16" s="1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1">
        <f ca="1">IFERROR(MATCH(A16,OFFSET(Grades!$A$1,MATCH(Rates!$B$4,LIST,0),2,1,SUMIF(Grades!$A:$A,Rates!$B$4,Grades!$B:$B)),0),"")</f>
        <v>13</v>
      </c>
    </row>
    <row r="17" spans="1:31" ht="18.75" customHeight="1" x14ac:dyDescent="0.2">
      <c r="A17" s="12">
        <v>15</v>
      </c>
      <c r="B17" s="82">
        <v>20400</v>
      </c>
      <c r="C17" s="24"/>
      <c r="D17" s="13">
        <v>15</v>
      </c>
      <c r="E17" s="83">
        <v>77475</v>
      </c>
      <c r="F17" s="39"/>
      <c r="G17" s="13">
        <v>22</v>
      </c>
      <c r="H17" s="74">
        <v>76649</v>
      </c>
      <c r="I17" s="14"/>
      <c r="J17" s="14"/>
      <c r="K17" s="1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">
        <f ca="1">IFERROR(MATCH(A17,OFFSET(Grades!$A$1,MATCH(Rates!$B$4,LIST,0),2,1,SUMIF(Grades!$A:$A,Rates!$B$4,Grades!$B:$B)),0),"")</f>
        <v>14</v>
      </c>
    </row>
    <row r="18" spans="1:31" ht="18.75" customHeight="1" x14ac:dyDescent="0.2">
      <c r="A18" s="12">
        <v>16</v>
      </c>
      <c r="B18" s="82">
        <v>20989</v>
      </c>
      <c r="C18" s="24"/>
      <c r="D18" s="13">
        <v>16</v>
      </c>
      <c r="E18" s="83">
        <v>79021</v>
      </c>
      <c r="F18" s="39"/>
      <c r="G18" s="13">
        <v>23</v>
      </c>
      <c r="H18" s="74">
        <v>81798</v>
      </c>
      <c r="I18" s="14"/>
      <c r="J18" s="14"/>
      <c r="K18" s="1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1">
        <f ca="1">IFERROR(MATCH(A18,OFFSET(Grades!$A$1,MATCH(Rates!$B$4,LIST,0),2,1,SUMIF(Grades!$A:$A,Rates!$B$4,Grades!$B:$B)),0),"")</f>
        <v>15</v>
      </c>
    </row>
    <row r="19" spans="1:31" ht="18.75" customHeight="1" x14ac:dyDescent="0.2">
      <c r="A19" s="12">
        <v>17</v>
      </c>
      <c r="B19" s="82">
        <v>21605</v>
      </c>
      <c r="C19" s="24"/>
      <c r="D19" s="13">
        <v>17</v>
      </c>
      <c r="E19" s="83">
        <v>80598</v>
      </c>
      <c r="F19" s="39"/>
      <c r="G19" s="14"/>
      <c r="H19" s="14"/>
      <c r="I19" s="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1">
        <f ca="1">IFERROR(MATCH(A19,OFFSET(Grades!$A$1,MATCH(Rates!$B$4,LIST,0),2,1,SUMIF(Grades!$A:$A,Rates!$B$4,Grades!$B:$B)),0),"")</f>
        <v>16</v>
      </c>
    </row>
    <row r="20" spans="1:31" ht="18.75" customHeight="1" x14ac:dyDescent="0.2">
      <c r="A20" s="12">
        <v>18</v>
      </c>
      <c r="B20" s="82">
        <v>22249</v>
      </c>
      <c r="C20" s="24"/>
      <c r="D20" s="13">
        <v>18</v>
      </c>
      <c r="E20" s="83">
        <v>82207</v>
      </c>
      <c r="F20" s="39"/>
      <c r="G20" s="14"/>
      <c r="H20" s="14"/>
      <c r="I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1">
        <f ca="1">IFERROR(MATCH(A20,OFFSET(Grades!$A$1,MATCH(Rates!$B$4,LIST,0),2,1,SUMIF(Grades!$A:$A,Rates!$B$4,Grades!$B:$B)),0),"")</f>
        <v>17</v>
      </c>
    </row>
    <row r="21" spans="1:31" ht="18.75" customHeight="1" x14ac:dyDescent="0.2">
      <c r="A21" s="12">
        <v>19</v>
      </c>
      <c r="B21" s="82">
        <v>22912</v>
      </c>
      <c r="C21" s="24"/>
      <c r="D21" s="13">
        <v>19</v>
      </c>
      <c r="E21" s="83">
        <v>83849</v>
      </c>
      <c r="F21" s="39"/>
      <c r="G21" s="14"/>
      <c r="H21" s="14"/>
      <c r="I21" s="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1">
        <f ca="1">IFERROR(MATCH(A21,OFFSET(Grades!$A$1,MATCH(Rates!$B$4,LIST,0),2,1,SUMIF(Grades!$A:$A,Rates!$B$4,Grades!$B:$B)),0),"")</f>
        <v>18</v>
      </c>
    </row>
    <row r="22" spans="1:31" ht="18.75" customHeight="1" x14ac:dyDescent="0.2">
      <c r="A22" s="12">
        <v>20</v>
      </c>
      <c r="B22" s="82">
        <v>23619</v>
      </c>
      <c r="C22" s="24"/>
      <c r="D22" s="13">
        <v>20</v>
      </c>
      <c r="E22" s="83">
        <v>85522</v>
      </c>
      <c r="F22" s="39"/>
      <c r="G22" s="14"/>
      <c r="H22" s="14"/>
      <c r="I22" s="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">
        <f ca="1">IFERROR(MATCH(A22,OFFSET(Grades!$A$1,MATCH(Rates!$B$4,LIST,0),2,1,SUMIF(Grades!$A:$A,Rates!$B$4,Grades!$B:$B)),0),"")</f>
        <v>19</v>
      </c>
    </row>
    <row r="23" spans="1:31" ht="18.75" customHeight="1" x14ac:dyDescent="0.2">
      <c r="A23" s="12">
        <v>21</v>
      </c>
      <c r="B23" s="82">
        <v>24298</v>
      </c>
      <c r="C23" s="24"/>
      <c r="D23" s="13">
        <v>21</v>
      </c>
      <c r="E23" s="83">
        <v>87228</v>
      </c>
      <c r="F23" s="39"/>
      <c r="G23" s="14"/>
      <c r="H23" s="14"/>
      <c r="I23" s="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">
        <f ca="1">IFERROR(MATCH(A23,OFFSET(Grades!$A$1,MATCH(Rates!$B$4,LIST,0),2,1,SUMIF(Grades!$A:$A,Rates!$B$4,Grades!$B:$B)),0),"")</f>
        <v>20</v>
      </c>
    </row>
    <row r="24" spans="1:31" ht="18.75" customHeight="1" x14ac:dyDescent="0.2">
      <c r="A24" s="12">
        <v>22</v>
      </c>
      <c r="B24" s="82">
        <v>25023</v>
      </c>
      <c r="C24" s="24"/>
      <c r="D24" s="13">
        <v>22</v>
      </c>
      <c r="E24" s="83">
        <v>88970</v>
      </c>
      <c r="F24" s="39"/>
      <c r="G24" s="14"/>
      <c r="H24" s="14"/>
      <c r="I24" s="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1">
        <f ca="1">IFERROR(MATCH(A24,OFFSET(Grades!$A$1,MATCH(Rates!$B$4,LIST,0),2,1,SUMIF(Grades!$A:$A,Rates!$B$4,Grades!$B:$B)),0),"")</f>
        <v>21</v>
      </c>
    </row>
    <row r="25" spans="1:31" ht="18.75" customHeight="1" x14ac:dyDescent="0.2">
      <c r="A25" s="12">
        <v>23</v>
      </c>
      <c r="B25" s="82">
        <v>25769</v>
      </c>
      <c r="C25" s="24"/>
      <c r="D25" s="13">
        <v>23</v>
      </c>
      <c r="E25" s="83">
        <v>90746</v>
      </c>
      <c r="F25" s="39"/>
      <c r="G25" s="14"/>
      <c r="H25" s="14"/>
      <c r="I25" s="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">
        <f ca="1">IFERROR(MATCH(A25,OFFSET(Grades!$A$1,MATCH(Rates!$B$4,LIST,0),2,1,SUMIF(Grades!$A:$A,Rates!$B$4,Grades!$B:$B)),0),"")</f>
        <v>22</v>
      </c>
    </row>
    <row r="26" spans="1:31" ht="18.75" customHeight="1" x14ac:dyDescent="0.2">
      <c r="A26" s="12">
        <v>24</v>
      </c>
      <c r="B26" s="82">
        <v>26537</v>
      </c>
      <c r="C26" s="24"/>
      <c r="D26" s="13">
        <v>24</v>
      </c>
      <c r="E26" s="83">
        <v>92558</v>
      </c>
      <c r="F26" s="39"/>
      <c r="G26" s="14"/>
      <c r="H26" s="14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1">
        <f ca="1">IFERROR(MATCH(A26,OFFSET(Grades!$A$1,MATCH(Rates!$B$4,LIST,0),2,1,SUMIF(Grades!$A:$A,Rates!$B$4,Grades!$B:$B)),0),"")</f>
        <v>23</v>
      </c>
    </row>
    <row r="27" spans="1:31" ht="18.75" customHeight="1" x14ac:dyDescent="0.2">
      <c r="A27" s="12">
        <v>25</v>
      </c>
      <c r="B27" s="82">
        <v>27328</v>
      </c>
      <c r="C27" s="24"/>
      <c r="D27" s="13">
        <v>25</v>
      </c>
      <c r="E27" s="83">
        <v>94405</v>
      </c>
      <c r="F27" s="39"/>
      <c r="G27" s="14"/>
      <c r="H27" s="14"/>
      <c r="I27" s="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1">
        <f ca="1">IFERROR(MATCH(A27,OFFSET(Grades!$A$1,MATCH(Rates!$B$4,LIST,0),2,1,SUMIF(Grades!$A:$A,Rates!$B$4,Grades!$B:$B)),0),"")</f>
        <v>24</v>
      </c>
    </row>
    <row r="28" spans="1:31" ht="18.75" customHeight="1" x14ac:dyDescent="0.2">
      <c r="A28" s="12">
        <v>26</v>
      </c>
      <c r="B28" s="82">
        <v>28143</v>
      </c>
      <c r="C28" s="24"/>
      <c r="D28" s="13">
        <v>26</v>
      </c>
      <c r="E28" s="83">
        <v>96289</v>
      </c>
      <c r="F28" s="39"/>
      <c r="G28" s="14"/>
      <c r="H28" s="14"/>
      <c r="I28" s="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1">
        <f ca="1">IFERROR(MATCH(A28,OFFSET(Grades!$A$1,MATCH(Rates!$B$4,LIST,0),2,1,SUMIF(Grades!$A:$A,Rates!$B$4,Grades!$B:$B)),0),"")</f>
        <v>25</v>
      </c>
    </row>
    <row r="29" spans="1:31" ht="18.75" customHeight="1" x14ac:dyDescent="0.2">
      <c r="A29" s="12">
        <v>27</v>
      </c>
      <c r="B29" s="82">
        <v>28982</v>
      </c>
      <c r="C29" s="24"/>
      <c r="D29" s="4"/>
      <c r="E29" s="4"/>
      <c r="F29" s="7"/>
      <c r="G29" s="4"/>
      <c r="H29" s="4"/>
      <c r="I29" s="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1">
        <f ca="1">IFERROR(MATCH(A29,OFFSET(Grades!$A$1,MATCH(Rates!$B$4,LIST,0),2,1,SUMIF(Grades!$A:$A,Rates!$B$4,Grades!$B:$B)),0),"")</f>
        <v>26</v>
      </c>
    </row>
    <row r="30" spans="1:31" ht="18.75" customHeight="1" x14ac:dyDescent="0.2">
      <c r="A30" s="12">
        <v>28</v>
      </c>
      <c r="B30" s="82">
        <v>29847</v>
      </c>
      <c r="C30" s="24"/>
      <c r="D30" s="4"/>
      <c r="E30" s="4"/>
      <c r="F30" s="7"/>
      <c r="G30" s="4"/>
      <c r="H30" s="4"/>
      <c r="I30" s="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">
        <f ca="1">IFERROR(MATCH(A30,OFFSET(Grades!$A$1,MATCH(Rates!$B$4,LIST,0),2,1,SUMIF(Grades!$A:$A,Rates!$B$4,Grades!$B:$B)),0),"")</f>
        <v>27</v>
      </c>
    </row>
    <row r="31" spans="1:31" ht="18.75" customHeight="1" x14ac:dyDescent="0.2">
      <c r="A31" s="12">
        <v>29</v>
      </c>
      <c r="B31" s="82">
        <v>30738</v>
      </c>
      <c r="C31" s="24"/>
      <c r="D31" s="4"/>
      <c r="E31" s="4"/>
      <c r="F31" s="7"/>
      <c r="G31" s="4"/>
      <c r="H31" s="4"/>
      <c r="I31" s="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1">
        <f ca="1">IFERROR(MATCH(A31,OFFSET(Grades!$A$1,MATCH(Rates!$B$4,LIST,0),2,1,SUMIF(Grades!$A:$A,Rates!$B$4,Grades!$B:$B)),0),"")</f>
        <v>28</v>
      </c>
    </row>
    <row r="32" spans="1:31" ht="18.75" customHeight="1" x14ac:dyDescent="0.2">
      <c r="A32" s="12">
        <v>30</v>
      </c>
      <c r="B32" s="82">
        <v>31656</v>
      </c>
      <c r="C32" s="24"/>
      <c r="D32" s="4"/>
      <c r="E32" s="4"/>
      <c r="F32" s="7"/>
      <c r="G32" s="4"/>
      <c r="H32" s="4"/>
      <c r="I32" s="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1">
        <f ca="1">IFERROR(MATCH(A32,OFFSET(Grades!$A$1,MATCH(Rates!$B$4,LIST,0),2,1,SUMIF(Grades!$A:$A,Rates!$B$4,Grades!$B:$B)),0),"")</f>
        <v>29</v>
      </c>
    </row>
    <row r="33" spans="1:31" ht="18.75" customHeight="1" x14ac:dyDescent="0.2">
      <c r="A33" s="12">
        <v>31</v>
      </c>
      <c r="B33" s="82">
        <v>32600</v>
      </c>
      <c r="C33" s="24"/>
      <c r="D33" s="4"/>
      <c r="E33" s="4"/>
      <c r="F33" s="7"/>
      <c r="G33" s="4"/>
      <c r="H33" s="4"/>
      <c r="I33" s="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1" t="str">
        <f ca="1">IFERROR(MATCH(A33,OFFSET(Grades!$A$1,MATCH(Rates!$B$4,LIST,0),2,1,SUMIF(Grades!$A:$A,Rates!$B$4,Grades!$B:$B)),0),"")</f>
        <v/>
      </c>
    </row>
    <row r="34" spans="1:31" ht="18.75" customHeight="1" x14ac:dyDescent="0.2">
      <c r="A34" s="12">
        <v>32</v>
      </c>
      <c r="B34" s="82">
        <v>33574</v>
      </c>
      <c r="C34" s="24"/>
      <c r="D34" s="4"/>
      <c r="E34" s="4"/>
      <c r="F34" s="7"/>
      <c r="G34" s="4"/>
      <c r="H34" s="4"/>
      <c r="I34" s="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1" t="str">
        <f ca="1">IFERROR(MATCH(A34,OFFSET(Grades!$A$1,MATCH(Rates!$B$4,LIST,0),2,1,SUMIF(Grades!$A:$A,Rates!$B$4,Grades!$B:$B)),0),"")</f>
        <v/>
      </c>
    </row>
    <row r="35" spans="1:31" ht="18.75" customHeight="1" x14ac:dyDescent="0.2">
      <c r="A35" s="12">
        <v>33</v>
      </c>
      <c r="B35" s="82">
        <v>34576</v>
      </c>
      <c r="C35" s="24"/>
      <c r="D35" s="4"/>
      <c r="E35" s="4"/>
      <c r="F35" s="7"/>
      <c r="G35" s="4"/>
      <c r="H35" s="4"/>
      <c r="I35" s="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1" t="str">
        <f ca="1">IFERROR(MATCH(A35,OFFSET(Grades!$A$1,MATCH(Rates!$B$4,LIST,0),2,1,SUMIF(Grades!$A:$A,Rates!$B$4,Grades!$B:$B)),0),"")</f>
        <v/>
      </c>
    </row>
    <row r="36" spans="1:31" ht="18.75" customHeight="1" x14ac:dyDescent="0.2">
      <c r="A36" s="12">
        <v>34</v>
      </c>
      <c r="B36" s="82">
        <v>35609</v>
      </c>
      <c r="C36" s="24"/>
      <c r="D36" s="4"/>
      <c r="E36" s="4"/>
      <c r="F36" s="7"/>
      <c r="G36" s="4"/>
      <c r="H36" s="4"/>
      <c r="I36" s="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1" t="str">
        <f ca="1">IFERROR(MATCH(A36,OFFSET(Grades!$A$1,MATCH(Rates!$B$4,LIST,0),2,1,SUMIF(Grades!$A:$A,Rates!$B$4,Grades!$B:$B)),0),"")</f>
        <v/>
      </c>
    </row>
    <row r="37" spans="1:31" ht="18.75" customHeight="1" x14ac:dyDescent="0.2">
      <c r="A37" s="12">
        <v>35</v>
      </c>
      <c r="B37" s="82">
        <v>36672</v>
      </c>
      <c r="C37" s="24"/>
      <c r="D37" s="4"/>
      <c r="E37" s="4"/>
      <c r="F37" s="7"/>
      <c r="G37" s="4"/>
      <c r="H37" s="4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" t="str">
        <f ca="1">IFERROR(MATCH(A37,OFFSET(Grades!$A$1,MATCH(Rates!$B$4,LIST,0),2,1,SUMIF(Grades!$A:$A,Rates!$B$4,Grades!$B:$B)),0),"")</f>
        <v/>
      </c>
    </row>
    <row r="38" spans="1:31" ht="18.75" customHeight="1" x14ac:dyDescent="0.2">
      <c r="A38" s="12">
        <v>36</v>
      </c>
      <c r="B38" s="82">
        <v>37768</v>
      </c>
      <c r="C38" s="24"/>
      <c r="D38" s="4"/>
      <c r="E38" s="4"/>
      <c r="F38" s="7"/>
      <c r="G38" s="4"/>
      <c r="H38" s="4"/>
      <c r="I38" s="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1" t="str">
        <f ca="1">IFERROR(MATCH(A38,OFFSET(Grades!$A$1,MATCH(Rates!$B$4,LIST,0),2,1,SUMIF(Grades!$A:$A,Rates!$B$4,Grades!$B:$B)),0),"")</f>
        <v/>
      </c>
    </row>
    <row r="39" spans="1:31" ht="18.75" customHeight="1" x14ac:dyDescent="0.2">
      <c r="A39" s="12">
        <v>37</v>
      </c>
      <c r="B39" s="82">
        <v>38896</v>
      </c>
      <c r="C39" s="24"/>
      <c r="D39" s="4"/>
      <c r="E39" s="4"/>
      <c r="F39" s="7"/>
      <c r="G39" s="4"/>
      <c r="H39" s="4"/>
      <c r="I39" s="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1" t="str">
        <f ca="1">IFERROR(MATCH(A39,OFFSET(Grades!$A$1,MATCH(Rates!$B$4,LIST,0),2,1,SUMIF(Grades!$A:$A,Rates!$B$4,Grades!$B:$B)),0),"")</f>
        <v/>
      </c>
    </row>
    <row r="40" spans="1:31" ht="18.75" customHeight="1" x14ac:dyDescent="0.2">
      <c r="A40" s="12">
        <v>38</v>
      </c>
      <c r="B40" s="82">
        <v>40082</v>
      </c>
      <c r="C40" s="24"/>
      <c r="D40" s="4"/>
      <c r="E40" s="4"/>
      <c r="F40" s="7"/>
      <c r="G40" s="4"/>
      <c r="H40" s="4"/>
      <c r="I40" s="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1" t="str">
        <f ca="1">IFERROR(MATCH(A40,OFFSET(Grades!$A$1,MATCH(Rates!$B$4,LIST,0),2,1,SUMIF(Grades!$A:$A,Rates!$B$4,Grades!$B:$B)),0),"")</f>
        <v/>
      </c>
    </row>
    <row r="41" spans="1:31" ht="18.75" customHeight="1" x14ac:dyDescent="0.2">
      <c r="A41" s="12">
        <v>39</v>
      </c>
      <c r="B41" s="82">
        <v>41255</v>
      </c>
      <c r="C41" s="24"/>
      <c r="D41" s="4"/>
      <c r="E41" s="4"/>
      <c r="F41" s="7"/>
      <c r="G41" s="4"/>
      <c r="H41" s="4"/>
      <c r="I41" s="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1" t="str">
        <f ca="1">IFERROR(MATCH(A41,OFFSET(Grades!$A$1,MATCH(Rates!$B$4,LIST,0),2,1,SUMIF(Grades!$A:$A,Rates!$B$4,Grades!$B:$B)),0),"")</f>
        <v/>
      </c>
    </row>
    <row r="42" spans="1:31" ht="18.75" customHeight="1" x14ac:dyDescent="0.2">
      <c r="A42" s="12">
        <v>40</v>
      </c>
      <c r="B42" s="82">
        <v>42488</v>
      </c>
      <c r="C42" s="24"/>
      <c r="D42" s="4"/>
      <c r="E42" s="4"/>
      <c r="F42" s="7"/>
      <c r="G42" s="4"/>
      <c r="H42" s="4"/>
      <c r="I42" s="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" t="str">
        <f ca="1">IFERROR(MATCH(A42,OFFSET(Grades!$A$1,MATCH(Rates!$B$4,LIST,0),2,1,SUMIF(Grades!$A:$A,Rates!$B$4,Grades!$B:$B)),0),"")</f>
        <v/>
      </c>
    </row>
    <row r="43" spans="1:31" ht="18.75" customHeight="1" x14ac:dyDescent="0.2">
      <c r="A43" s="12">
        <v>41</v>
      </c>
      <c r="B43" s="82">
        <v>43758</v>
      </c>
      <c r="C43" s="24"/>
      <c r="D43" s="4"/>
      <c r="E43" s="4"/>
      <c r="F43" s="7"/>
      <c r="G43" s="4"/>
      <c r="H43" s="4"/>
      <c r="I43" s="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1" t="str">
        <f ca="1">IFERROR(MATCH(A43,OFFSET(Grades!$A$1,MATCH(Rates!$B$4,LIST,0),2,1,SUMIF(Grades!$A:$A,Rates!$B$4,Grades!$B:$B)),0),"")</f>
        <v/>
      </c>
    </row>
    <row r="44" spans="1:31" ht="18.75" customHeight="1" x14ac:dyDescent="0.2">
      <c r="A44" s="12">
        <v>42</v>
      </c>
      <c r="B44" s="82">
        <v>45066</v>
      </c>
      <c r="C44" s="24"/>
      <c r="D44" s="4"/>
      <c r="E44" s="4"/>
      <c r="F44" s="7"/>
      <c r="G44" s="4"/>
      <c r="H44" s="4"/>
      <c r="I44" s="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1" t="str">
        <f ca="1">IFERROR(MATCH(A44,OFFSET(Grades!$A$1,MATCH(Rates!$B$4,LIST,0),2,1,SUMIF(Grades!$A:$A,Rates!$B$4,Grades!$B:$B)),0),"")</f>
        <v/>
      </c>
    </row>
    <row r="45" spans="1:31" ht="18.75" customHeight="1" x14ac:dyDescent="0.2">
      <c r="A45" s="12">
        <v>43</v>
      </c>
      <c r="B45" s="82">
        <v>46414</v>
      </c>
      <c r="C45" s="24"/>
      <c r="D45" s="4"/>
      <c r="E45" s="4"/>
      <c r="F45" s="7"/>
      <c r="G45" s="4"/>
      <c r="H45" s="4"/>
      <c r="I45" s="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1" t="str">
        <f ca="1">IFERROR(MATCH(A45,OFFSET(Grades!$A$1,MATCH(Rates!$B$4,LIST,0),2,1,SUMIF(Grades!$A:$A,Rates!$B$4,Grades!$B:$B)),0),"")</f>
        <v/>
      </c>
    </row>
    <row r="46" spans="1:31" ht="18.75" customHeight="1" x14ac:dyDescent="0.2">
      <c r="A46" s="12">
        <v>44</v>
      </c>
      <c r="B46" s="82">
        <v>47801</v>
      </c>
      <c r="C46" s="24"/>
      <c r="D46" s="4"/>
      <c r="E46" s="4"/>
      <c r="F46" s="7"/>
      <c r="G46" s="4"/>
      <c r="H46" s="4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1" t="str">
        <f ca="1">IFERROR(MATCH(A46,OFFSET(Grades!$A$1,MATCH(Rates!$B$4,LIST,0),2,1,SUMIF(Grades!$A:$A,Rates!$B$4,Grades!$B:$B)),0),"")</f>
        <v/>
      </c>
    </row>
    <row r="47" spans="1:31" ht="18.75" customHeight="1" x14ac:dyDescent="0.2">
      <c r="A47" s="12">
        <v>45</v>
      </c>
      <c r="B47" s="82">
        <v>49230</v>
      </c>
      <c r="C47" s="24"/>
      <c r="D47" s="4"/>
      <c r="E47" s="4"/>
      <c r="F47" s="7"/>
      <c r="G47" s="4"/>
      <c r="H47" s="4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" t="str">
        <f ca="1">IFERROR(MATCH(A47,OFFSET(Grades!$A$1,MATCH(Rates!$B$4,LIST,0),2,1,SUMIF(Grades!$A:$A,Rates!$B$4,Grades!$B:$B)),0),"")</f>
        <v/>
      </c>
    </row>
    <row r="48" spans="1:31" ht="18.75" customHeight="1" x14ac:dyDescent="0.2">
      <c r="A48" s="12">
        <v>46</v>
      </c>
      <c r="B48" s="82">
        <v>50702</v>
      </c>
      <c r="C48" s="24"/>
      <c r="D48" s="4"/>
      <c r="E48" s="4"/>
      <c r="F48" s="7"/>
      <c r="G48" s="4"/>
      <c r="H48" s="4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1" t="str">
        <f ca="1">IFERROR(MATCH(A48,OFFSET(Grades!$A$1,MATCH(Rates!$B$4,LIST,0),2,1,SUMIF(Grades!$A:$A,Rates!$B$4,Grades!$B:$B)),0),"")</f>
        <v/>
      </c>
    </row>
    <row r="49" spans="1:31" ht="18.75" customHeight="1" x14ac:dyDescent="0.2">
      <c r="A49" s="12">
        <v>47</v>
      </c>
      <c r="B49" s="82">
        <v>52219</v>
      </c>
      <c r="C49" s="24"/>
      <c r="D49" s="4"/>
      <c r="E49" s="4"/>
      <c r="F49" s="7"/>
      <c r="G49" s="4"/>
      <c r="H49" s="4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1" t="str">
        <f ca="1">IFERROR(MATCH(A49,OFFSET(Grades!$A$1,MATCH(Rates!$B$4,LIST,0),2,1,SUMIF(Grades!$A:$A,Rates!$B$4,Grades!$B:$B)),0),"")</f>
        <v/>
      </c>
    </row>
    <row r="50" spans="1:31" ht="18.75" customHeight="1" x14ac:dyDescent="0.2">
      <c r="A50" s="12">
        <v>48</v>
      </c>
      <c r="B50" s="82">
        <v>53781</v>
      </c>
      <c r="C50" s="24"/>
      <c r="D50" s="4"/>
      <c r="E50" s="4"/>
      <c r="F50" s="7"/>
      <c r="G50" s="4"/>
      <c r="H50" s="4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" t="str">
        <f ca="1">IFERROR(MATCH(A50,OFFSET(Grades!$A$1,MATCH(Rates!$B$4,LIST,0),2,1,SUMIF(Grades!$A:$A,Rates!$B$4,Grades!$B:$B)),0),"")</f>
        <v/>
      </c>
    </row>
    <row r="51" spans="1:31" ht="18.75" customHeight="1" x14ac:dyDescent="0.2">
      <c r="A51" s="12">
        <v>49</v>
      </c>
      <c r="B51" s="82">
        <v>55389</v>
      </c>
      <c r="C51" s="24"/>
      <c r="D51" s="4"/>
      <c r="E51" s="4"/>
      <c r="F51" s="7"/>
      <c r="G51" s="4"/>
      <c r="H51" s="4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1" t="str">
        <f ca="1">IFERROR(MATCH(A51,OFFSET(Grades!$A$1,MATCH(Rates!$B$4,LIST,0),2,1,SUMIF(Grades!$A:$A,Rates!$B$4,Grades!$B:$B)),0),"")</f>
        <v/>
      </c>
    </row>
    <row r="52" spans="1:31" ht="18.75" customHeight="1" x14ac:dyDescent="0.2">
      <c r="A52" s="12">
        <v>50</v>
      </c>
      <c r="B52" s="82">
        <v>57047</v>
      </c>
      <c r="C52" s="24"/>
      <c r="D52" s="4"/>
      <c r="E52" s="4"/>
      <c r="F52" s="7"/>
      <c r="G52" s="4"/>
      <c r="H52" s="4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1" t="str">
        <f ca="1">IFERROR(MATCH(A52,OFFSET(Grades!$A$1,MATCH(Rates!$B$4,LIST,0),2,1,SUMIF(Grades!$A:$A,Rates!$B$4,Grades!$B:$B)),0),"")</f>
        <v/>
      </c>
    </row>
    <row r="53" spans="1:31" ht="18.75" customHeight="1" x14ac:dyDescent="0.2">
      <c r="A53" s="12">
        <v>51</v>
      </c>
      <c r="B53" s="82">
        <v>58754</v>
      </c>
      <c r="C53" s="24"/>
      <c r="D53" s="4"/>
      <c r="E53" s="4"/>
      <c r="F53" s="7"/>
      <c r="G53" s="4"/>
      <c r="H53" s="4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1" t="str">
        <f ca="1">IFERROR(MATCH(A53,OFFSET(Grades!$A$1,MATCH(Rates!$B$4,LIST,0),2,1,SUMIF(Grades!$A:$A,Rates!$B$4,Grades!$B:$B)),0),"")</f>
        <v/>
      </c>
    </row>
    <row r="54" spans="1:31" ht="18.75" customHeight="1" x14ac:dyDescent="0.2">
      <c r="A54" s="15">
        <v>52</v>
      </c>
      <c r="B54" s="82">
        <v>60494</v>
      </c>
      <c r="C54" s="24"/>
      <c r="D54" s="4"/>
      <c r="E54" s="4"/>
      <c r="F54" s="7"/>
      <c r="G54" s="4"/>
      <c r="H54" s="4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" t="str">
        <f ca="1">IFERROR(MATCH(A54,OFFSET(Grades!$A$1,MATCH(Rates!$B$4,LIST,0),2,1,SUMIF(Grades!$A:$A,Rates!$B$4,Grades!$B:$B)),0),"")</f>
        <v/>
      </c>
    </row>
    <row r="55" spans="1:31" ht="18.75" customHeight="1" x14ac:dyDescent="0.2">
      <c r="A55" s="15">
        <v>53</v>
      </c>
      <c r="B55" s="82">
        <v>62305</v>
      </c>
      <c r="C55" s="24"/>
      <c r="D55" s="4"/>
      <c r="E55" s="4"/>
      <c r="F55" s="7"/>
      <c r="G55" s="4"/>
      <c r="H55" s="4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1" t="str">
        <f ca="1">IFERROR(MATCH(A55,OFFSET(Grades!$A$1,MATCH(Rates!$B$4,LIST,0),2,1,SUMIF(Grades!$A:$A,Rates!$B$4,Grades!$B:$B)),0),"")</f>
        <v/>
      </c>
    </row>
    <row r="56" spans="1:31" ht="18.75" customHeight="1" x14ac:dyDescent="0.2">
      <c r="A56" s="15">
        <v>54</v>
      </c>
      <c r="B56" s="82">
        <v>64171</v>
      </c>
      <c r="C56" s="24"/>
      <c r="D56" s="4"/>
      <c r="E56" s="4"/>
      <c r="F56" s="7"/>
      <c r="G56" s="4"/>
      <c r="H56" s="4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1" t="str">
        <f ca="1">IFERROR(MATCH(A56,OFFSET(Grades!$A$1,MATCH(Rates!$B$4,LIST,0),2,1,SUMIF(Grades!$A:$A,Rates!$B$4,Grades!$B:$B)),0),"")</f>
        <v/>
      </c>
    </row>
    <row r="57" spans="1:31" ht="18.75" customHeight="1" x14ac:dyDescent="0.2">
      <c r="A57" s="15">
        <v>55</v>
      </c>
      <c r="B57" s="82">
        <v>66091</v>
      </c>
      <c r="C57" s="24"/>
      <c r="D57" s="4"/>
      <c r="E57" s="4"/>
      <c r="F57" s="7"/>
      <c r="G57" s="4"/>
      <c r="H57" s="4"/>
      <c r="I57" s="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1" t="str">
        <f ca="1">IFERROR(MATCH(A57,OFFSET(Grades!$A$1,MATCH(Rates!$B$4,LIST,0),2,1,SUMIF(Grades!$A:$A,Rates!$B$4,Grades!$B:$B)),0),"")</f>
        <v/>
      </c>
    </row>
    <row r="58" spans="1:31" ht="18.75" customHeight="1" x14ac:dyDescent="0.2">
      <c r="A58" s="15">
        <v>56</v>
      </c>
      <c r="B58" s="82">
        <v>68068</v>
      </c>
      <c r="C58" s="24"/>
      <c r="D58" s="4"/>
      <c r="E58" s="4"/>
      <c r="F58" s="7"/>
      <c r="G58" s="4"/>
      <c r="H58" s="4"/>
      <c r="I58" s="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" t="str">
        <f ca="1">IFERROR(MATCH(A58,OFFSET(Grades!$A$1,MATCH(Rates!$B$4,LIST,0),2,1,SUMIF(Grades!$A:$A,Rates!$B$4,Grades!$B:$B)),0),"")</f>
        <v/>
      </c>
    </row>
    <row r="59" spans="1:31" ht="18.75" customHeight="1" x14ac:dyDescent="0.2">
      <c r="A59" s="15">
        <v>57</v>
      </c>
      <c r="B59" s="82">
        <v>70106</v>
      </c>
      <c r="C59" s="24"/>
      <c r="D59" s="4"/>
      <c r="E59" s="4"/>
      <c r="F59" s="7"/>
      <c r="G59" s="4"/>
      <c r="H59" s="4"/>
      <c r="I59" s="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1" t="str">
        <f ca="1">IFERROR(MATCH(A59,OFFSET(Grades!$A$1,MATCH(Rates!$B$4,LIST,0),2,1,SUMIF(Grades!$A:$A,Rates!$B$4,Grades!$B:$B)),0),"")</f>
        <v/>
      </c>
    </row>
    <row r="60" spans="1:31" ht="18.75" customHeight="1" x14ac:dyDescent="0.25">
      <c r="A60" s="15">
        <v>116</v>
      </c>
      <c r="B60" s="12">
        <f t="shared" ref="B60:B68" si="6">ROUND(B3*70%,0)</f>
        <v>10026</v>
      </c>
      <c r="C60" s="4"/>
      <c r="D60" s="4"/>
      <c r="E60" s="4"/>
      <c r="F60" s="7"/>
      <c r="G60" s="4"/>
      <c r="H60" s="4"/>
      <c r="I60" s="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1" t="str">
        <f ca="1">IFERROR(MATCH(A60,OFFSET(Grades!$A$1,MATCH(Rates!$B$4,LIST,0),2,1,SUMIF(Grades!$A:$A,Rates!$B$4,Grades!$B:$B)),0),"")</f>
        <v/>
      </c>
    </row>
    <row r="61" spans="1:31" ht="18.75" customHeight="1" x14ac:dyDescent="0.25">
      <c r="A61" s="15">
        <v>216</v>
      </c>
      <c r="B61" s="12">
        <f t="shared" si="6"/>
        <v>10337</v>
      </c>
      <c r="C61" s="71"/>
      <c r="D61" s="4"/>
      <c r="E61" s="4"/>
      <c r="F61" s="7"/>
      <c r="G61" s="4"/>
      <c r="H61" s="4"/>
      <c r="I61" s="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" t="str">
        <f ca="1">IFERROR(MATCH(A61,OFFSET(Grades!$A$1,MATCH(Rates!$B$4,LIST,0),2,1,SUMIF(Grades!$A:$A,Rates!$B$4,Grades!$B:$B)),0),"")</f>
        <v/>
      </c>
    </row>
    <row r="62" spans="1:31" ht="18.75" customHeight="1" x14ac:dyDescent="0.25">
      <c r="A62" s="15">
        <v>316</v>
      </c>
      <c r="B62" s="12">
        <f t="shared" si="6"/>
        <v>10467</v>
      </c>
      <c r="C62" s="4"/>
      <c r="D62" s="16"/>
      <c r="E62" s="16"/>
      <c r="F62" s="17"/>
      <c r="G62" s="16"/>
      <c r="H62" s="16"/>
      <c r="AE62" s="1" t="str">
        <f ca="1">IFERROR(MATCH(A62,OFFSET(Grades!$A$1,MATCH(Rates!$B$4,LIST,0),2,1,SUMIF(Grades!$A:$A,Rates!$B$4,Grades!$B:$B)),0),"")</f>
        <v/>
      </c>
    </row>
    <row r="63" spans="1:31" ht="18.75" customHeight="1" x14ac:dyDescent="0.25">
      <c r="A63" s="15">
        <v>416</v>
      </c>
      <c r="B63" s="12">
        <f t="shared" si="6"/>
        <v>10681</v>
      </c>
      <c r="C63" s="4"/>
      <c r="D63" s="16"/>
      <c r="E63" s="16"/>
      <c r="F63" s="17"/>
      <c r="G63" s="16"/>
      <c r="H63" s="16"/>
      <c r="AE63" s="1" t="str">
        <f ca="1">IFERROR(MATCH(A63,OFFSET(Grades!$A$1,MATCH(Rates!$B$4,LIST,0),2,1,SUMIF(Grades!$A:$A,Rates!$B$4,Grades!$B:$B)),0),"")</f>
        <v/>
      </c>
    </row>
    <row r="64" spans="1:31" ht="18.75" customHeight="1" x14ac:dyDescent="0.25">
      <c r="A64" s="15">
        <v>516</v>
      </c>
      <c r="B64" s="12">
        <f t="shared" si="6"/>
        <v>10942</v>
      </c>
      <c r="C64" s="4"/>
      <c r="D64" s="16"/>
      <c r="E64" s="16"/>
      <c r="F64" s="17"/>
      <c r="G64" s="16"/>
      <c r="H64" s="16"/>
      <c r="AE64" s="1" t="str">
        <f ca="1">IFERROR(MATCH(A64,OFFSET(Grades!$A$1,MATCH(Rates!$B$4,LIST,0),2,1,SUMIF(Grades!$A:$A,Rates!$B$4,Grades!$B:$B)),0),"")</f>
        <v/>
      </c>
    </row>
    <row r="65" spans="1:31" ht="18.75" customHeight="1" x14ac:dyDescent="0.25">
      <c r="A65" s="15">
        <v>616</v>
      </c>
      <c r="B65" s="12">
        <f t="shared" si="6"/>
        <v>11212</v>
      </c>
      <c r="C65" s="4"/>
      <c r="D65" s="16"/>
      <c r="E65" s="16"/>
      <c r="F65" s="17"/>
      <c r="G65" s="16"/>
      <c r="H65" s="16"/>
      <c r="AE65" s="1" t="str">
        <f ca="1">IFERROR(MATCH(A65,OFFSET(Grades!$A$1,MATCH(Rates!$B$4,LIST,0),2,1,SUMIF(Grades!$A:$A,Rates!$B$4,Grades!$B:$B)),0),"")</f>
        <v/>
      </c>
    </row>
    <row r="66" spans="1:31" ht="18.75" customHeight="1" x14ac:dyDescent="0.25">
      <c r="A66" s="15">
        <v>716</v>
      </c>
      <c r="B66" s="12">
        <f t="shared" si="6"/>
        <v>11450</v>
      </c>
      <c r="C66" s="4"/>
      <c r="D66" s="16"/>
      <c r="E66" s="16"/>
      <c r="F66" s="17"/>
      <c r="G66" s="16"/>
      <c r="H66" s="16"/>
      <c r="AE66" s="1" t="str">
        <f ca="1">IFERROR(MATCH(A66,OFFSET(Grades!$A$1,MATCH(Rates!$B$4,LIST,0),2,1,SUMIF(Grades!$A:$A,Rates!$B$4,Grades!$B:$B)),0),"")</f>
        <v/>
      </c>
    </row>
    <row r="67" spans="1:31" ht="18.75" customHeight="1" x14ac:dyDescent="0.25">
      <c r="A67" s="15">
        <v>816</v>
      </c>
      <c r="B67" s="12">
        <f t="shared" si="6"/>
        <v>11743</v>
      </c>
      <c r="C67" s="4"/>
      <c r="D67" s="16"/>
      <c r="E67" s="16"/>
      <c r="F67" s="17"/>
      <c r="G67" s="16"/>
      <c r="H67" s="72"/>
      <c r="AE67" s="1" t="str">
        <f ca="1">IFERROR(MATCH(A67,OFFSET(Grades!$A$1,MATCH(Rates!$B$4,LIST,0),2,1,SUMIF(Grades!$A:$A,Rates!$B$4,Grades!$B:$B)),0),"")</f>
        <v/>
      </c>
    </row>
    <row r="68" spans="1:31" ht="18.75" customHeight="1" x14ac:dyDescent="0.25">
      <c r="A68" s="15">
        <v>916</v>
      </c>
      <c r="B68" s="12">
        <f t="shared" si="6"/>
        <v>12047</v>
      </c>
      <c r="C68" s="4"/>
      <c r="D68" s="16"/>
      <c r="E68" s="16"/>
      <c r="F68" s="17"/>
      <c r="G68" s="16"/>
      <c r="H68" s="16"/>
      <c r="AE68" s="1" t="str">
        <f ca="1">IFERROR(MATCH(A68,OFFSET(Grades!$A$1,MATCH(Rates!$B$4,LIST,0),2,1,SUMIF(Grades!$A:$A,Rates!$B$4,Grades!$B:$B)),0),"")</f>
        <v/>
      </c>
    </row>
    <row r="69" spans="1:31" ht="18.75" customHeight="1" x14ac:dyDescent="0.25">
      <c r="A69" s="15">
        <v>117</v>
      </c>
      <c r="B69" s="12">
        <f t="shared" ref="B69:B77" si="7">ROUND(B3*85%,0)</f>
        <v>12175</v>
      </c>
      <c r="C69" s="4"/>
      <c r="AE69" s="1" t="str">
        <f ca="1">IFERROR(MATCH(A69,OFFSET(Grades!$A$1,MATCH(Rates!$B$4,LIST,0),2,1,SUMIF(Grades!$A:$A,Rates!$B$4,Grades!$B:$B)),0),"")</f>
        <v/>
      </c>
    </row>
    <row r="70" spans="1:31" ht="18.75" customHeight="1" x14ac:dyDescent="0.25">
      <c r="A70" s="15">
        <v>217</v>
      </c>
      <c r="B70" s="12">
        <f t="shared" si="7"/>
        <v>12552</v>
      </c>
      <c r="C70" s="71"/>
      <c r="AE70" s="1" t="str">
        <f ca="1">IFERROR(MATCH(A70,OFFSET(Grades!$A$1,MATCH(Rates!$B$4,LIST,0),2,1,SUMIF(Grades!$A:$A,Rates!$B$4,Grades!$B:$B)),0),"")</f>
        <v/>
      </c>
    </row>
    <row r="71" spans="1:31" ht="18.75" customHeight="1" x14ac:dyDescent="0.25">
      <c r="A71" s="15">
        <v>317</v>
      </c>
      <c r="B71" s="12">
        <f t="shared" si="7"/>
        <v>12710</v>
      </c>
      <c r="C71" s="4"/>
      <c r="AE71" s="1" t="str">
        <f ca="1">IFERROR(MATCH(A71,OFFSET(Grades!$A$1,MATCH(Rates!$B$4,LIST,0),2,1,SUMIF(Grades!$A:$A,Rates!$B$4,Grades!$B:$B)),0),"")</f>
        <v/>
      </c>
    </row>
    <row r="72" spans="1:31" ht="18.75" customHeight="1" x14ac:dyDescent="0.25">
      <c r="A72" s="15">
        <v>417</v>
      </c>
      <c r="B72" s="12">
        <f t="shared" si="7"/>
        <v>12969</v>
      </c>
      <c r="C72" s="4"/>
      <c r="AE72" s="1" t="str">
        <f ca="1">IFERROR(MATCH(A72,OFFSET(Grades!$A$1,MATCH(Rates!$B$4,LIST,0),2,1,SUMIF(Grades!$A:$A,Rates!$B$4,Grades!$B:$B)),0),"")</f>
        <v/>
      </c>
    </row>
    <row r="73" spans="1:31" ht="18.75" customHeight="1" x14ac:dyDescent="0.25">
      <c r="A73" s="15">
        <v>517</v>
      </c>
      <c r="B73" s="12">
        <f t="shared" si="7"/>
        <v>13287</v>
      </c>
      <c r="C73" s="4"/>
      <c r="AE73" s="1" t="str">
        <f ca="1">IFERROR(MATCH(A73,OFFSET(Grades!$A$1,MATCH(Rates!$B$4,LIST,0),2,1,SUMIF(Grades!$A:$A,Rates!$B$4,Grades!$B:$B)),0),"")</f>
        <v/>
      </c>
    </row>
    <row r="74" spans="1:31" ht="18.75" customHeight="1" x14ac:dyDescent="0.25">
      <c r="A74" s="15">
        <v>617</v>
      </c>
      <c r="B74" s="12">
        <f t="shared" si="7"/>
        <v>13614</v>
      </c>
      <c r="C74" s="4"/>
      <c r="AE74" s="1" t="str">
        <f ca="1">IFERROR(MATCH(A74,OFFSET(Grades!$A$1,MATCH(Rates!$B$4,LIST,0),2,1,SUMIF(Grades!$A:$A,Rates!$B$4,Grades!$B:$B)),0),"")</f>
        <v/>
      </c>
    </row>
    <row r="75" spans="1:31" ht="18.75" customHeight="1" x14ac:dyDescent="0.25">
      <c r="A75" s="15">
        <v>717</v>
      </c>
      <c r="B75" s="12">
        <f t="shared" si="7"/>
        <v>13903</v>
      </c>
      <c r="C75" s="4"/>
      <c r="AE75" s="1" t="str">
        <f ca="1">IFERROR(MATCH(A75,OFFSET(Grades!$A$1,MATCH(Rates!$B$4,LIST,0),2,1,SUMIF(Grades!$A:$A,Rates!$B$4,Grades!$B:$B)),0),"")</f>
        <v/>
      </c>
    </row>
    <row r="76" spans="1:31" ht="18.75" customHeight="1" x14ac:dyDescent="0.25">
      <c r="A76" s="15">
        <v>817</v>
      </c>
      <c r="B76" s="12">
        <f t="shared" si="7"/>
        <v>14260</v>
      </c>
      <c r="C76" s="4"/>
      <c r="AE76" s="1" t="str">
        <f ca="1">IFERROR(MATCH(A76,OFFSET(Grades!$A$1,MATCH(Rates!$B$4,LIST,0),2,1,SUMIF(Grades!$A:$A,Rates!$B$4,Grades!$B:$B)),0),"")</f>
        <v/>
      </c>
    </row>
    <row r="77" spans="1:31" ht="18.75" customHeight="1" x14ac:dyDescent="0.25">
      <c r="A77" s="15">
        <v>917</v>
      </c>
      <c r="B77" s="12">
        <f t="shared" si="7"/>
        <v>14629</v>
      </c>
      <c r="C77" s="4"/>
      <c r="AE77" s="1" t="str">
        <f ca="1">IFERROR(MATCH(A77,OFFSET(Grades!$A$1,MATCH(Rates!$B$4,LIST,0),2,1,SUMIF(Grades!$A:$A,Rates!$B$4,Grades!$B:$B)),0),"")</f>
        <v/>
      </c>
    </row>
    <row r="78" spans="1:31" ht="18.75" customHeight="1" x14ac:dyDescent="0.25">
      <c r="A78" s="15"/>
      <c r="B78" s="12"/>
      <c r="AE78" s="1" t="str">
        <f ca="1">IFERROR(MATCH(A78,OFFSET(Grades!$A$1,MATCH(Rates!$B$4,LIST,0),2,1,SUMIF(Grades!$A:$A,Rates!$B$4,Grades!$B:$B)),0),"")</f>
        <v/>
      </c>
    </row>
    <row r="79" spans="1:31" ht="18.75" customHeight="1" x14ac:dyDescent="0.25">
      <c r="A79" s="15" t="s">
        <v>63</v>
      </c>
      <c r="B79" s="12">
        <v>14599</v>
      </c>
      <c r="C79" s="73"/>
      <c r="AE79" s="1" t="str">
        <f ca="1">IFERROR(MATCH(A79,OFFSET(Grades!$A$1,MATCH(Rates!$B$4,LIST,0),2,1,SUMIF(Grades!$A:$A,Rates!$B$4,Grades!$B:$B)),0),"")</f>
        <v/>
      </c>
    </row>
    <row r="80" spans="1:31" ht="18.75" customHeight="1" x14ac:dyDescent="0.25">
      <c r="A80" s="15"/>
      <c r="B80" s="12"/>
      <c r="AE80" s="1" t="str">
        <f ca="1">IFERROR(MATCH(A80,OFFSET(Grades!$A$1,MATCH(Rates!$B$4,LIST,0),2,1,SUMIF(Grades!$A:$A,Rates!$B$4,Grades!$B:$B)),0),"")</f>
        <v/>
      </c>
    </row>
    <row r="81" spans="1:31" ht="18.75" customHeight="1" x14ac:dyDescent="0.25">
      <c r="A81" s="15"/>
      <c r="B81" s="12"/>
      <c r="AE81" s="1" t="str">
        <f ca="1">IFERROR(MATCH(A81,OFFSET(Grades!$A$1,MATCH(Rates!$B$4,LIST,0),2,1,SUMIF(Grades!$A:$A,Rates!$B$4,Grades!$B:$B)),0),"")</f>
        <v/>
      </c>
    </row>
    <row r="82" spans="1:31" ht="18.75" customHeight="1" x14ac:dyDescent="0.25">
      <c r="A82" s="15"/>
      <c r="B82" s="12"/>
      <c r="AE82" s="1" t="str">
        <f ca="1">IFERROR(MATCH(A82,OFFSET(Grades!$A$1,MATCH(Rates!$B$4,LIST,0),2,1,SUMIF(Grades!$A:$A,Rates!$B$4,Grades!$B:$B)),0),"")</f>
        <v/>
      </c>
    </row>
    <row r="83" spans="1:31" ht="18.75" customHeight="1" x14ac:dyDescent="0.25">
      <c r="A83" s="15"/>
      <c r="B83" s="12"/>
      <c r="AE83" s="1" t="str">
        <f ca="1">IFERROR(MATCH(A83,OFFSET(Grades!$A$1,MATCH(Rates!$B$4,LIST,0),2,1,SUMIF(Grades!$A:$A,Rates!$B$4,Grades!$B:$B)),0),"")</f>
        <v/>
      </c>
    </row>
    <row r="84" spans="1:31" ht="18.75" customHeight="1" x14ac:dyDescent="0.25">
      <c r="A84" s="15"/>
      <c r="B84" s="12"/>
      <c r="AE84" s="1" t="str">
        <f ca="1">IFERROR(MATCH(A84,OFFSET(Grades!$A$1,MATCH(Rates!$B$4,LIST,0),2,1,SUMIF(Grades!$A:$A,Rates!$B$4,Grades!$B:$B)),0),"")</f>
        <v/>
      </c>
    </row>
    <row r="85" spans="1:31" ht="18.75" customHeight="1" x14ac:dyDescent="0.25">
      <c r="A85" s="15"/>
      <c r="B85" s="12"/>
      <c r="AE85" s="1" t="str">
        <f ca="1">IFERROR(MATCH(A85,OFFSET(Grades!$A$1,MATCH(Rates!$B$4,LIST,0),2,1,SUMIF(Grades!$A:$A,Rates!$B$4,Grades!$B:$B)),0),"")</f>
        <v/>
      </c>
    </row>
    <row r="86" spans="1:31" ht="18.75" customHeight="1" x14ac:dyDescent="0.25">
      <c r="A86" s="15"/>
      <c r="B86" s="12"/>
      <c r="AE86" s="1" t="str">
        <f ca="1">IFERROR(MATCH(A86,OFFSET(Grades!$A$1,MATCH(Rates!$B$4,LIST,0),2,1,SUMIF(Grades!$A:$A,Rates!$B$4,Grades!$B:$B)),0),"")</f>
        <v/>
      </c>
    </row>
    <row r="87" spans="1:31" ht="18.75" customHeight="1" x14ac:dyDescent="0.25">
      <c r="A87" s="15"/>
      <c r="B87" s="12"/>
      <c r="AE87" s="1" t="str">
        <f ca="1">IFERROR(MATCH(A87,OFFSET(Grades!$A$1,MATCH(Rates!$B$4,LIST,0),2,1,SUMIF(Grades!$A:$A,Rates!$B$4,Grades!$B:$B)),0),"")</f>
        <v/>
      </c>
    </row>
    <row r="88" spans="1:31" ht="18.75" customHeight="1" x14ac:dyDescent="0.25">
      <c r="A88" s="15"/>
      <c r="B88" s="12"/>
      <c r="AE88" s="1" t="str">
        <f ca="1">IFERROR(MATCH(A88,OFFSET(Grades!$A$1,MATCH(Rates!$B$4,LIST,0),2,1,SUMIF(Grades!$A:$A,Rates!$B$4,Grades!$B:$B)),0),"")</f>
        <v/>
      </c>
    </row>
    <row r="89" spans="1:31" ht="18.75" customHeight="1" x14ac:dyDescent="0.25">
      <c r="A89" s="15"/>
      <c r="B89" s="12"/>
      <c r="AE89" s="1" t="str">
        <f ca="1">IFERROR(MATCH(A89,OFFSET(Grades!$A$1,MATCH(Rates!$B$4,LIST,0),2,1,SUMIF(Grades!$A:$A,Rates!$B$4,Grades!$B:$B)),0),"")</f>
        <v/>
      </c>
    </row>
    <row r="90" spans="1:31" ht="18.75" customHeight="1" x14ac:dyDescent="0.25">
      <c r="A90" s="15"/>
      <c r="B90" s="12"/>
      <c r="AE90" s="1" t="str">
        <f ca="1">IFERROR(MATCH(A90,OFFSET(Grades!$A$1,MATCH(Rates!$B$4,LIST,0),2,1,SUMIF(Grades!$A:$A,Rates!$B$4,Grades!$B:$B)),0),"")</f>
        <v/>
      </c>
    </row>
    <row r="91" spans="1:31" ht="18.75" customHeight="1" x14ac:dyDescent="0.25">
      <c r="A91" s="15"/>
      <c r="B91" s="12"/>
      <c r="AE91" s="1" t="str">
        <f ca="1">IFERROR(MATCH(A91,OFFSET(Grades!$A$1,MATCH(Rates!$B$4,LIST,0),2,1,SUMIF(Grades!$A:$A,Rates!$B$4,Grades!$B:$B)),0),"")</f>
        <v/>
      </c>
    </row>
    <row r="92" spans="1:31" ht="18.75" customHeight="1" x14ac:dyDescent="0.25">
      <c r="A92" s="15"/>
      <c r="B92" s="12"/>
      <c r="AE92" s="1" t="str">
        <f ca="1">IFERROR(MATCH(A92,OFFSET(Grades!$A$1,MATCH(Rates!$B$4,LIST,0),2,1,SUMIF(Grades!$A:$A,Rates!$B$4,Grades!$B:$B)),0),"")</f>
        <v/>
      </c>
    </row>
    <row r="93" spans="1:31" ht="18.75" customHeight="1" x14ac:dyDescent="0.25">
      <c r="A93" s="15"/>
      <c r="B93" s="12"/>
      <c r="AE93" s="1" t="str">
        <f ca="1">IFERROR(MATCH(A93,OFFSET(Grades!$A$1,MATCH(Rates!$B$4,LIST,0),2,1,SUMIF(Grades!$A:$A,Rates!$B$4,Grades!$B:$B)),0),"")</f>
        <v/>
      </c>
    </row>
    <row r="94" spans="1:31" ht="18.75" customHeight="1" x14ac:dyDescent="0.25">
      <c r="A94" s="15"/>
      <c r="B94" s="12"/>
      <c r="AE94" s="1" t="str">
        <f ca="1">IFERROR(MATCH(A94,OFFSET(Grades!$A$1,MATCH(Rates!$B$4,LIST,0),2,1,SUMIF(Grades!$A:$A,Rates!$B$4,Grades!$B:$B)),0),"")</f>
        <v/>
      </c>
    </row>
    <row r="95" spans="1:31" ht="18.75" customHeight="1" x14ac:dyDescent="0.25">
      <c r="A95" s="15"/>
      <c r="B95" s="12"/>
      <c r="AE95" s="1" t="str">
        <f ca="1">IFERROR(MATCH(A95,OFFSET(Grades!$A$1,MATCH(Rates!$B$4,LIST,0),2,1,SUMIF(Grades!$A:$A,Rates!$B$4,Grades!$B:$B)),0),"")</f>
        <v/>
      </c>
    </row>
    <row r="96" spans="1:31" ht="18.75" customHeight="1" x14ac:dyDescent="0.25">
      <c r="A96" s="15"/>
      <c r="B96" s="12"/>
      <c r="AE96" s="1" t="str">
        <f ca="1">IFERROR(MATCH(A96,OFFSET(Grades!$A$1,MATCH(Rates!$B$4,LIST,0),2,1,SUMIF(Grades!$A:$A,Rates!$B$4,Grades!$B:$B)),0),"")</f>
        <v/>
      </c>
    </row>
    <row r="97" spans="1:31" ht="18.75" customHeight="1" x14ac:dyDescent="0.25">
      <c r="A97" s="15"/>
      <c r="B97" s="12"/>
      <c r="AE97" s="1" t="str">
        <f ca="1">IFERROR(MATCH(A97,OFFSET(Grades!$A$1,MATCH(Rates!$B$4,LIST,0),2,1,SUMIF(Grades!$A:$A,Rates!$B$4,Grades!$B:$B)),0),"")</f>
        <v/>
      </c>
    </row>
    <row r="98" spans="1:31" ht="18.75" customHeight="1" x14ac:dyDescent="0.25">
      <c r="A98" s="15"/>
      <c r="B98" s="12"/>
      <c r="AE98" s="1" t="str">
        <f ca="1">IFERROR(MATCH(A98,OFFSET(Grades!$A$1,MATCH(Rates!$B$4,LIST,0),2,1,SUMIF(Grades!$A:$A,Rates!$B$4,Grades!$B:$B)),0),"")</f>
        <v/>
      </c>
    </row>
    <row r="99" spans="1:31" ht="18.75" customHeight="1" x14ac:dyDescent="0.25">
      <c r="A99" s="15"/>
      <c r="B99" s="12"/>
      <c r="AE99" s="1" t="str">
        <f ca="1">IFERROR(MATCH(A99,OFFSET(Grades!$A$1,MATCH(Rates!$B$4,LIST,0),2,1,SUMIF(Grades!$A:$A,Rates!$B$4,Grades!$B:$B)),0),"")</f>
        <v/>
      </c>
    </row>
    <row r="100" spans="1:31" ht="18.75" customHeight="1" x14ac:dyDescent="0.25">
      <c r="A100" s="15"/>
      <c r="B100" s="12"/>
      <c r="AE100" s="1" t="str">
        <f ca="1">IFERROR(MATCH(A100,OFFSET(Grades!$A$1,MATCH(Rates!$B$4,LIST,0),2,1,SUMIF(Grades!$A:$A,Rates!$B$4,Grades!$B:$B)),0),"")</f>
        <v/>
      </c>
    </row>
    <row r="101" spans="1:31" ht="18.75" customHeight="1" x14ac:dyDescent="0.25">
      <c r="A101" s="15"/>
      <c r="B101" s="12"/>
      <c r="AE101" s="1" t="str">
        <f ca="1">IFERROR(MATCH(A101,OFFSET(Grades!$A$1,MATCH(Rates!$B$4,LIST,0),2,1,SUMIF(Grades!$A:$A,Rates!$B$4,Grades!$B:$B)),0),"")</f>
        <v/>
      </c>
    </row>
    <row r="102" spans="1:31" ht="18.75" customHeight="1" x14ac:dyDescent="0.25">
      <c r="A102" s="15"/>
      <c r="B102" s="12"/>
      <c r="AE102" s="1" t="str">
        <f ca="1">IFERROR(MATCH(A102,OFFSET(Grades!$A$1,MATCH(Rates!$B$4,LIST,0),2,1,SUMIF(Grades!$A:$A,Rates!$B$4,Grades!$B:$B)),0),"")</f>
        <v/>
      </c>
    </row>
    <row r="103" spans="1:31" ht="18.75" customHeight="1" x14ac:dyDescent="0.25">
      <c r="A103" s="15"/>
      <c r="B103" s="12"/>
      <c r="AE103" s="1" t="str">
        <f ca="1">IFERROR(MATCH(A103,OFFSET(Grades!$A$1,MATCH(Rates!$B$4,LIST,0),2,1,SUMIF(Grades!$A:$A,Rates!$B$4,Grades!$B:$B)),0),"")</f>
        <v/>
      </c>
    </row>
    <row r="104" spans="1:31" ht="18.75" customHeight="1" x14ac:dyDescent="0.25">
      <c r="A104" s="15"/>
      <c r="B104" s="12"/>
      <c r="AE104" s="1" t="str">
        <f ca="1">IFERROR(MATCH(A104,OFFSET(Grades!$A$1,MATCH(Rates!$B$4,LIST,0),2,1,SUMIF(Grades!$A:$A,Rates!$B$4,Grades!$B:$B)),0),"")</f>
        <v/>
      </c>
    </row>
    <row r="105" spans="1:31" ht="18.75" customHeight="1" x14ac:dyDescent="0.25">
      <c r="A105" s="15"/>
      <c r="B105" s="12"/>
      <c r="AE105" s="1" t="str">
        <f ca="1">IFERROR(MATCH(A105,OFFSET(Grades!$A$1,MATCH(Rates!$B$4,LIST,0),2,1,SUMIF(Grades!$A:$A,Rates!$B$4,Grades!$B:$B)),0),"")</f>
        <v/>
      </c>
    </row>
    <row r="106" spans="1:31" ht="18.75" customHeight="1" x14ac:dyDescent="0.25">
      <c r="A106" s="15"/>
      <c r="B106" s="12"/>
      <c r="AE106" s="1" t="str">
        <f ca="1">IFERROR(MATCH(A106,OFFSET(Grades!$A$1,MATCH(Rates!$B$4,LIST,0),2,1,SUMIF(Grades!$A:$A,Rates!$B$4,Grades!$B:$B)),0),"")</f>
        <v/>
      </c>
    </row>
    <row r="107" spans="1:31" ht="18.75" customHeight="1" x14ac:dyDescent="0.25">
      <c r="A107" s="15"/>
      <c r="B107" s="12"/>
      <c r="AE107" s="1" t="str">
        <f ca="1">IFERROR(MATCH(A107,OFFSET(Grades!$A$1,MATCH(Rates!$B$4,LIST,0),2,1,SUMIF(Grades!$A:$A,Rates!$B$4,Grades!$B:$B)),0),"")</f>
        <v/>
      </c>
    </row>
    <row r="108" spans="1:31" ht="18.75" customHeight="1" x14ac:dyDescent="0.25">
      <c r="A108" s="15"/>
      <c r="B108" s="12"/>
      <c r="AE108" s="1" t="str">
        <f ca="1">IFERROR(MATCH(A108,OFFSET(Grades!$A$1,MATCH(Rates!$B$4,LIST,0),2,1,SUMIF(Grades!$A:$A,Rates!$B$4,Grades!$B:$B)),0),"")</f>
        <v/>
      </c>
    </row>
    <row r="109" spans="1:31" ht="18.75" customHeight="1" x14ac:dyDescent="0.25">
      <c r="A109" s="15"/>
      <c r="B109" s="12"/>
      <c r="AE109" s="1" t="str">
        <f ca="1">IFERROR(MATCH(A109,OFFSET(Grades!$A$1,MATCH(Rates!$B$4,LIST,0),2,1,SUMIF(Grades!$A:$A,Rates!$B$4,Grades!$B:$B)),0),"")</f>
        <v/>
      </c>
    </row>
    <row r="110" spans="1:31" ht="18.75" customHeight="1" x14ac:dyDescent="0.25">
      <c r="A110" s="15"/>
      <c r="B110" s="12"/>
      <c r="AE110" s="1" t="str">
        <f ca="1">IFERROR(MATCH(A110,OFFSET(Grades!$A$1,MATCH(Rates!$B$4,LIST,0),2,1,SUMIF(Grades!$A:$A,Rates!$B$4,Grades!$B:$B)),0),"")</f>
        <v/>
      </c>
    </row>
    <row r="111" spans="1:31" ht="18.75" customHeight="1" x14ac:dyDescent="0.25">
      <c r="A111" s="15"/>
      <c r="B111" s="12"/>
      <c r="AE111" s="1" t="str">
        <f ca="1">IFERROR(MATCH(A111,OFFSET(Grades!$A$1,MATCH(Rates!$B$4,LIST,0),2,1,SUMIF(Grades!$A:$A,Rates!$B$4,Grades!$B:$B)),0),"")</f>
        <v/>
      </c>
    </row>
    <row r="112" spans="1:31" ht="18.75" customHeight="1" x14ac:dyDescent="0.25">
      <c r="A112" s="15"/>
      <c r="B112" s="12"/>
      <c r="AE112" s="1" t="str">
        <f ca="1">IFERROR(MATCH(A112,OFFSET(Grades!$A$1,MATCH(Rates!$B$4,LIST,0),2,1,SUMIF(Grades!$A:$A,Rates!$B$4,Grades!$B:$B)),0),"")</f>
        <v/>
      </c>
    </row>
    <row r="113" spans="1:31" ht="18.75" customHeight="1" x14ac:dyDescent="0.25">
      <c r="A113" s="15"/>
      <c r="B113" s="12"/>
      <c r="AE113" s="1" t="str">
        <f ca="1">IFERROR(MATCH(A113,OFFSET(Grades!$A$1,MATCH(Rates!$B$4,LIST,0),2,1,SUMIF(Grades!$A:$A,Rates!$B$4,Grades!$B:$B)),0),"")</f>
        <v/>
      </c>
    </row>
    <row r="114" spans="1:31" ht="18.75" customHeight="1" x14ac:dyDescent="0.25">
      <c r="A114" s="15"/>
      <c r="B114" s="12"/>
      <c r="AE114" s="1" t="str">
        <f ca="1">IFERROR(MATCH(A114,OFFSET(Grades!$A$1,MATCH(Rates!$B$4,LIST,0),2,1,SUMIF(Grades!$A:$A,Rates!$B$4,Grades!$B:$B)),0),"")</f>
        <v/>
      </c>
    </row>
    <row r="115" spans="1:31" ht="18.75" customHeight="1" x14ac:dyDescent="0.25">
      <c r="A115" s="15"/>
      <c r="B115" s="12"/>
      <c r="AE115" s="1" t="str">
        <f ca="1">IFERROR(MATCH(A115,OFFSET(Grades!$A$1,MATCH(Rates!$B$4,LIST,0),2,1,SUMIF(Grades!$A:$A,Rates!$B$4,Grades!$B:$B)),0),"")</f>
        <v/>
      </c>
    </row>
    <row r="116" spans="1:31" ht="18.75" customHeight="1" x14ac:dyDescent="0.25">
      <c r="A116" s="15"/>
      <c r="B116" s="12"/>
      <c r="AE116" s="1" t="str">
        <f ca="1">IFERROR(MATCH(A116,OFFSET(Grades!$A$1,MATCH(Rates!$B$4,LIST,0),2,1,SUMIF(Grades!$A:$A,Rates!$B$4,Grades!$B:$B)),0),"")</f>
        <v/>
      </c>
    </row>
    <row r="117" spans="1:31" ht="18.75" customHeight="1" x14ac:dyDescent="0.25">
      <c r="A117" s="15"/>
      <c r="B117" s="12"/>
      <c r="AE117" s="1" t="str">
        <f ca="1">IFERROR(MATCH(A117,OFFSET(Grades!$A$1,MATCH(Rates!$B$4,LIST,0),2,1,SUMIF(Grades!$A:$A,Rates!$B$4,Grades!$B:$B)),0),"")</f>
        <v/>
      </c>
    </row>
    <row r="118" spans="1:31" ht="18.75" customHeight="1" x14ac:dyDescent="0.25">
      <c r="A118" s="15"/>
      <c r="B118" s="12"/>
      <c r="AE118" s="1" t="str">
        <f ca="1">IFERROR(MATCH(A118,OFFSET(Grades!$A$1,MATCH(Rates!$B$4,LIST,0),2,1,SUMIF(Grades!$A:$A,Rates!$B$4,Grades!$B:$B)),0),"")</f>
        <v/>
      </c>
    </row>
    <row r="119" spans="1:31" ht="18.75" customHeight="1" x14ac:dyDescent="0.25">
      <c r="A119" s="15"/>
      <c r="B119" s="12"/>
      <c r="AE119" s="1" t="str">
        <f ca="1">IFERROR(MATCH(A119,OFFSET(Grades!$A$1,MATCH(Rates!$B$4,LIST,0),2,1,SUMIF(Grades!$A:$A,Rates!$B$4,Grades!$B:$B)),0),"")</f>
        <v/>
      </c>
    </row>
    <row r="120" spans="1:31" ht="18.75" customHeight="1" x14ac:dyDescent="0.25">
      <c r="A120" s="15"/>
      <c r="B120" s="12"/>
      <c r="AE120" s="1" t="str">
        <f ca="1">IFERROR(MATCH(A120,OFFSET(Grades!$A$1,MATCH(Rates!$B$4,LIST,0),2,1,SUMIF(Grades!$A:$A,Rates!$B$4,Grades!$B:$B)),0),"")</f>
        <v/>
      </c>
    </row>
    <row r="121" spans="1:31" ht="18.75" customHeight="1" x14ac:dyDescent="0.25">
      <c r="A121" s="15"/>
      <c r="B121" s="12"/>
      <c r="AE121" s="1" t="str">
        <f ca="1">IFERROR(MATCH(A121,OFFSET(Grades!$A$1,MATCH(Rates!$B$4,LIST,0),2,1,SUMIF(Grades!$A:$A,Rates!$B$4,Grades!$B:$B)),0),"")</f>
        <v/>
      </c>
    </row>
    <row r="122" spans="1:31" ht="18.75" customHeight="1" x14ac:dyDescent="0.25">
      <c r="A122" s="15"/>
      <c r="B122" s="12"/>
      <c r="AE122" s="1" t="str">
        <f ca="1">IFERROR(MATCH(A122,OFFSET(Grades!$A$1,MATCH(Rates!$B$4,LIST,0),2,1,SUMIF(Grades!$A:$A,Rates!$B$4,Grades!$B:$B)),0),"")</f>
        <v/>
      </c>
    </row>
    <row r="123" spans="1:31" ht="18.75" customHeight="1" x14ac:dyDescent="0.25">
      <c r="A123" s="15"/>
      <c r="B123" s="12"/>
      <c r="AE123" s="1" t="str">
        <f ca="1">IFERROR(MATCH(A123,OFFSET(Grades!$A$1,MATCH(Rates!$B$4,LIST,0),2,1,SUMIF(Grades!$A:$A,Rates!$B$4,Grades!$B:$B)),0),"")</f>
        <v/>
      </c>
    </row>
    <row r="124" spans="1:31" ht="18.75" customHeight="1" x14ac:dyDescent="0.25">
      <c r="A124" s="15"/>
      <c r="B124" s="12"/>
      <c r="AE124" s="1" t="str">
        <f ca="1">IFERROR(MATCH(A124,OFFSET(Grades!$A$1,MATCH(Rates!$B$4,LIST,0),2,1,SUMIF(Grades!$A:$A,Rates!$B$4,Grades!$B:$B)),0),"")</f>
        <v/>
      </c>
    </row>
    <row r="125" spans="1:31" ht="18.75" customHeight="1" x14ac:dyDescent="0.25">
      <c r="A125" s="15"/>
      <c r="B125" s="12"/>
      <c r="AE125" s="1" t="str">
        <f ca="1">IFERROR(MATCH(A125,OFFSET(Grades!$A$1,MATCH(Rates!$B$4,LIST,0),2,1,SUMIF(Grades!$A:$A,Rates!$B$4,Grades!$B:$B)),0),"")</f>
        <v/>
      </c>
    </row>
    <row r="126" spans="1:31" ht="18.75" customHeight="1" x14ac:dyDescent="0.25">
      <c r="A126" s="15"/>
      <c r="B126" s="12"/>
      <c r="AE126" s="1" t="str">
        <f ca="1">IFERROR(MATCH(A126,OFFSET(Grades!$A$1,MATCH(Rates!$B$4,LIST,0),2,1,SUMIF(Grades!$A:$A,Rates!$B$4,Grades!$B:$B)),0),"")</f>
        <v/>
      </c>
    </row>
    <row r="127" spans="1:31" ht="18.75" customHeight="1" x14ac:dyDescent="0.25">
      <c r="A127" s="15"/>
      <c r="B127" s="12"/>
      <c r="AE127" s="1" t="str">
        <f ca="1">IFERROR(MATCH(A127,OFFSET(Grades!$A$1,MATCH(Rates!$B$4,LIST,0),2,1,SUMIF(Grades!$A:$A,Rates!$B$4,Grades!$B:$B)),0),"")</f>
        <v/>
      </c>
    </row>
    <row r="128" spans="1:31" ht="18.75" customHeight="1" x14ac:dyDescent="0.25">
      <c r="A128" s="15"/>
      <c r="B128" s="12"/>
      <c r="AE128" s="1" t="str">
        <f ca="1">IFERROR(MATCH(A128,OFFSET(Grades!$A$1,MATCH(Rates!$B$4,LIST,0),2,1,SUMIF(Grades!$A:$A,Rates!$B$4,Grades!$B:$B)),0),"")</f>
        <v/>
      </c>
    </row>
    <row r="129" spans="1:31" ht="18.75" customHeight="1" x14ac:dyDescent="0.25">
      <c r="A129" s="15"/>
      <c r="B129" s="12"/>
      <c r="AE129" s="1" t="str">
        <f ca="1">IFERROR(MATCH(A129,OFFSET(Grades!$A$1,MATCH(Rates!$B$4,LIST,0),2,1,SUMIF(Grades!$A:$A,Rates!$B$4,Grades!$B:$B)),0),"")</f>
        <v/>
      </c>
    </row>
    <row r="130" spans="1:31" ht="18.75" customHeight="1" x14ac:dyDescent="0.25">
      <c r="A130" s="15"/>
      <c r="B130" s="12"/>
      <c r="AE130" s="1" t="str">
        <f ca="1">IFERROR(MATCH(A130,OFFSET(Grades!$A$1,MATCH(Rates!$B$4,LIST,0),2,1,SUMIF(Grades!$A:$A,Rates!$B$4,Grades!$B:$B)),0),"")</f>
        <v/>
      </c>
    </row>
    <row r="131" spans="1:31" ht="18.75" customHeight="1" x14ac:dyDescent="0.25">
      <c r="A131" s="15"/>
      <c r="B131" s="12"/>
      <c r="AE131" s="1" t="str">
        <f ca="1">IFERROR(MATCH(A131,OFFSET(Grades!$A$1,MATCH(Rates!$B$4,LIST,0),2,1,SUMIF(Grades!$A:$A,Rates!$B$4,Grades!$B:$B)),0),"")</f>
        <v/>
      </c>
    </row>
    <row r="132" spans="1:31" ht="18.75" customHeight="1" x14ac:dyDescent="0.25">
      <c r="A132" s="15"/>
      <c r="B132" s="12"/>
      <c r="AE132" s="1" t="str">
        <f ca="1">IFERROR(MATCH(A132,OFFSET(Grades!$A$1,MATCH(Rates!$B$4,LIST,0),2,1,SUMIF(Grades!$A:$A,Rates!$B$4,Grades!$B:$B)),0),"")</f>
        <v/>
      </c>
    </row>
    <row r="133" spans="1:31" ht="18.75" customHeight="1" x14ac:dyDescent="0.25">
      <c r="A133" s="15"/>
      <c r="B133" s="12"/>
      <c r="AE133" s="1" t="str">
        <f ca="1">IFERROR(MATCH(A133,OFFSET(Grades!$A$1,MATCH(Rates!$B$4,LIST,0),2,1,SUMIF(Grades!$A:$A,Rates!$B$4,Grades!$B:$B)),0),"")</f>
        <v/>
      </c>
    </row>
    <row r="134" spans="1:31" ht="18.75" customHeight="1" x14ac:dyDescent="0.25">
      <c r="A134" s="15"/>
      <c r="B134" s="12"/>
      <c r="AE134" s="1" t="str">
        <f ca="1">IFERROR(MATCH(A134,OFFSET(Grades!$A$1,MATCH(Rates!$B$4,LIST,0),2,1,SUMIF(Grades!$A:$A,Rates!$B$4,Grades!$B:$B)),0),"")</f>
        <v/>
      </c>
    </row>
    <row r="135" spans="1:31" ht="18.75" customHeight="1" x14ac:dyDescent="0.25">
      <c r="A135" s="15"/>
      <c r="B135" s="12"/>
      <c r="AE135" s="1" t="str">
        <f ca="1">IFERROR(MATCH(A135,OFFSET(Grades!$A$1,MATCH(Rates!$B$4,LIST,0),2,1,SUMIF(Grades!$A:$A,Rates!$B$4,Grades!$B:$B)),0),"")</f>
        <v/>
      </c>
    </row>
    <row r="136" spans="1:31" ht="18.75" customHeight="1" x14ac:dyDescent="0.25">
      <c r="A136" s="15"/>
      <c r="B136" s="12"/>
      <c r="AE136" s="1" t="str">
        <f ca="1">IFERROR(MATCH(A136,OFFSET(Grades!$A$1,MATCH(Rates!$B$4,LIST,0),2,1,SUMIF(Grades!$A:$A,Rates!$B$4,Grades!$B:$B)),0),"")</f>
        <v/>
      </c>
    </row>
    <row r="137" spans="1:31" ht="18.75" customHeight="1" x14ac:dyDescent="0.25">
      <c r="A137" s="15"/>
      <c r="B137" s="12"/>
      <c r="AE137" s="1" t="str">
        <f ca="1">IFERROR(MATCH(A137,OFFSET(Grades!$A$1,MATCH(Rates!$B$4,LIST,0),2,1,SUMIF(Grades!$A:$A,Rates!$B$4,Grades!$B:$B)),0),"")</f>
        <v/>
      </c>
    </row>
    <row r="138" spans="1:31" ht="18.75" customHeight="1" x14ac:dyDescent="0.25">
      <c r="A138" s="15"/>
      <c r="B138" s="12"/>
      <c r="AE138" s="1" t="str">
        <f ca="1">IFERROR(MATCH(A138,OFFSET(Grades!$A$1,MATCH(Rates!$B$4,LIST,0),2,1,SUMIF(Grades!$A:$A,Rates!$B$4,Grades!$B:$B)),0),"")</f>
        <v/>
      </c>
    </row>
    <row r="139" spans="1:31" ht="18.75" customHeight="1" x14ac:dyDescent="0.25">
      <c r="A139" s="15"/>
      <c r="B139" s="12"/>
      <c r="AE139" s="1" t="str">
        <f ca="1">IFERROR(MATCH(A139,OFFSET(Grades!$A$1,MATCH(Rates!$B$4,LIST,0),2,1,SUMIF(Grades!$A:$A,Rates!$B$4,Grades!$B:$B)),0),"")</f>
        <v/>
      </c>
    </row>
    <row r="140" spans="1:31" ht="18.75" customHeight="1" x14ac:dyDescent="0.25">
      <c r="A140" s="15"/>
      <c r="B140" s="12"/>
      <c r="AE140" s="1" t="str">
        <f ca="1">IFERROR(MATCH(A140,OFFSET(Grades!$A$1,MATCH(Rates!$B$4,LIST,0),2,1,SUMIF(Grades!$A:$A,Rates!$B$4,Grades!$B:$B)),0),"")</f>
        <v/>
      </c>
    </row>
    <row r="141" spans="1:31" ht="18.75" customHeight="1" x14ac:dyDescent="0.25">
      <c r="A141" s="15"/>
      <c r="B141" s="12"/>
      <c r="AE141" s="1" t="str">
        <f ca="1">IFERROR(MATCH(A141,OFFSET(Grades!$A$1,MATCH(Rates!$B$4,LIST,0),2,1,SUMIF(Grades!$A:$A,Rates!$B$4,Grades!$B:$B)),0),"")</f>
        <v/>
      </c>
    </row>
    <row r="142" spans="1:31" ht="18.75" customHeight="1" x14ac:dyDescent="0.25">
      <c r="A142" s="15"/>
      <c r="B142" s="12"/>
      <c r="AE142" s="1" t="str">
        <f ca="1">IFERROR(MATCH(A142,OFFSET(Grades!$A$1,MATCH(Rates!$B$4,LIST,0),2,1,SUMIF(Grades!$A:$A,Rates!$B$4,Grades!$B:$B)),0),"")</f>
        <v/>
      </c>
    </row>
    <row r="143" spans="1:31" ht="18.75" customHeight="1" x14ac:dyDescent="0.25">
      <c r="A143" s="15"/>
      <c r="B143" s="12"/>
      <c r="AE143" s="1" t="str">
        <f ca="1">IFERROR(MATCH(A143,OFFSET(Grades!$A$1,MATCH(Rates!$B$4,LIST,0),2,1,SUMIF(Grades!$A:$A,Rates!$B$4,Grades!$B:$B)),0),"")</f>
        <v/>
      </c>
    </row>
    <row r="144" spans="1:31" ht="18.75" customHeight="1" x14ac:dyDescent="0.25">
      <c r="A144" s="15"/>
      <c r="B144" s="12"/>
      <c r="AE144" s="1" t="str">
        <f ca="1">IFERROR(MATCH(A144,OFFSET(Grades!$A$1,MATCH(Rates!$B$4,LIST,0),2,1,SUMIF(Grades!$A:$A,Rates!$B$4,Grades!$B:$B)),0),"")</f>
        <v/>
      </c>
    </row>
    <row r="145" spans="1:31" ht="18.75" customHeight="1" x14ac:dyDescent="0.25">
      <c r="A145" s="15"/>
      <c r="B145" s="12"/>
      <c r="AE145" s="1" t="str">
        <f ca="1">IFERROR(MATCH(A145,OFFSET(Grades!$A$1,MATCH(Rates!$B$4,LIST,0),2,1,SUMIF(Grades!$A:$A,Rates!$B$4,Grades!$B:$B)),0),"")</f>
        <v/>
      </c>
    </row>
    <row r="146" spans="1:31" ht="18.75" customHeight="1" x14ac:dyDescent="0.25">
      <c r="A146" s="15"/>
      <c r="B146" s="12"/>
      <c r="AE146" s="1" t="str">
        <f ca="1">IFERROR(MATCH(A146,OFFSET(Grades!$A$1,MATCH(Rates!$B$4,LIST,0),2,1,SUMIF(Grades!$A:$A,Rates!$B$4,Grades!$B:$B)),0),"")</f>
        <v/>
      </c>
    </row>
    <row r="147" spans="1:31" ht="18.75" customHeight="1" x14ac:dyDescent="0.25">
      <c r="A147" s="15"/>
      <c r="B147" s="12"/>
      <c r="AE147" s="1" t="str">
        <f ca="1">IFERROR(MATCH(A147,OFFSET(Grades!$A$1,MATCH(Rates!$B$4,LIST,0),2,1,SUMIF(Grades!$A:$A,Rates!$B$4,Grades!$B:$B)),0),"")</f>
        <v/>
      </c>
    </row>
    <row r="148" spans="1:31" ht="18.75" customHeight="1" x14ac:dyDescent="0.25">
      <c r="A148" s="15"/>
      <c r="B148" s="12"/>
      <c r="AE148" s="1" t="str">
        <f ca="1">IFERROR(MATCH(A148,OFFSET(Grades!$A$1,MATCH(Rates!$B$4,LIST,0),2,1,SUMIF(Grades!$A:$A,Rates!$B$4,Grades!$B:$B)),0),"")</f>
        <v/>
      </c>
    </row>
    <row r="149" spans="1:31" ht="18.75" customHeight="1" x14ac:dyDescent="0.25">
      <c r="A149" s="15"/>
      <c r="B149" s="12"/>
      <c r="AE149" s="1" t="str">
        <f ca="1">IFERROR(MATCH(A149,OFFSET(Grades!$A$1,MATCH(Rates!$B$4,LIST,0),2,1,SUMIF(Grades!$A:$A,Rates!$B$4,Grades!$B:$B)),0),"")</f>
        <v/>
      </c>
    </row>
    <row r="150" spans="1:31" ht="18.75" customHeight="1" x14ac:dyDescent="0.25">
      <c r="A150" s="15"/>
      <c r="B150" s="12"/>
      <c r="AE150" s="1" t="str">
        <f ca="1">IFERROR(MATCH(A150,OFFSET(Grades!$A$1,MATCH(Rates!$B$4,LIST,0),2,1,SUMIF(Grades!$A:$A,Rates!$B$4,Grades!$B:$B)),0),"")</f>
        <v/>
      </c>
    </row>
    <row r="151" spans="1:31" ht="18.75" customHeight="1" x14ac:dyDescent="0.25">
      <c r="A151" s="15"/>
      <c r="B151" s="12"/>
      <c r="AE151" s="1" t="str">
        <f ca="1">IFERROR(MATCH(A151,OFFSET(Grades!$A$1,MATCH(Rates!$B$4,LIST,0),2,1,SUMIF(Grades!$A:$A,Rates!$B$4,Grades!$B:$B)),0),"")</f>
        <v/>
      </c>
    </row>
    <row r="152" spans="1:31" ht="18.75" customHeight="1" x14ac:dyDescent="0.25">
      <c r="A152" s="15"/>
      <c r="B152" s="12"/>
      <c r="AE152" s="1" t="str">
        <f ca="1">IFERROR(MATCH(A152,OFFSET(Grades!$A$1,MATCH(Rates!$B$4,LIST,0),2,1,SUMIF(Grades!$A:$A,Rates!$B$4,Grades!$B:$B)),0),"")</f>
        <v/>
      </c>
    </row>
    <row r="153" spans="1:31" ht="18.75" customHeight="1" x14ac:dyDescent="0.25">
      <c r="A153" s="15"/>
      <c r="B153" s="12"/>
      <c r="AE153" s="1" t="str">
        <f ca="1">IFERROR(MATCH(A153,OFFSET(Grades!$A$1,MATCH(Rates!$B$4,LIST,0),2,1,SUMIF(Grades!$A:$A,Rates!$B$4,Grades!$B:$B)),0),"")</f>
        <v/>
      </c>
    </row>
    <row r="154" spans="1:31" ht="18.75" customHeight="1" x14ac:dyDescent="0.25">
      <c r="A154" s="15"/>
      <c r="B154" s="12"/>
      <c r="AE154" s="1" t="str">
        <f ca="1">IFERROR(MATCH(A154,OFFSET(Grades!$A$1,MATCH(Rates!$B$4,LIST,0),2,1,SUMIF(Grades!$A:$A,Rates!$B$4,Grades!$B:$B)),0),"")</f>
        <v/>
      </c>
    </row>
    <row r="155" spans="1:31" ht="18.75" customHeight="1" x14ac:dyDescent="0.25">
      <c r="A155" s="15"/>
      <c r="B155" s="12"/>
      <c r="AE155" s="1" t="str">
        <f ca="1">IFERROR(MATCH(A155,OFFSET(Grades!$A$1,MATCH(Rates!$B$4,LIST,0),2,1,SUMIF(Grades!$A:$A,Rates!$B$4,Grades!$B:$B)),0),"")</f>
        <v/>
      </c>
    </row>
    <row r="156" spans="1:31" ht="18.75" customHeight="1" x14ac:dyDescent="0.25">
      <c r="A156" s="15"/>
      <c r="B156" s="12"/>
      <c r="AE156" s="1" t="str">
        <f ca="1">IFERROR(MATCH(A156,OFFSET(Grades!$A$1,MATCH(Rates!$B$4,LIST,0),2,1,SUMIF(Grades!$A:$A,Rates!$B$4,Grades!$B:$B)),0),"")</f>
        <v/>
      </c>
    </row>
    <row r="157" spans="1:31" ht="18.75" customHeight="1" x14ac:dyDescent="0.25">
      <c r="A157" s="15"/>
      <c r="B157" s="12"/>
      <c r="AE157" s="1" t="str">
        <f ca="1">IFERROR(MATCH(A157,OFFSET(Grades!$A$1,MATCH(Rates!$B$4,LIST,0),2,1,SUMIF(Grades!$A:$A,Rates!$B$4,Grades!$B:$B)),0),"")</f>
        <v/>
      </c>
    </row>
    <row r="158" spans="1:31" ht="18.75" customHeight="1" x14ac:dyDescent="0.25">
      <c r="A158" s="15"/>
      <c r="B158" s="12"/>
      <c r="AE158" s="1" t="str">
        <f ca="1">IFERROR(MATCH(A158,OFFSET(Grades!$A$1,MATCH(Rates!$B$4,LIST,0),2,1,SUMIF(Grades!$A:$A,Rates!$B$4,Grades!$B:$B)),0),"")</f>
        <v/>
      </c>
    </row>
    <row r="159" spans="1:31" ht="18.75" customHeight="1" x14ac:dyDescent="0.25">
      <c r="A159" s="15"/>
      <c r="B159" s="12"/>
      <c r="AE159" s="1" t="str">
        <f ca="1">IFERROR(MATCH(A159,OFFSET(Grades!$A$1,MATCH(Rates!$B$4,LIST,0),2,1,SUMIF(Grades!$A:$A,Rates!$B$4,Grades!$B:$B)),0),"")</f>
        <v/>
      </c>
    </row>
    <row r="160" spans="1:31" ht="18.75" customHeight="1" x14ac:dyDescent="0.25">
      <c r="A160" s="15"/>
      <c r="B160" s="12"/>
      <c r="AE160" s="1" t="str">
        <f ca="1">IFERROR(MATCH(A160,OFFSET(Grades!$A$1,MATCH(Rates!$B$4,LIST,0),2,1,SUMIF(Grades!$A:$A,Rates!$B$4,Grades!$B:$B)),0),"")</f>
        <v/>
      </c>
    </row>
    <row r="161" spans="1:31" ht="18.75" customHeight="1" x14ac:dyDescent="0.25">
      <c r="A161" s="15"/>
      <c r="B161" s="12"/>
      <c r="AE161" s="1" t="str">
        <f ca="1">IFERROR(MATCH(A161,OFFSET(Grades!$A$1,MATCH(Rates!$B$4,LIST,0),2,1,SUMIF(Grades!$A:$A,Rates!$B$4,Grades!$B:$B)),0),"")</f>
        <v/>
      </c>
    </row>
    <row r="162" spans="1:31" ht="18.75" customHeight="1" x14ac:dyDescent="0.25">
      <c r="A162" s="15"/>
      <c r="B162" s="12"/>
      <c r="AE162" s="1" t="str">
        <f ca="1">IFERROR(MATCH(A162,OFFSET(Grades!$A$1,MATCH(Rates!$B$4,LIST,0),2,1,SUMIF(Grades!$A:$A,Rates!$B$4,Grades!$B:$B)),0),"")</f>
        <v/>
      </c>
    </row>
    <row r="163" spans="1:31" ht="18.75" customHeight="1" x14ac:dyDescent="0.25">
      <c r="A163" s="15"/>
      <c r="B163" s="12"/>
      <c r="AE163" s="1" t="str">
        <f ca="1">IFERROR(MATCH(A163,OFFSET(Grades!$A$1,MATCH(Rates!$B$4,LIST,0),2,1,SUMIF(Grades!$A:$A,Rates!$B$4,Grades!$B:$B)),0),"")</f>
        <v/>
      </c>
    </row>
    <row r="164" spans="1:31" ht="18.75" customHeight="1" x14ac:dyDescent="0.25">
      <c r="A164" s="15"/>
      <c r="B164" s="12"/>
      <c r="AE164" s="1" t="str">
        <f ca="1">IFERROR(MATCH(A164,OFFSET(Grades!$A$1,MATCH(Rates!$B$4,LIST,0),2,1,SUMIF(Grades!$A:$A,Rates!$B$4,Grades!$B:$B)),0),"")</f>
        <v/>
      </c>
    </row>
    <row r="165" spans="1:31" ht="18.75" customHeight="1" x14ac:dyDescent="0.25">
      <c r="A165" s="15"/>
      <c r="B165" s="12"/>
      <c r="AE165" s="1" t="str">
        <f ca="1">IFERROR(MATCH(A165,OFFSET(Grades!$A$1,MATCH(Rates!$B$4,LIST,0),2,1,SUMIF(Grades!$A:$A,Rates!$B$4,Grades!$B:$B)),0),"")</f>
        <v/>
      </c>
    </row>
    <row r="166" spans="1:31" ht="18.75" customHeight="1" x14ac:dyDescent="0.25">
      <c r="A166" s="15"/>
      <c r="B166" s="12"/>
      <c r="AE166" s="1" t="str">
        <f ca="1">IFERROR(MATCH(A166,OFFSET(Grades!$A$1,MATCH(Rates!$B$4,LIST,0),2,1,SUMIF(Grades!$A:$A,Rates!$B$4,Grades!$B:$B)),0),"")</f>
        <v/>
      </c>
    </row>
    <row r="167" spans="1:31" ht="18.75" customHeight="1" x14ac:dyDescent="0.25">
      <c r="A167" s="15"/>
      <c r="B167" s="12"/>
      <c r="AE167" s="1" t="str">
        <f ca="1">IFERROR(MATCH(A167,OFFSET(Grades!$A$1,MATCH(Rates!$B$4,LIST,0),2,1,SUMIF(Grades!$A:$A,Rates!$B$4,Grades!$B:$B)),0),"")</f>
        <v/>
      </c>
    </row>
    <row r="168" spans="1:31" ht="18.75" customHeight="1" x14ac:dyDescent="0.25">
      <c r="A168" s="15"/>
      <c r="B168" s="12"/>
      <c r="AE168" s="1" t="str">
        <f ca="1">IFERROR(MATCH(A168,OFFSET(Grades!$A$1,MATCH(Rates!$B$4,LIST,0),2,1,SUMIF(Grades!$A:$A,Rates!$B$4,Grades!$B:$B)),0),"")</f>
        <v/>
      </c>
    </row>
    <row r="169" spans="1:31" ht="18.75" customHeight="1" x14ac:dyDescent="0.25">
      <c r="A169" s="15"/>
      <c r="B169" s="12"/>
      <c r="AE169" s="1" t="str">
        <f ca="1">IFERROR(MATCH(A169,OFFSET(Grades!$A$1,MATCH(Rates!$B$4,LIST,0),2,1,SUMIF(Grades!$A:$A,Rates!$B$4,Grades!$B:$B)),0),"")</f>
        <v/>
      </c>
    </row>
    <row r="170" spans="1:31" ht="18.75" customHeight="1" x14ac:dyDescent="0.25">
      <c r="A170" s="15"/>
      <c r="B170" s="12"/>
      <c r="AE170" s="1" t="str">
        <f ca="1">IFERROR(MATCH(A170,OFFSET(Grades!$A$1,MATCH(Rates!$B$4,LIST,0),2,1,SUMIF(Grades!$A:$A,Rates!$B$4,Grades!$B:$B)),0),"")</f>
        <v/>
      </c>
    </row>
    <row r="171" spans="1:31" ht="18.75" customHeight="1" x14ac:dyDescent="0.25">
      <c r="A171" s="15"/>
      <c r="B171" s="12"/>
      <c r="AE171" s="1" t="str">
        <f ca="1">IFERROR(MATCH(A171,OFFSET(Grades!$A$1,MATCH(Rates!$B$4,LIST,0),2,1,SUMIF(Grades!$A:$A,Rates!$B$4,Grades!$B:$B)),0),"")</f>
        <v/>
      </c>
    </row>
    <row r="172" spans="1:31" ht="18.75" customHeight="1" x14ac:dyDescent="0.25">
      <c r="A172" s="15"/>
      <c r="B172" s="12"/>
      <c r="AE172" s="1" t="str">
        <f ca="1">IFERROR(MATCH(A172,OFFSET(Grades!$A$1,MATCH(Rates!$B$4,LIST,0),2,1,SUMIF(Grades!$A:$A,Rates!$B$4,Grades!$B:$B)),0),"")</f>
        <v/>
      </c>
    </row>
    <row r="173" spans="1:31" ht="18.75" customHeight="1" x14ac:dyDescent="0.25">
      <c r="A173" s="15"/>
      <c r="B173" s="12"/>
      <c r="AE173" s="1" t="str">
        <f ca="1">IFERROR(MATCH(A173,OFFSET(Grades!$A$1,MATCH(Rates!$B$4,LIST,0),2,1,SUMIF(Grades!$A:$A,Rates!$B$4,Grades!$B:$B)),0),"")</f>
        <v/>
      </c>
    </row>
    <row r="174" spans="1:31" ht="18.75" customHeight="1" x14ac:dyDescent="0.25">
      <c r="A174" s="15"/>
      <c r="B174" s="12"/>
      <c r="AE174" s="1" t="str">
        <f ca="1">IFERROR(MATCH(A174,OFFSET(Grades!$A$1,MATCH(Rates!$B$4,LIST,0),2,1,SUMIF(Grades!$A:$A,Rates!$B$4,Grades!$B:$B)),0),"")</f>
        <v/>
      </c>
    </row>
    <row r="175" spans="1:31" ht="18.75" customHeight="1" x14ac:dyDescent="0.25">
      <c r="A175" s="15"/>
      <c r="B175" s="12"/>
      <c r="AE175" s="1" t="str">
        <f ca="1">IFERROR(MATCH(A175,OFFSET(Grades!$A$1,MATCH(Rates!$B$4,LIST,0),2,1,SUMIF(Grades!$A:$A,Rates!$B$4,Grades!$B:$B)),0),"")</f>
        <v/>
      </c>
    </row>
    <row r="176" spans="1:31" ht="18.75" customHeight="1" x14ac:dyDescent="0.25">
      <c r="A176" s="15"/>
      <c r="B176" s="12"/>
      <c r="AE176" s="1" t="str">
        <f ca="1">IFERROR(MATCH(A176,OFFSET(Grades!$A$1,MATCH(Rates!$B$4,LIST,0),2,1,SUMIF(Grades!$A:$A,Rates!$B$4,Grades!$B:$B)),0),"")</f>
        <v/>
      </c>
    </row>
    <row r="177" spans="1:31" ht="18.75" customHeight="1" x14ac:dyDescent="0.25">
      <c r="A177" s="15"/>
      <c r="B177" s="12"/>
      <c r="AE177" s="1" t="str">
        <f ca="1">IFERROR(MATCH(A177,OFFSET(Grades!$A$1,MATCH(Rates!$B$4,LIST,0),2,1,SUMIF(Grades!$A:$A,Rates!$B$4,Grades!$B:$B)),0),"")</f>
        <v/>
      </c>
    </row>
    <row r="178" spans="1:31" ht="18.75" customHeight="1" x14ac:dyDescent="0.25">
      <c r="A178" s="15"/>
      <c r="B178" s="12"/>
      <c r="AE178" s="1" t="str">
        <f ca="1">IFERROR(MATCH(A178,OFFSET(Grades!$A$1,MATCH(Rates!$B$4,LIST,0),2,1,SUMIF(Grades!$A:$A,Rates!$B$4,Grades!$B:$B)),0),"")</f>
        <v/>
      </c>
    </row>
    <row r="179" spans="1:31" ht="18.75" customHeight="1" x14ac:dyDescent="0.25">
      <c r="A179" s="15"/>
      <c r="B179" s="12"/>
      <c r="AE179" s="1" t="str">
        <f ca="1">IFERROR(MATCH(A179,OFFSET(Grades!$A$1,MATCH(Rates!$B$4,LIST,0),2,1,SUMIF(Grades!$A:$A,Rates!$B$4,Grades!$B:$B)),0),"")</f>
        <v/>
      </c>
    </row>
    <row r="180" spans="1:31" ht="18.75" customHeight="1" x14ac:dyDescent="0.25">
      <c r="A180" s="15"/>
      <c r="B180" s="12"/>
      <c r="AE180" s="1" t="str">
        <f ca="1">IFERROR(MATCH(A180,OFFSET(Grades!$A$1,MATCH(Rates!$B$4,LIST,0),2,1,SUMIF(Grades!$A:$A,Rates!$B$4,Grades!$B:$B)),0),"")</f>
        <v/>
      </c>
    </row>
    <row r="181" spans="1:31" ht="18.75" customHeight="1" x14ac:dyDescent="0.25">
      <c r="A181" s="15"/>
      <c r="B181" s="12"/>
      <c r="AE181" s="1" t="str">
        <f ca="1">IFERROR(MATCH(A181,OFFSET(Grades!$A$1,MATCH(Rates!$B$4,LIST,0),2,1,SUMIF(Grades!$A:$A,Rates!$B$4,Grades!$B:$B)),0),"")</f>
        <v/>
      </c>
    </row>
    <row r="182" spans="1:31" ht="18.75" customHeight="1" x14ac:dyDescent="0.25">
      <c r="A182" s="15"/>
      <c r="B182" s="12"/>
      <c r="AE182" s="1" t="str">
        <f ca="1">IFERROR(MATCH(A182,OFFSET(Grades!$A$1,MATCH(Rates!$B$4,LIST,0),2,1,SUMIF(Grades!$A:$A,Rates!$B$4,Grades!$B:$B)),0),"")</f>
        <v/>
      </c>
    </row>
    <row r="183" spans="1:31" ht="18.75" customHeight="1" x14ac:dyDescent="0.25">
      <c r="A183" s="15"/>
      <c r="B183" s="12"/>
      <c r="AE183" s="1" t="str">
        <f ca="1">IFERROR(MATCH(A183,OFFSET(Grades!$A$1,MATCH(Rates!$B$4,LIST,0),2,1,SUMIF(Grades!$A:$A,Rates!$B$4,Grades!$B:$B)),0),"")</f>
        <v/>
      </c>
    </row>
    <row r="184" spans="1:31" ht="18.75" customHeight="1" x14ac:dyDescent="0.25">
      <c r="A184" s="15"/>
      <c r="B184" s="12"/>
      <c r="AE184" s="1" t="str">
        <f ca="1">IFERROR(MATCH(A184,OFFSET(Grades!$A$1,MATCH(Rates!$B$4,LIST,0),2,1,SUMIF(Grades!$A:$A,Rates!$B$4,Grades!$B:$B)),0),"")</f>
        <v/>
      </c>
    </row>
    <row r="185" spans="1:31" ht="18.75" customHeight="1" x14ac:dyDescent="0.25">
      <c r="A185" s="15"/>
      <c r="B185" s="12"/>
      <c r="AE185" s="1" t="str">
        <f ca="1">IFERROR(MATCH(A185,OFFSET(Grades!$A$1,MATCH(Rates!$B$4,LIST,0),2,1,SUMIF(Grades!$A:$A,Rates!$B$4,Grades!$B:$B)),0),"")</f>
        <v/>
      </c>
    </row>
    <row r="186" spans="1:31" ht="18.75" customHeight="1" x14ac:dyDescent="0.25">
      <c r="A186" s="15"/>
      <c r="B186" s="12"/>
      <c r="AE186" s="1" t="str">
        <f ca="1">IFERROR(MATCH(A186,OFFSET(Grades!$A$1,MATCH(Rates!$B$4,LIST,0),2,1,SUMIF(Grades!$A:$A,Rates!$B$4,Grades!$B:$B)),0),"")</f>
        <v/>
      </c>
    </row>
    <row r="187" spans="1:31" ht="18.75" customHeight="1" x14ac:dyDescent="0.25">
      <c r="A187" s="15"/>
      <c r="B187" s="12"/>
      <c r="AE187" s="1" t="str">
        <f ca="1">IFERROR(MATCH(A187,OFFSET(Grades!$A$1,MATCH(Rates!$B$4,LIST,0),2,1,SUMIF(Grades!$A:$A,Rates!$B$4,Grades!$B:$B)),0),"")</f>
        <v/>
      </c>
    </row>
    <row r="188" spans="1:31" ht="18.75" customHeight="1" x14ac:dyDescent="0.25">
      <c r="A188" s="15"/>
      <c r="B188" s="12"/>
      <c r="AE188" s="1" t="str">
        <f ca="1">IFERROR(MATCH(A188,OFFSET(Grades!$A$1,MATCH(Rates!$B$4,LIST,0),2,1,SUMIF(Grades!$A:$A,Rates!$B$4,Grades!$B:$B)),0),"")</f>
        <v/>
      </c>
    </row>
    <row r="189" spans="1:31" ht="18.75" customHeight="1" x14ac:dyDescent="0.25">
      <c r="A189" s="15"/>
      <c r="B189" s="12"/>
      <c r="AE189" s="1" t="str">
        <f ca="1">IFERROR(MATCH(A189,OFFSET(Grades!$A$1,MATCH(Rates!$B$4,LIST,0),2,1,SUMIF(Grades!$A:$A,Rates!$B$4,Grades!$B:$B)),0),"")</f>
        <v/>
      </c>
    </row>
    <row r="190" spans="1:31" ht="18.75" customHeight="1" x14ac:dyDescent="0.25">
      <c r="A190" s="15"/>
      <c r="B190" s="12"/>
      <c r="AE190" s="1" t="str">
        <f ca="1">IFERROR(MATCH(A190,OFFSET(Grades!$A$1,MATCH(Rates!$B$4,LIST,0),2,1,SUMIF(Grades!$A:$A,Rates!$B$4,Grades!$B:$B)),0),"")</f>
        <v/>
      </c>
    </row>
    <row r="191" spans="1:31" ht="18.75" customHeight="1" x14ac:dyDescent="0.25">
      <c r="A191" s="15"/>
      <c r="B191" s="12"/>
      <c r="AE191" s="1" t="str">
        <f ca="1">IFERROR(MATCH(A191,OFFSET(Grades!$A$1,MATCH(Rates!$B$4,LIST,0),2,1,SUMIF(Grades!$A:$A,Rates!$B$4,Grades!$B:$B)),0),"")</f>
        <v/>
      </c>
    </row>
    <row r="192" spans="1:31" ht="18.75" customHeight="1" x14ac:dyDescent="0.25">
      <c r="A192" s="15"/>
      <c r="B192" s="12"/>
      <c r="AE192" s="1" t="str">
        <f ca="1">IFERROR(MATCH(A192,OFFSET(Grades!$A$1,MATCH(Rates!$B$4,LIST,0),2,1,SUMIF(Grades!$A:$A,Rates!$B$4,Grades!$B:$B)),0),"")</f>
        <v/>
      </c>
    </row>
    <row r="193" spans="1:31" ht="18.75" customHeight="1" x14ac:dyDescent="0.25">
      <c r="A193" s="15"/>
      <c r="B193" s="12"/>
      <c r="AE193" s="1" t="str">
        <f ca="1">IFERROR(MATCH(A193,OFFSET(Grades!$A$1,MATCH(Rates!$B$4,LIST,0),2,1,SUMIF(Grades!$A:$A,Rates!$B$4,Grades!$B:$B)),0),"")</f>
        <v/>
      </c>
    </row>
    <row r="194" spans="1:31" ht="18.75" customHeight="1" x14ac:dyDescent="0.25">
      <c r="A194" s="15"/>
      <c r="B194" s="12"/>
      <c r="AE194" s="1" t="str">
        <f ca="1">IFERROR(MATCH(A194,OFFSET(Grades!$A$1,MATCH(Rates!$B$4,LIST,0),2,1,SUMIF(Grades!$A:$A,Rates!$B$4,Grades!$B:$B)),0),"")</f>
        <v/>
      </c>
    </row>
    <row r="195" spans="1:31" ht="18.75" customHeight="1" x14ac:dyDescent="0.25">
      <c r="A195" s="15"/>
      <c r="B195" s="12"/>
      <c r="AE195" s="1" t="str">
        <f ca="1">IFERROR(MATCH(A195,OFFSET(Grades!$A$1,MATCH(Rates!$B$4,LIST,0),2,1,SUMIF(Grades!$A:$A,Rates!$B$4,Grades!$B:$B)),0),"")</f>
        <v/>
      </c>
    </row>
    <row r="196" spans="1:31" ht="18.75" customHeight="1" x14ac:dyDescent="0.25">
      <c r="A196" s="15"/>
      <c r="B196" s="12"/>
      <c r="AE196" s="1" t="str">
        <f ca="1">IFERROR(MATCH(A196,OFFSET(Grades!$A$1,MATCH(Rates!$B$4,LIST,0),2,1,SUMIF(Grades!$A:$A,Rates!$B$4,Grades!$B:$B)),0),"")</f>
        <v/>
      </c>
    </row>
    <row r="197" spans="1:31" ht="18.75" customHeight="1" x14ac:dyDescent="0.25">
      <c r="A197" s="15"/>
      <c r="B197" s="12"/>
      <c r="AE197" s="1" t="str">
        <f ca="1">IFERROR(MATCH(A197,OFFSET(Grades!$A$1,MATCH(Rates!$B$4,LIST,0),2,1,SUMIF(Grades!$A:$A,Rates!$B$4,Grades!$B:$B)),0),"")</f>
        <v/>
      </c>
    </row>
    <row r="198" spans="1:31" ht="18.75" customHeight="1" x14ac:dyDescent="0.25">
      <c r="A198" s="15"/>
      <c r="B198" s="12"/>
      <c r="AE198" s="1" t="str">
        <f ca="1">IFERROR(MATCH(A198,OFFSET(Grades!$A$1,MATCH(Rates!$B$4,LIST,0),2,1,SUMIF(Grades!$A:$A,Rates!$B$4,Grades!$B:$B)),0),"")</f>
        <v/>
      </c>
    </row>
    <row r="199" spans="1:31" ht="18.75" customHeight="1" x14ac:dyDescent="0.25">
      <c r="A199" s="15"/>
      <c r="B199" s="12"/>
      <c r="AE199" s="1" t="str">
        <f ca="1">IFERROR(MATCH(A199,OFFSET(Grades!$A$1,MATCH(Rates!$B$4,LIST,0),2,1,SUMIF(Grades!$A:$A,Rates!$B$4,Grades!$B:$B)),0),"")</f>
        <v/>
      </c>
    </row>
    <row r="200" spans="1:31" ht="18.75" customHeight="1" x14ac:dyDescent="0.25">
      <c r="A200" s="15"/>
      <c r="B200" s="12"/>
      <c r="AE200" s="1" t="str">
        <f ca="1">IFERROR(MATCH(A200,OFFSET(Grades!$A$1,MATCH(Rates!$B$4,LIST,0),2,1,SUMIF(Grades!$A:$A,Rates!$B$4,Grades!$B:$B)),0),"")</f>
        <v/>
      </c>
    </row>
    <row r="201" spans="1:31" ht="18.75" customHeight="1" x14ac:dyDescent="0.25">
      <c r="A201" s="15"/>
      <c r="B201" s="12"/>
      <c r="AE201" s="1" t="str">
        <f ca="1">IFERROR(MATCH(A201,OFFSET(Grades!$A$1,MATCH(Rates!$B$4,LIST,0),2,1,SUMIF(Grades!$A:$A,Rates!$B$4,Grades!$B:$B)),0),"")</f>
        <v/>
      </c>
    </row>
    <row r="202" spans="1:31" ht="18.75" customHeight="1" x14ac:dyDescent="0.25">
      <c r="A202" s="15"/>
      <c r="B202" s="12"/>
      <c r="AE202" s="1" t="str">
        <f ca="1">IFERROR(MATCH(A202,OFFSET(Grades!$A$1,MATCH(Rates!$B$4,LIST,0),2,1,SUMIF(Grades!$A:$A,Rates!$B$4,Grades!$B:$B)),0),"")</f>
        <v/>
      </c>
    </row>
    <row r="203" spans="1:31" ht="18.75" customHeight="1" x14ac:dyDescent="0.25">
      <c r="A203" s="15"/>
      <c r="B203" s="12"/>
      <c r="AE203" s="1" t="str">
        <f ca="1">IFERROR(MATCH(A203,OFFSET(Grades!$A$1,MATCH(Rates!$B$4,LIST,0),2,1,SUMIF(Grades!$A:$A,Rates!$B$4,Grades!$B:$B)),0),"")</f>
        <v/>
      </c>
    </row>
    <row r="204" spans="1:31" ht="18.75" customHeight="1" x14ac:dyDescent="0.25">
      <c r="A204" s="15"/>
      <c r="B204" s="12"/>
      <c r="AE204" s="1" t="str">
        <f ca="1">IFERROR(MATCH(A204,OFFSET(Grades!$A$1,MATCH(Rates!$B$4,LIST,0),2,1,SUMIF(Grades!$A:$A,Rates!$B$4,Grades!$B:$B)),0),"")</f>
        <v/>
      </c>
    </row>
    <row r="205" spans="1:31" ht="18.75" customHeight="1" x14ac:dyDescent="0.25">
      <c r="A205" s="15"/>
      <c r="B205" s="12"/>
      <c r="AE205" s="1" t="str">
        <f ca="1">IFERROR(MATCH(A205,OFFSET(Grades!$A$1,MATCH(Rates!$B$4,LIST,0),2,1,SUMIF(Grades!$A:$A,Rates!$B$4,Grades!$B:$B)),0),"")</f>
        <v/>
      </c>
    </row>
    <row r="206" spans="1:31" ht="18.75" customHeight="1" x14ac:dyDescent="0.25">
      <c r="A206" s="15"/>
      <c r="B206" s="12"/>
      <c r="AE206" s="1" t="str">
        <f ca="1">IFERROR(MATCH(A206,OFFSET(Grades!$A$1,MATCH(Rates!$B$4,LIST,0),2,1,SUMIF(Grades!$A:$A,Rates!$B$4,Grades!$B:$B)),0),"")</f>
        <v/>
      </c>
    </row>
    <row r="207" spans="1:31" ht="18.75" customHeight="1" x14ac:dyDescent="0.25">
      <c r="A207" s="15"/>
      <c r="B207" s="12"/>
      <c r="AE207" s="1" t="str">
        <f ca="1">IFERROR(MATCH(A207,OFFSET(Grades!$A$1,MATCH(Rates!$B$4,LIST,0),2,1,SUMIF(Grades!$A:$A,Rates!$B$4,Grades!$B:$B)),0),"")</f>
        <v/>
      </c>
    </row>
    <row r="208" spans="1:31" ht="18.75" customHeight="1" x14ac:dyDescent="0.25">
      <c r="A208" s="15"/>
      <c r="B208" s="12"/>
      <c r="AE208" s="1" t="str">
        <f ca="1">IFERROR(MATCH(A208,OFFSET(Grades!$A$1,MATCH(Rates!$B$4,LIST,0),2,1,SUMIF(Grades!$A:$A,Rates!$B$4,Grades!$B:$B)),0),"")</f>
        <v/>
      </c>
    </row>
    <row r="209" spans="1:31" ht="18.75" customHeight="1" x14ac:dyDescent="0.25">
      <c r="A209" s="15"/>
      <c r="B209" s="12"/>
      <c r="AE209" s="1" t="str">
        <f ca="1">IFERROR(MATCH(A209,OFFSET(Grades!$A$1,MATCH(Rates!$B$4,LIST,0),2,1,SUMIF(Grades!$A:$A,Rates!$B$4,Grades!$B:$B)),0),"")</f>
        <v/>
      </c>
    </row>
    <row r="210" spans="1:31" ht="18.75" customHeight="1" x14ac:dyDescent="0.25">
      <c r="A210" s="15"/>
      <c r="B210" s="12"/>
      <c r="AE210" s="1" t="str">
        <f ca="1">IFERROR(MATCH(A210,OFFSET(Grades!$A$1,MATCH(Rates!$B$4,LIST,0),2,1,SUMIF(Grades!$A:$A,Rates!$B$4,Grades!$B:$B)),0),"")</f>
        <v/>
      </c>
    </row>
    <row r="211" spans="1:31" ht="18.75" customHeight="1" x14ac:dyDescent="0.25">
      <c r="A211" s="15"/>
      <c r="B211" s="12"/>
      <c r="AE211" s="1" t="str">
        <f ca="1">IFERROR(MATCH(A211,OFFSET(Grades!$A$1,MATCH(Rates!$B$4,LIST,0),2,1,SUMIF(Grades!$A:$A,Rates!$B$4,Grades!$B:$B)),0),"")</f>
        <v/>
      </c>
    </row>
    <row r="212" spans="1:31" ht="18.75" customHeight="1" x14ac:dyDescent="0.25">
      <c r="A212" s="15"/>
      <c r="B212" s="12"/>
      <c r="AE212" s="1" t="str">
        <f ca="1">IFERROR(MATCH(A212,OFFSET(Grades!$A$1,MATCH(Rates!$B$4,LIST,0),2,1,SUMIF(Grades!$A:$A,Rates!$B$4,Grades!$B:$B)),0),"")</f>
        <v/>
      </c>
    </row>
    <row r="213" spans="1:31" ht="18.75" customHeight="1" x14ac:dyDescent="0.25">
      <c r="A213" s="15"/>
      <c r="B213" s="12"/>
      <c r="AE213" s="1" t="str">
        <f ca="1">IFERROR(MATCH(A213,OFFSET(Grades!$A$1,MATCH(Rates!$B$4,LIST,0),2,1,SUMIF(Grades!$A:$A,Rates!$B$4,Grades!$B:$B)),0),"")</f>
        <v/>
      </c>
    </row>
    <row r="214" spans="1:31" ht="18.75" customHeight="1" x14ac:dyDescent="0.25">
      <c r="A214" s="15"/>
      <c r="B214" s="12"/>
      <c r="AE214" s="1" t="str">
        <f ca="1">IFERROR(MATCH(A214,OFFSET(Grades!$A$1,MATCH(Rates!$B$4,LIST,0),2,1,SUMIF(Grades!$A:$A,Rates!$B$4,Grades!$B:$B)),0),"")</f>
        <v/>
      </c>
    </row>
    <row r="215" spans="1:31" ht="18.75" customHeight="1" x14ac:dyDescent="0.25">
      <c r="A215" s="15"/>
      <c r="B215" s="12"/>
      <c r="AE215" s="1" t="str">
        <f ca="1">IFERROR(MATCH(A215,OFFSET(Grades!$A$1,MATCH(Rates!$B$4,LIST,0),2,1,SUMIF(Grades!$A:$A,Rates!$B$4,Grades!$B:$B)),0),"")</f>
        <v/>
      </c>
    </row>
    <row r="216" spans="1:31" ht="18.75" customHeight="1" x14ac:dyDescent="0.25">
      <c r="A216" s="15"/>
      <c r="B216" s="12"/>
      <c r="AE216" s="1" t="str">
        <f ca="1">IFERROR(MATCH(A216,OFFSET(Grades!$A$1,MATCH(Rates!$B$4,LIST,0),2,1,SUMIF(Grades!$A:$A,Rates!$B$4,Grades!$B:$B)),0),"")</f>
        <v/>
      </c>
    </row>
    <row r="217" spans="1:31" ht="18.75" customHeight="1" x14ac:dyDescent="0.25">
      <c r="A217" s="15"/>
      <c r="B217" s="12"/>
      <c r="AE217" s="1" t="str">
        <f ca="1">IFERROR(MATCH(A217,OFFSET(Grades!$A$1,MATCH(Rates!$B$4,LIST,0),2,1,SUMIF(Grades!$A:$A,Rates!$B$4,Grades!$B:$B)),0),"")</f>
        <v/>
      </c>
    </row>
    <row r="218" spans="1:31" ht="18.75" customHeight="1" x14ac:dyDescent="0.25">
      <c r="A218" s="15"/>
      <c r="B218" s="12"/>
      <c r="AE218" s="1" t="str">
        <f ca="1">IFERROR(MATCH(A218,OFFSET(Grades!$A$1,MATCH(Rates!$B$4,LIST,0),2,1,SUMIF(Grades!$A:$A,Rates!$B$4,Grades!$B:$B)),0),"")</f>
        <v/>
      </c>
    </row>
    <row r="219" spans="1:31" ht="18.75" customHeight="1" x14ac:dyDescent="0.25">
      <c r="A219" s="15"/>
      <c r="B219" s="12"/>
      <c r="AE219" s="1" t="str">
        <f ca="1">IFERROR(MATCH(A219,OFFSET(Grades!$A$1,MATCH(Rates!$B$4,LIST,0),2,1,SUMIF(Grades!$A:$A,Rates!$B$4,Grades!$B:$B)),0),"")</f>
        <v/>
      </c>
    </row>
    <row r="220" spans="1:31" ht="18.75" customHeight="1" x14ac:dyDescent="0.25">
      <c r="A220" s="15"/>
      <c r="B220" s="12"/>
      <c r="AE220" s="1" t="str">
        <f ca="1">IFERROR(MATCH(A220,OFFSET(Grades!$A$1,MATCH(Rates!$B$4,LIST,0),2,1,SUMIF(Grades!$A:$A,Rates!$B$4,Grades!$B:$B)),0),"")</f>
        <v/>
      </c>
    </row>
    <row r="221" spans="1:31" ht="18.75" customHeight="1" x14ac:dyDescent="0.25">
      <c r="A221" s="15"/>
      <c r="B221" s="12"/>
      <c r="AE221" s="1" t="str">
        <f ca="1">IFERROR(MATCH(A221,OFFSET(Grades!$A$1,MATCH(Rates!$B$4,LIST,0),2,1,SUMIF(Grades!$A:$A,Rates!$B$4,Grades!$B:$B)),0),"")</f>
        <v/>
      </c>
    </row>
    <row r="222" spans="1:31" ht="18.75" customHeight="1" x14ac:dyDescent="0.25">
      <c r="A222" s="15"/>
      <c r="B222" s="12"/>
      <c r="AE222" s="1" t="str">
        <f ca="1">IFERROR(MATCH(A222,OFFSET(Grades!$A$1,MATCH(Rates!$B$4,LIST,0),2,1,SUMIF(Grades!$A:$A,Rates!$B$4,Grades!$B:$B)),0),"")</f>
        <v/>
      </c>
    </row>
    <row r="223" spans="1:31" ht="18.75" customHeight="1" x14ac:dyDescent="0.25">
      <c r="A223" s="15"/>
      <c r="B223" s="12"/>
      <c r="AE223" s="1" t="str">
        <f ca="1">IFERROR(MATCH(A223,OFFSET(Grades!$A$1,MATCH(Rates!$B$4,LIST,0),2,1,SUMIF(Grades!$A:$A,Rates!$B$4,Grades!$B:$B)),0),"")</f>
        <v/>
      </c>
    </row>
    <row r="224" spans="1:31" ht="18.75" customHeight="1" x14ac:dyDescent="0.25">
      <c r="A224" s="15"/>
      <c r="B224" s="12"/>
      <c r="AE224" s="1" t="str">
        <f ca="1">IFERROR(MATCH(A224,OFFSET(Grades!$A$1,MATCH(Rates!$B$4,LIST,0),2,1,SUMIF(Grades!$A:$A,Rates!$B$4,Grades!$B:$B)),0),"")</f>
        <v/>
      </c>
    </row>
    <row r="225" spans="1:31" ht="18.75" customHeight="1" x14ac:dyDescent="0.25">
      <c r="A225" s="15"/>
      <c r="B225" s="12"/>
      <c r="AE225" s="1" t="str">
        <f ca="1">IFERROR(MATCH(A225,OFFSET(Grades!$A$1,MATCH(Rates!$B$4,LIST,0),2,1,SUMIF(Grades!$A:$A,Rates!$B$4,Grades!$B:$B)),0),"")</f>
        <v/>
      </c>
    </row>
    <row r="226" spans="1:31" ht="18.75" customHeight="1" x14ac:dyDescent="0.25">
      <c r="A226" s="15"/>
      <c r="B226" s="12"/>
      <c r="AE226" s="1" t="str">
        <f ca="1">IFERROR(MATCH(A226,OFFSET(Grades!$A$1,MATCH(Rates!$B$4,LIST,0),2,1,SUMIF(Grades!$A:$A,Rates!$B$4,Grades!$B:$B)),0),"")</f>
        <v/>
      </c>
    </row>
    <row r="227" spans="1:31" ht="18.75" customHeight="1" x14ac:dyDescent="0.25">
      <c r="A227" s="15"/>
      <c r="B227" s="12"/>
      <c r="AE227" s="1" t="str">
        <f ca="1">IFERROR(MATCH(A227,OFFSET(Grades!$A$1,MATCH(Rates!$B$4,LIST,0),2,1,SUMIF(Grades!$A:$A,Rates!$B$4,Grades!$B:$B)),0),"")</f>
        <v/>
      </c>
    </row>
    <row r="228" spans="1:31" ht="18.75" customHeight="1" x14ac:dyDescent="0.25">
      <c r="A228" s="15"/>
      <c r="B228" s="12"/>
      <c r="AE228" s="1" t="str">
        <f ca="1">IFERROR(MATCH(A228,OFFSET(Grades!$A$1,MATCH(Rates!$B$4,LIST,0),2,1,SUMIF(Grades!$A:$A,Rates!$B$4,Grades!$B:$B)),0),"")</f>
        <v/>
      </c>
    </row>
    <row r="229" spans="1:31" ht="18.75" customHeight="1" x14ac:dyDescent="0.25">
      <c r="A229" s="15"/>
      <c r="B229" s="12"/>
      <c r="AE229" s="1" t="str">
        <f ca="1">IFERROR(MATCH(A229,OFFSET(Grades!$A$1,MATCH(Rates!$B$4,LIST,0),2,1,SUMIF(Grades!$A:$A,Rates!$B$4,Grades!$B:$B)),0),"")</f>
        <v/>
      </c>
    </row>
    <row r="230" spans="1:31" ht="18.75" customHeight="1" x14ac:dyDescent="0.25">
      <c r="A230" s="15"/>
      <c r="B230" s="12"/>
      <c r="AE230" s="1" t="str">
        <f ca="1">IFERROR(MATCH(A230,OFFSET(Grades!$A$1,MATCH(Rates!$B$4,LIST,0),2,1,SUMIF(Grades!$A:$A,Rates!$B$4,Grades!$B:$B)),0),"")</f>
        <v/>
      </c>
    </row>
    <row r="231" spans="1:31" ht="18.75" customHeight="1" x14ac:dyDescent="0.25">
      <c r="A231" s="15"/>
      <c r="B231" s="12"/>
      <c r="AE231" s="1" t="str">
        <f ca="1">IFERROR(MATCH(A231,OFFSET(Grades!$A$1,MATCH(Rates!$B$4,LIST,0),2,1,SUMIF(Grades!$A:$A,Rates!$B$4,Grades!$B:$B)),0),"")</f>
        <v/>
      </c>
    </row>
    <row r="232" spans="1:31" ht="18.75" customHeight="1" x14ac:dyDescent="0.25">
      <c r="A232" s="15"/>
      <c r="B232" s="12"/>
      <c r="AE232" s="1" t="str">
        <f ca="1">IFERROR(MATCH(A232,OFFSET(Grades!$A$1,MATCH(Rates!$B$4,LIST,0),2,1,SUMIF(Grades!$A:$A,Rates!$B$4,Grades!$B:$B)),0),"")</f>
        <v/>
      </c>
    </row>
    <row r="233" spans="1:31" ht="18.75" customHeight="1" x14ac:dyDescent="0.25">
      <c r="A233" s="15"/>
      <c r="B233" s="12"/>
      <c r="AE233" s="1" t="str">
        <f ca="1">IFERROR(MATCH(A233,OFFSET(Grades!$A$1,MATCH(Rates!$B$4,LIST,0),2,1,SUMIF(Grades!$A:$A,Rates!$B$4,Grades!$B:$B)),0),"")</f>
        <v/>
      </c>
    </row>
    <row r="234" spans="1:31" ht="18.75" customHeight="1" x14ac:dyDescent="0.25">
      <c r="A234" s="15"/>
      <c r="B234" s="12"/>
      <c r="AE234" s="1" t="str">
        <f ca="1">IFERROR(MATCH(A234,OFFSET(Grades!$A$1,MATCH(Rates!$B$4,LIST,0),2,1,SUMIF(Grades!$A:$A,Rates!$B$4,Grades!$B:$B)),0),"")</f>
        <v/>
      </c>
    </row>
    <row r="235" spans="1:31" ht="18.75" customHeight="1" x14ac:dyDescent="0.25">
      <c r="A235" s="15"/>
      <c r="B235" s="12"/>
      <c r="AE235" s="1" t="str">
        <f ca="1">IFERROR(MATCH(A235,OFFSET(Grades!$A$1,MATCH(Rates!$B$4,LIST,0),2,1,SUMIF(Grades!$A:$A,Rates!$B$4,Grades!$B:$B)),0),"")</f>
        <v/>
      </c>
    </row>
    <row r="236" spans="1:31" ht="18.75" customHeight="1" x14ac:dyDescent="0.25">
      <c r="A236" s="15"/>
      <c r="B236" s="12"/>
      <c r="AE236" s="1" t="str">
        <f ca="1">IFERROR(MATCH(A236,OFFSET(Grades!$A$1,MATCH(Rates!$B$4,LIST,0),2,1,SUMIF(Grades!$A:$A,Rates!$B$4,Grades!$B:$B)),0),"")</f>
        <v/>
      </c>
    </row>
    <row r="237" spans="1:31" ht="18.75" customHeight="1" x14ac:dyDescent="0.25">
      <c r="A237" s="15"/>
      <c r="B237" s="12"/>
      <c r="AE237" s="1" t="str">
        <f ca="1">IFERROR(MATCH(A237,OFFSET(Grades!$A$1,MATCH(Rates!$B$4,LIST,0),2,1,SUMIF(Grades!$A:$A,Rates!$B$4,Grades!$B:$B)),0),"")</f>
        <v/>
      </c>
    </row>
    <row r="238" spans="1:31" ht="18.75" customHeight="1" x14ac:dyDescent="0.25">
      <c r="A238" s="15"/>
      <c r="B238" s="12"/>
      <c r="AE238" s="1" t="str">
        <f ca="1">IFERROR(MATCH(A238,OFFSET(Grades!$A$1,MATCH(Rates!$B$4,LIST,0),2,1,SUMIF(Grades!$A:$A,Rates!$B$4,Grades!$B:$B)),0),"")</f>
        <v/>
      </c>
    </row>
    <row r="239" spans="1:31" ht="18.75" customHeight="1" x14ac:dyDescent="0.25">
      <c r="A239" s="15"/>
      <c r="B239" s="12"/>
      <c r="AE239" s="1" t="str">
        <f ca="1">IFERROR(MATCH(A239,OFFSET(Grades!$A$1,MATCH(Rates!$B$4,LIST,0),2,1,SUMIF(Grades!$A:$A,Rates!$B$4,Grades!$B:$B)),0),"")</f>
        <v/>
      </c>
    </row>
    <row r="240" spans="1:31" ht="18.75" customHeight="1" x14ac:dyDescent="0.25">
      <c r="A240" s="15"/>
      <c r="B240" s="12"/>
      <c r="AE240" s="1" t="str">
        <f ca="1">IFERROR(MATCH(A240,OFFSET(Grades!$A$1,MATCH(Rates!$B$4,LIST,0),2,1,SUMIF(Grades!$A:$A,Rates!$B$4,Grades!$B:$B)),0),"")</f>
        <v/>
      </c>
    </row>
    <row r="241" spans="1:31" ht="18.75" customHeight="1" x14ac:dyDescent="0.25">
      <c r="A241" s="15"/>
      <c r="B241" s="12"/>
      <c r="AE241" s="1" t="str">
        <f ca="1">IFERROR(MATCH(A241,OFFSET(Grades!$A$1,MATCH(Rates!$B$4,LIST,0),2,1,SUMIF(Grades!$A:$A,Rates!$B$4,Grades!$B:$B)),0),"")</f>
        <v/>
      </c>
    </row>
    <row r="242" spans="1:31" ht="18.75" customHeight="1" x14ac:dyDescent="0.25">
      <c r="A242" s="15"/>
      <c r="B242" s="12"/>
      <c r="AE242" s="1" t="str">
        <f ca="1">IFERROR(MATCH(A242,OFFSET(Grades!$A$1,MATCH(Rates!$B$4,LIST,0),2,1,SUMIF(Grades!$A:$A,Rates!$B$4,Grades!$B:$B)),0),"")</f>
        <v/>
      </c>
    </row>
    <row r="243" spans="1:31" ht="18.75" customHeight="1" x14ac:dyDescent="0.25">
      <c r="A243" s="15"/>
      <c r="B243" s="12"/>
      <c r="AE243" s="1" t="str">
        <f ca="1">IFERROR(MATCH(A243,OFFSET(Grades!$A$1,MATCH(Rates!$B$4,LIST,0),2,1,SUMIF(Grades!$A:$A,Rates!$B$4,Grades!$B:$B)),0),"")</f>
        <v/>
      </c>
    </row>
    <row r="244" spans="1:31" ht="18.75" customHeight="1" x14ac:dyDescent="0.25">
      <c r="A244" s="15"/>
      <c r="B244" s="12"/>
      <c r="AE244" s="1" t="str">
        <f ca="1">IFERROR(MATCH(A244,OFFSET(Grades!$A$1,MATCH(Rates!$B$4,LIST,0),2,1,SUMIF(Grades!$A:$A,Rates!$B$4,Grades!$B:$B)),0),"")</f>
        <v/>
      </c>
    </row>
    <row r="245" spans="1:31" ht="18.75" customHeight="1" x14ac:dyDescent="0.25">
      <c r="A245" s="15"/>
      <c r="B245" s="12"/>
      <c r="AE245" s="1" t="str">
        <f ca="1">IFERROR(MATCH(A245,OFFSET(Grades!$A$1,MATCH(Rates!$B$4,LIST,0),2,1,SUMIF(Grades!$A:$A,Rates!$B$4,Grades!$B:$B)),0),"")</f>
        <v/>
      </c>
    </row>
    <row r="246" spans="1:31" ht="18.75" customHeight="1" x14ac:dyDescent="0.25">
      <c r="A246" s="15"/>
      <c r="B246" s="12"/>
      <c r="AE246" s="1" t="str">
        <f ca="1">IFERROR(MATCH(A246,OFFSET(Grades!$A$1,MATCH(Rates!$B$4,LIST,0),2,1,SUMIF(Grades!$A:$A,Rates!$B$4,Grades!$B:$B)),0),"")</f>
        <v/>
      </c>
    </row>
    <row r="247" spans="1:31" ht="18.75" customHeight="1" x14ac:dyDescent="0.25">
      <c r="A247" s="15"/>
      <c r="B247" s="12"/>
      <c r="AE247" s="1" t="str">
        <f ca="1">IFERROR(MATCH(A247,OFFSET(Grades!$A$1,MATCH(Rates!$B$4,LIST,0),2,1,SUMIF(Grades!$A:$A,Rates!$B$4,Grades!$B:$B)),0),"")</f>
        <v/>
      </c>
    </row>
    <row r="248" spans="1:31" ht="18.75" customHeight="1" x14ac:dyDescent="0.25">
      <c r="A248" s="15"/>
      <c r="B248" s="12"/>
      <c r="AE248" s="1" t="str">
        <f ca="1">IFERROR(MATCH(A248,OFFSET(Grades!$A$1,MATCH(Rates!$B$4,LIST,0),2,1,SUMIF(Grades!$A:$A,Rates!$B$4,Grades!$B:$B)),0),"")</f>
        <v/>
      </c>
    </row>
    <row r="249" spans="1:31" ht="18.75" customHeight="1" x14ac:dyDescent="0.25">
      <c r="A249" s="15"/>
      <c r="B249" s="12"/>
      <c r="AE249" s="1" t="str">
        <f ca="1">IFERROR(MATCH(A249,OFFSET(Grades!$A$1,MATCH(Rates!$B$4,LIST,0),2,1,SUMIF(Grades!$A:$A,Rates!$B$4,Grades!$B:$B)),0),"")</f>
        <v/>
      </c>
    </row>
    <row r="250" spans="1:31" ht="18.75" customHeight="1" x14ac:dyDescent="0.25">
      <c r="A250" s="15"/>
      <c r="B250" s="12"/>
      <c r="AE250" s="1" t="str">
        <f ca="1">IFERROR(MATCH(A250,OFFSET(Grades!$A$1,MATCH(Rates!$B$4,LIST,0),2,1,SUMIF(Grades!$A:$A,Rates!$B$4,Grades!$B:$B)),0),"")</f>
        <v/>
      </c>
    </row>
    <row r="251" spans="1:31" ht="18.75" customHeight="1" x14ac:dyDescent="0.25">
      <c r="A251" s="15"/>
      <c r="B251" s="12"/>
      <c r="AE251" s="1" t="str">
        <f ca="1">IFERROR(MATCH(A251,OFFSET(Grades!$A$1,MATCH(Rates!$B$4,LIST,0),2,1,SUMIF(Grades!$A:$A,Rates!$B$4,Grades!$B:$B)),0),"")</f>
        <v/>
      </c>
    </row>
    <row r="252" spans="1:31" ht="18.75" customHeight="1" x14ac:dyDescent="0.25">
      <c r="A252" s="15"/>
      <c r="B252" s="12"/>
      <c r="AE252" s="1" t="str">
        <f ca="1">IFERROR(MATCH(A252,OFFSET(Grades!$A$1,MATCH(Rates!$B$4,LIST,0),2,1,SUMIF(Grades!$A:$A,Rates!$B$4,Grades!$B:$B)),0),"")</f>
        <v/>
      </c>
    </row>
    <row r="253" spans="1:31" ht="18.75" customHeight="1" x14ac:dyDescent="0.25">
      <c r="A253" s="15"/>
      <c r="B253" s="12"/>
      <c r="AE253" s="1" t="str">
        <f ca="1">IFERROR(MATCH(A253,OFFSET(Grades!$A$1,MATCH(Rates!$B$4,LIST,0),2,1,SUMIF(Grades!$A:$A,Rates!$B$4,Grades!$B:$B)),0),"")</f>
        <v/>
      </c>
    </row>
    <row r="254" spans="1:31" ht="18.75" customHeight="1" x14ac:dyDescent="0.25">
      <c r="A254" s="15"/>
      <c r="B254" s="12"/>
      <c r="AE254" s="1" t="str">
        <f ca="1">IFERROR(MATCH(A254,OFFSET(Grades!$A$1,MATCH(Rates!$B$4,LIST,0),2,1,SUMIF(Grades!$A:$A,Rates!$B$4,Grades!$B:$B)),0),"")</f>
        <v/>
      </c>
    </row>
    <row r="255" spans="1:31" ht="18.75" customHeight="1" x14ac:dyDescent="0.25">
      <c r="A255" s="15"/>
      <c r="B255" s="12"/>
      <c r="AE255" s="1" t="str">
        <f ca="1">IFERROR(MATCH(A255,OFFSET(Grades!$A$1,MATCH(Rates!$B$4,LIST,0),2,1,SUMIF(Grades!$A:$A,Rates!$B$4,Grades!$B:$B)),0),"")</f>
        <v/>
      </c>
    </row>
    <row r="256" spans="1:31" ht="18.75" customHeight="1" x14ac:dyDescent="0.25">
      <c r="A256" s="15"/>
      <c r="B256" s="12"/>
      <c r="AE256" s="1" t="str">
        <f ca="1">IFERROR(MATCH(A256,OFFSET(Grades!$A$1,MATCH(Rates!$B$4,LIST,0),2,1,SUMIF(Grades!$A:$A,Rates!$B$4,Grades!$B:$B)),0),"")</f>
        <v/>
      </c>
    </row>
    <row r="257" spans="1:31" ht="18.75" customHeight="1" x14ac:dyDescent="0.25">
      <c r="A257" s="15"/>
      <c r="B257" s="12"/>
      <c r="AE257" s="1" t="str">
        <f ca="1">IFERROR(MATCH(A257,OFFSET(Grades!$A$1,MATCH(Rates!$B$4,LIST,0),2,1,SUMIF(Grades!$A:$A,Rates!$B$4,Grades!$B:$B)),0),"")</f>
        <v/>
      </c>
    </row>
    <row r="258" spans="1:31" ht="18.75" customHeight="1" x14ac:dyDescent="0.25">
      <c r="A258" s="15"/>
      <c r="B258" s="12"/>
      <c r="AE258" s="1" t="str">
        <f ca="1">IFERROR(MATCH(A258,OFFSET(Grades!$A$1,MATCH(Rates!$B$4,LIST,0),2,1,SUMIF(Grades!$A:$A,Rates!$B$4,Grades!$B:$B)),0),"")</f>
        <v/>
      </c>
    </row>
    <row r="259" spans="1:31" ht="18.75" customHeight="1" x14ac:dyDescent="0.25">
      <c r="A259" s="15"/>
      <c r="B259" s="12"/>
      <c r="AE259" s="1" t="str">
        <f ca="1">IFERROR(MATCH(A259,OFFSET(Grades!$A$1,MATCH(Rates!$B$4,LIST,0),2,1,SUMIF(Grades!$A:$A,Rates!$B$4,Grades!$B:$B)),0),"")</f>
        <v/>
      </c>
    </row>
    <row r="260" spans="1:31" ht="18.75" customHeight="1" x14ac:dyDescent="0.25">
      <c r="A260" s="15"/>
      <c r="B260" s="12"/>
      <c r="AE260" s="1" t="str">
        <f ca="1">IFERROR(MATCH(A260,OFFSET(Grades!$A$1,MATCH(Rates!$B$4,LIST,0),2,1,SUMIF(Grades!$A:$A,Rates!$B$4,Grades!$B:$B)),0),"")</f>
        <v/>
      </c>
    </row>
    <row r="261" spans="1:31" ht="18.75" customHeight="1" x14ac:dyDescent="0.25">
      <c r="A261" s="15"/>
      <c r="B261" s="12"/>
      <c r="AE261" s="1" t="str">
        <f ca="1">IFERROR(MATCH(A261,OFFSET(Grades!$A$1,MATCH(Rates!$B$4,LIST,0),2,1,SUMIF(Grades!$A:$A,Rates!$B$4,Grades!$B:$B)),0),"")</f>
        <v/>
      </c>
    </row>
    <row r="262" spans="1:31" ht="18.75" customHeight="1" x14ac:dyDescent="0.25">
      <c r="A262" s="15"/>
      <c r="B262" s="12"/>
      <c r="AE262" s="1" t="str">
        <f ca="1">IFERROR(MATCH(A262,OFFSET(Grades!$A$1,MATCH(Rates!$B$4,LIST,0),2,1,SUMIF(Grades!$A:$A,Rates!$B$4,Grades!$B:$B)),0),"")</f>
        <v/>
      </c>
    </row>
    <row r="263" spans="1:31" ht="18.75" customHeight="1" x14ac:dyDescent="0.25">
      <c r="A263" s="15"/>
      <c r="B263" s="12"/>
      <c r="AE263" s="1" t="str">
        <f ca="1">IFERROR(MATCH(A263,OFFSET(Grades!$A$1,MATCH(Rates!$B$4,LIST,0),2,1,SUMIF(Grades!$A:$A,Rates!$B$4,Grades!$B:$B)),0),"")</f>
        <v/>
      </c>
    </row>
    <row r="264" spans="1:31" ht="18.75" customHeight="1" x14ac:dyDescent="0.25">
      <c r="A264" s="15"/>
      <c r="B264" s="12"/>
      <c r="AE264" s="1" t="str">
        <f ca="1">IFERROR(MATCH(A264,OFFSET(Grades!$A$1,MATCH(Rates!$B$4,LIST,0),2,1,SUMIF(Grades!$A:$A,Rates!$B$4,Grades!$B:$B)),0),"")</f>
        <v/>
      </c>
    </row>
    <row r="265" spans="1:31" ht="18.75" customHeight="1" x14ac:dyDescent="0.25">
      <c r="A265" s="15"/>
      <c r="B265" s="12"/>
      <c r="AE265" s="1" t="str">
        <f ca="1">IFERROR(MATCH(A265,OFFSET(Grades!$A$1,MATCH(Rates!$B$4,LIST,0),2,1,SUMIF(Grades!$A:$A,Rates!$B$4,Grades!$B:$B)),0),"")</f>
        <v/>
      </c>
    </row>
    <row r="266" spans="1:31" ht="18.75" customHeight="1" x14ac:dyDescent="0.25">
      <c r="A266" s="15"/>
      <c r="B266" s="12"/>
      <c r="AE266" s="1" t="str">
        <f ca="1">IFERROR(MATCH(A266,OFFSET(Grades!$A$1,MATCH(Rates!$B$4,LIST,0),2,1,SUMIF(Grades!$A:$A,Rates!$B$4,Grades!$B:$B)),0),"")</f>
        <v/>
      </c>
    </row>
    <row r="267" spans="1:31" ht="18.75" customHeight="1" x14ac:dyDescent="0.25">
      <c r="A267" s="15"/>
      <c r="B267" s="12"/>
      <c r="AE267" s="1" t="str">
        <f ca="1">IFERROR(MATCH(A267,OFFSET(Grades!$A$1,MATCH(Rates!$B$4,LIST,0),2,1,SUMIF(Grades!$A:$A,Rates!$B$4,Grades!$B:$B)),0),"")</f>
        <v/>
      </c>
    </row>
    <row r="268" spans="1:31" ht="18.75" customHeight="1" x14ac:dyDescent="0.25">
      <c r="A268" s="15"/>
      <c r="B268" s="12"/>
      <c r="AE268" s="1" t="str">
        <f ca="1">IFERROR(MATCH(A268,OFFSET(Grades!$A$1,MATCH(Rates!$B$4,LIST,0),2,1,SUMIF(Grades!$A:$A,Rates!$B$4,Grades!$B:$B)),0),"")</f>
        <v/>
      </c>
    </row>
    <row r="269" spans="1:31" ht="18.75" customHeight="1" x14ac:dyDescent="0.25">
      <c r="A269" s="15"/>
      <c r="B269" s="12"/>
      <c r="AE269" s="1" t="str">
        <f ca="1">IFERROR(MATCH(A269,OFFSET(Grades!$A$1,MATCH(Rates!$B$4,LIST,0),2,1,SUMIF(Grades!$A:$A,Rates!$B$4,Grades!$B:$B)),0),"")</f>
        <v/>
      </c>
    </row>
    <row r="270" spans="1:31" ht="18.75" customHeight="1" x14ac:dyDescent="0.25">
      <c r="A270" s="15"/>
      <c r="B270" s="12"/>
      <c r="AE270" s="1" t="str">
        <f ca="1">IFERROR(MATCH(A270,OFFSET(Grades!$A$1,MATCH(Rates!$B$4,LIST,0),2,1,SUMIF(Grades!$A:$A,Rates!$B$4,Grades!$B:$B)),0),"")</f>
        <v/>
      </c>
    </row>
    <row r="271" spans="1:31" ht="18.75" customHeight="1" x14ac:dyDescent="0.25">
      <c r="A271" s="15"/>
      <c r="B271" s="12"/>
      <c r="AE271" s="1" t="str">
        <f ca="1">IFERROR(MATCH(A271,OFFSET(Grades!$A$1,MATCH(Rates!$B$4,LIST,0),2,1,SUMIF(Grades!$A:$A,Rates!$B$4,Grades!$B:$B)),0),"")</f>
        <v/>
      </c>
    </row>
    <row r="272" spans="1:31" ht="18.75" customHeight="1" x14ac:dyDescent="0.25">
      <c r="A272" s="15"/>
      <c r="B272" s="12"/>
      <c r="AE272" s="1" t="str">
        <f ca="1">IFERROR(MATCH(A272,OFFSET(Grades!$A$1,MATCH(Rates!$B$4,LIST,0),2,1,SUMIF(Grades!$A:$A,Rates!$B$4,Grades!$B:$B)),0),"")</f>
        <v/>
      </c>
    </row>
    <row r="273" spans="1:31" ht="18.75" customHeight="1" x14ac:dyDescent="0.25">
      <c r="A273" s="15"/>
      <c r="B273" s="12"/>
      <c r="AE273" s="1" t="str">
        <f ca="1">IFERROR(MATCH(A273,OFFSET(Grades!$A$1,MATCH(Rates!$B$4,LIST,0),2,1,SUMIF(Grades!$A:$A,Rates!$B$4,Grades!$B:$B)),0),"")</f>
        <v/>
      </c>
    </row>
    <row r="274" spans="1:31" ht="18.75" customHeight="1" x14ac:dyDescent="0.25">
      <c r="A274" s="15"/>
      <c r="B274" s="12"/>
      <c r="AE274" s="1" t="str">
        <f ca="1">IFERROR(MATCH(A274,OFFSET(Grades!$A$1,MATCH(Rates!$B$4,LIST,0),2,1,SUMIF(Grades!$A:$A,Rates!$B$4,Grades!$B:$B)),0),"")</f>
        <v/>
      </c>
    </row>
    <row r="275" spans="1:31" ht="18.75" customHeight="1" x14ac:dyDescent="0.25">
      <c r="A275" s="15"/>
      <c r="B275" s="12"/>
      <c r="AE275" s="1" t="str">
        <f ca="1">IFERROR(MATCH(A275,OFFSET(Grades!$A$1,MATCH(Rates!$B$4,LIST,0),2,1,SUMIF(Grades!$A:$A,Rates!$B$4,Grades!$B:$B)),0),"")</f>
        <v/>
      </c>
    </row>
    <row r="276" spans="1:31" ht="18.75" customHeight="1" x14ac:dyDescent="0.25">
      <c r="A276" s="15"/>
      <c r="B276" s="12"/>
      <c r="AE276" s="1" t="str">
        <f ca="1">IFERROR(MATCH(A276,OFFSET(Grades!$A$1,MATCH(Rates!$B$4,LIST,0),2,1,SUMIF(Grades!$A:$A,Rates!$B$4,Grades!$B:$B)),0),"")</f>
        <v/>
      </c>
    </row>
    <row r="277" spans="1:31" ht="18.75" customHeight="1" x14ac:dyDescent="0.25">
      <c r="A277" s="15"/>
      <c r="B277" s="12"/>
      <c r="AE277" s="1" t="str">
        <f ca="1">IFERROR(MATCH(A277,OFFSET(Grades!$A$1,MATCH(Rates!$B$4,LIST,0),2,1,SUMIF(Grades!$A:$A,Rates!$B$4,Grades!$B:$B)),0),"")</f>
        <v/>
      </c>
    </row>
    <row r="278" spans="1:31" ht="18.75" customHeight="1" x14ac:dyDescent="0.25">
      <c r="A278" s="15"/>
      <c r="B278" s="12"/>
      <c r="AE278" s="1" t="str">
        <f ca="1">IFERROR(MATCH(A278,OFFSET(Grades!$A$1,MATCH(Rates!$B$4,LIST,0),2,1,SUMIF(Grades!$A:$A,Rates!$B$4,Grades!$B:$B)),0),"")</f>
        <v/>
      </c>
    </row>
    <row r="279" spans="1:31" ht="18.75" customHeight="1" x14ac:dyDescent="0.25">
      <c r="A279" s="15"/>
      <c r="B279" s="12"/>
      <c r="AE279" s="1" t="str">
        <f ca="1">IFERROR(MATCH(A279,OFFSET(Grades!$A$1,MATCH(Rates!$B$4,LIST,0),2,1,SUMIF(Grades!$A:$A,Rates!$B$4,Grades!$B:$B)),0),"")</f>
        <v/>
      </c>
    </row>
    <row r="280" spans="1:31" ht="18.75" customHeight="1" x14ac:dyDescent="0.25">
      <c r="A280" s="15"/>
      <c r="B280" s="12"/>
      <c r="AE280" s="1" t="str">
        <f ca="1">IFERROR(MATCH(A280,OFFSET(Grades!$A$1,MATCH(Rates!$B$4,LIST,0),2,1,SUMIF(Grades!$A:$A,Rates!$B$4,Grades!$B:$B)),0),"")</f>
        <v/>
      </c>
    </row>
    <row r="281" spans="1:31" x14ac:dyDescent="0.25">
      <c r="AE281" s="1" t="str">
        <f ca="1">IFERROR(MATCH(A281,OFFSET(Grades!$A$1,MATCH(Rates!$B$4,LIST,0),2,1,SUMIF(Grades!$A:$A,Rates!$B$4,Grades!$B:$B)),0),"")</f>
        <v/>
      </c>
    </row>
    <row r="282" spans="1:31" x14ac:dyDescent="0.25">
      <c r="AE282" s="1" t="str">
        <f ca="1">IFERROR(MATCH(A282,OFFSET(Grades!$A$1,MATCH(Rates!$B$4,LIST,0),2,1,SUMIF(Grades!$A:$A,Rates!$B$4,Grades!$B:$B)),0),"")</f>
        <v/>
      </c>
    </row>
    <row r="283" spans="1:31" x14ac:dyDescent="0.25">
      <c r="AE283" s="1" t="str">
        <f ca="1">IFERROR(MATCH(A283,OFFSET(Grades!$A$1,MATCH(Rates!$B$4,LIST,0),2,1,SUMIF(Grades!$A:$A,Rates!$B$4,Grades!$B:$B)),0),"")</f>
        <v/>
      </c>
    </row>
    <row r="284" spans="1:31" x14ac:dyDescent="0.25">
      <c r="AE284" s="1" t="str">
        <f ca="1">IFERROR(MATCH(A284,OFFSET(Grades!$A$1,MATCH(Rates!$B$4,LIST,0),2,1,SUMIF(Grades!$A:$A,Rates!$B$4,Grades!$B:$B)),0),"")</f>
        <v/>
      </c>
    </row>
    <row r="285" spans="1:31" x14ac:dyDescent="0.25">
      <c r="AE285" s="1" t="str">
        <f ca="1">IFERROR(MATCH(A285,OFFSET(Grades!$A$1,MATCH(Rates!$B$4,LIST,0),2,1,SUMIF(Grades!$A:$A,Rates!$B$4,Grades!$B:$B)),0),"")</f>
        <v/>
      </c>
    </row>
    <row r="286" spans="1:31" x14ac:dyDescent="0.25">
      <c r="AE286" s="1" t="str">
        <f ca="1">IFERROR(MATCH(A286,OFFSET(Grades!$A$1,MATCH(Rates!$B$4,LIST,0),2,1,SUMIF(Grades!$A:$A,Rates!$B$4,Grades!$B:$B)),0),"")</f>
        <v/>
      </c>
    </row>
  </sheetData>
  <printOptions horizontalCentered="1"/>
  <pageMargins left="0.23622047244094491" right="0.23622047244094491" top="0.55118110236220474" bottom="0.39370078740157483" header="0.31496062992125984" footer="0.31496062992125984"/>
  <pageSetup paperSize="9" scale="65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5"/>
  <sheetViews>
    <sheetView workbookViewId="0">
      <pane xSplit="2" ySplit="1" topLeftCell="BD2" activePane="bottomRight" state="frozenSplit"/>
      <selection activeCell="BI6" sqref="BI6"/>
      <selection pane="topRight" activeCell="BI6" sqref="BI6"/>
      <selection pane="bottomLeft" activeCell="BI6" sqref="BI6"/>
      <selection pane="bottomRight" activeCell="BG29" sqref="BG29"/>
    </sheetView>
  </sheetViews>
  <sheetFormatPr defaultColWidth="9.140625" defaultRowHeight="15" x14ac:dyDescent="0.25"/>
  <cols>
    <col min="1" max="1" width="89.5703125" style="21" customWidth="1"/>
    <col min="2" max="2" width="10" style="21" customWidth="1"/>
    <col min="3" max="20" width="9.140625" style="21" customWidth="1"/>
    <col min="21" max="21" width="10.85546875" style="21" bestFit="1" customWidth="1"/>
    <col min="22" max="22" width="12.140625" style="21" bestFit="1" customWidth="1"/>
    <col min="23" max="23" width="9.140625" style="21" customWidth="1"/>
    <col min="24" max="16384" width="9.140625" style="21"/>
  </cols>
  <sheetData>
    <row r="1" spans="1:71" ht="25.5" customHeight="1" x14ac:dyDescent="0.25">
      <c r="A1" s="19" t="s">
        <v>7</v>
      </c>
      <c r="B1" s="19" t="s">
        <v>8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9" t="s">
        <v>9</v>
      </c>
      <c r="BI1" s="19" t="s">
        <v>10</v>
      </c>
      <c r="BJ1" s="19" t="s">
        <v>11</v>
      </c>
      <c r="BK1" s="140" t="s">
        <v>18</v>
      </c>
      <c r="BL1" s="140"/>
      <c r="BM1" s="140"/>
      <c r="BN1" s="140"/>
      <c r="BO1" s="20" t="s">
        <v>4</v>
      </c>
      <c r="BP1" s="20" t="s">
        <v>5</v>
      </c>
      <c r="BQ1" s="20" t="s">
        <v>2</v>
      </c>
      <c r="BR1" s="20" t="s">
        <v>3</v>
      </c>
      <c r="BS1" s="20"/>
    </row>
    <row r="2" spans="1:71" x14ac:dyDescent="0.25">
      <c r="A2" s="32" t="s">
        <v>37</v>
      </c>
      <c r="B2" s="1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9"/>
      <c r="BI2" s="19"/>
      <c r="BJ2" s="19"/>
      <c r="BK2" s="19"/>
      <c r="BL2" s="19"/>
      <c r="BM2" s="19"/>
      <c r="BN2" s="19"/>
      <c r="BO2" s="20"/>
      <c r="BP2" s="20"/>
      <c r="BQ2" s="20"/>
      <c r="BR2" s="20"/>
      <c r="BS2" s="20"/>
    </row>
    <row r="3" spans="1:71" x14ac:dyDescent="0.25">
      <c r="A3" s="22" t="s">
        <v>89</v>
      </c>
      <c r="B3" s="23">
        <f t="shared" ref="B3:B9" si="0">IF(A3="","",COUNTA(C3:BG3))</f>
        <v>29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L3" s="20">
        <v>11</v>
      </c>
      <c r="M3" s="20">
        <v>12</v>
      </c>
      <c r="N3" s="20">
        <v>13</v>
      </c>
      <c r="O3" s="20">
        <v>14</v>
      </c>
      <c r="P3" s="20">
        <v>15</v>
      </c>
      <c r="Q3" s="20">
        <v>16</v>
      </c>
      <c r="R3" s="20">
        <v>17</v>
      </c>
      <c r="S3" s="20">
        <v>18</v>
      </c>
      <c r="T3" s="20">
        <v>19</v>
      </c>
      <c r="U3" s="20">
        <v>20</v>
      </c>
      <c r="V3" s="20">
        <v>21</v>
      </c>
      <c r="W3" s="20">
        <v>22</v>
      </c>
      <c r="X3" s="20">
        <v>23</v>
      </c>
      <c r="Y3" s="20">
        <v>24</v>
      </c>
      <c r="Z3" s="20">
        <v>25</v>
      </c>
      <c r="AA3" s="20">
        <v>26</v>
      </c>
      <c r="AB3" s="20">
        <v>27</v>
      </c>
      <c r="AC3" s="20">
        <v>28</v>
      </c>
      <c r="AD3" s="20">
        <v>29</v>
      </c>
      <c r="AE3" s="20">
        <v>30</v>
      </c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K3" s="20" t="s">
        <v>4</v>
      </c>
      <c r="BL3" s="20" t="s">
        <v>5</v>
      </c>
      <c r="BM3" s="20" t="s">
        <v>2</v>
      </c>
      <c r="BN3" s="20" t="s">
        <v>3</v>
      </c>
      <c r="BO3" s="20">
        <f t="shared" ref="BO3:BR9" si="1">COUNTIF($BK3:$BN3,BO$1)</f>
        <v>1</v>
      </c>
      <c r="BP3" s="20">
        <f t="shared" si="1"/>
        <v>1</v>
      </c>
      <c r="BQ3" s="20">
        <f t="shared" si="1"/>
        <v>1</v>
      </c>
      <c r="BR3" s="20">
        <f t="shared" si="1"/>
        <v>1</v>
      </c>
    </row>
    <row r="4" spans="1:71" x14ac:dyDescent="0.25">
      <c r="A4" s="22" t="s">
        <v>15</v>
      </c>
      <c r="B4" s="23">
        <f t="shared" si="0"/>
        <v>10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/>
      <c r="N4" s="20"/>
      <c r="BH4" s="20">
        <v>3</v>
      </c>
      <c r="BI4" s="20">
        <v>6</v>
      </c>
      <c r="BJ4" s="20">
        <v>12</v>
      </c>
      <c r="BK4" s="20" t="s">
        <v>2</v>
      </c>
      <c r="BL4" s="20" t="s">
        <v>3</v>
      </c>
      <c r="BO4" s="20">
        <f t="shared" si="1"/>
        <v>0</v>
      </c>
      <c r="BP4" s="20">
        <f t="shared" si="1"/>
        <v>0</v>
      </c>
      <c r="BQ4" s="20">
        <f t="shared" si="1"/>
        <v>1</v>
      </c>
      <c r="BR4" s="20">
        <f t="shared" si="1"/>
        <v>1</v>
      </c>
    </row>
    <row r="5" spans="1:71" x14ac:dyDescent="0.25">
      <c r="A5" s="22" t="s">
        <v>16</v>
      </c>
      <c r="B5" s="23">
        <f t="shared" si="0"/>
        <v>13</v>
      </c>
      <c r="C5" s="20">
        <v>9</v>
      </c>
      <c r="D5" s="20">
        <v>10</v>
      </c>
      <c r="E5" s="20">
        <v>11</v>
      </c>
      <c r="F5" s="20">
        <v>12</v>
      </c>
      <c r="G5" s="20">
        <v>13</v>
      </c>
      <c r="H5" s="20">
        <v>14</v>
      </c>
      <c r="I5" s="20">
        <v>15</v>
      </c>
      <c r="J5" s="20">
        <v>16</v>
      </c>
      <c r="K5" s="20">
        <v>17</v>
      </c>
      <c r="L5" s="20">
        <v>18</v>
      </c>
      <c r="M5" s="20">
        <v>19</v>
      </c>
      <c r="N5" s="20">
        <v>20</v>
      </c>
      <c r="O5" s="20">
        <v>21</v>
      </c>
      <c r="BH5" s="20">
        <v>9</v>
      </c>
      <c r="BI5" s="20">
        <v>15</v>
      </c>
      <c r="BJ5" s="20">
        <v>21</v>
      </c>
      <c r="BK5" s="20" t="s">
        <v>2</v>
      </c>
      <c r="BL5" s="20" t="s">
        <v>3</v>
      </c>
      <c r="BO5" s="20">
        <f t="shared" si="1"/>
        <v>0</v>
      </c>
      <c r="BP5" s="20">
        <f t="shared" si="1"/>
        <v>0</v>
      </c>
      <c r="BQ5" s="20">
        <f t="shared" si="1"/>
        <v>1</v>
      </c>
      <c r="BR5" s="20">
        <f t="shared" si="1"/>
        <v>1</v>
      </c>
    </row>
    <row r="6" spans="1:71" x14ac:dyDescent="0.25">
      <c r="A6" s="22" t="s">
        <v>17</v>
      </c>
      <c r="B6" s="23">
        <f t="shared" si="0"/>
        <v>13</v>
      </c>
      <c r="C6" s="20">
        <v>18</v>
      </c>
      <c r="D6" s="20">
        <v>19</v>
      </c>
      <c r="E6" s="20">
        <v>20</v>
      </c>
      <c r="F6" s="20">
        <v>21</v>
      </c>
      <c r="G6" s="20">
        <v>22</v>
      </c>
      <c r="H6" s="20">
        <v>23</v>
      </c>
      <c r="I6" s="20">
        <v>24</v>
      </c>
      <c r="J6" s="20">
        <v>25</v>
      </c>
      <c r="K6" s="20">
        <v>26</v>
      </c>
      <c r="L6" s="20">
        <v>27</v>
      </c>
      <c r="M6" s="20">
        <v>28</v>
      </c>
      <c r="N6" s="20">
        <v>29</v>
      </c>
      <c r="O6" s="20">
        <v>30</v>
      </c>
      <c r="BH6" s="20">
        <v>18</v>
      </c>
      <c r="BI6" s="20">
        <v>24</v>
      </c>
      <c r="BJ6" s="20">
        <v>30</v>
      </c>
      <c r="BK6" s="20" t="s">
        <v>2</v>
      </c>
      <c r="BL6" s="20" t="s">
        <v>3</v>
      </c>
      <c r="BO6" s="20">
        <f t="shared" si="1"/>
        <v>0</v>
      </c>
      <c r="BP6" s="20">
        <f t="shared" si="1"/>
        <v>0</v>
      </c>
      <c r="BQ6" s="20">
        <f t="shared" si="1"/>
        <v>1</v>
      </c>
      <c r="BR6" s="20">
        <f t="shared" si="1"/>
        <v>1</v>
      </c>
    </row>
    <row r="7" spans="1:71" x14ac:dyDescent="0.25">
      <c r="A7" s="22" t="s">
        <v>19</v>
      </c>
      <c r="B7" s="23">
        <f t="shared" si="0"/>
        <v>7</v>
      </c>
      <c r="C7" s="20">
        <v>9</v>
      </c>
      <c r="D7" s="20">
        <v>10</v>
      </c>
      <c r="E7" s="20">
        <v>11</v>
      </c>
      <c r="F7" s="20">
        <v>12</v>
      </c>
      <c r="G7" s="20">
        <v>13</v>
      </c>
      <c r="H7" s="20">
        <v>14</v>
      </c>
      <c r="I7" s="20">
        <v>15</v>
      </c>
      <c r="BH7" s="20">
        <v>9</v>
      </c>
      <c r="BI7" s="20">
        <v>12</v>
      </c>
      <c r="BJ7" s="20">
        <v>15</v>
      </c>
      <c r="BK7" s="20" t="s">
        <v>2</v>
      </c>
      <c r="BL7" s="20" t="s">
        <v>3</v>
      </c>
      <c r="BO7" s="20">
        <f t="shared" si="1"/>
        <v>0</v>
      </c>
      <c r="BP7" s="20">
        <f t="shared" si="1"/>
        <v>0</v>
      </c>
      <c r="BQ7" s="20">
        <f t="shared" si="1"/>
        <v>1</v>
      </c>
      <c r="BR7" s="20">
        <f t="shared" si="1"/>
        <v>1</v>
      </c>
    </row>
    <row r="8" spans="1:71" x14ac:dyDescent="0.25">
      <c r="A8" s="22" t="s">
        <v>20</v>
      </c>
      <c r="B8" s="23">
        <f t="shared" si="0"/>
        <v>7</v>
      </c>
      <c r="C8" s="20">
        <v>16</v>
      </c>
      <c r="D8" s="20">
        <v>17</v>
      </c>
      <c r="E8" s="20">
        <v>18</v>
      </c>
      <c r="F8" s="20">
        <v>19</v>
      </c>
      <c r="G8" s="20">
        <v>20</v>
      </c>
      <c r="H8" s="20">
        <v>21</v>
      </c>
      <c r="I8" s="20">
        <v>22</v>
      </c>
      <c r="BH8" s="20">
        <v>16</v>
      </c>
      <c r="BI8" s="20">
        <v>19</v>
      </c>
      <c r="BJ8" s="20">
        <v>22</v>
      </c>
      <c r="BK8" s="20" t="s">
        <v>2</v>
      </c>
      <c r="BL8" s="20" t="s">
        <v>3</v>
      </c>
      <c r="BO8" s="20">
        <f t="shared" si="1"/>
        <v>0</v>
      </c>
      <c r="BP8" s="20">
        <f t="shared" si="1"/>
        <v>0</v>
      </c>
      <c r="BQ8" s="20">
        <f t="shared" si="1"/>
        <v>1</v>
      </c>
      <c r="BR8" s="20">
        <f t="shared" si="1"/>
        <v>1</v>
      </c>
    </row>
    <row r="9" spans="1:71" x14ac:dyDescent="0.25">
      <c r="A9" s="22" t="s">
        <v>50</v>
      </c>
      <c r="B9" s="23">
        <f t="shared" si="0"/>
        <v>11</v>
      </c>
      <c r="C9" s="20">
        <v>1</v>
      </c>
      <c r="D9" s="20">
        <v>2</v>
      </c>
      <c r="E9" s="20">
        <v>3</v>
      </c>
      <c r="F9" s="20">
        <v>4</v>
      </c>
      <c r="G9" s="20">
        <v>5</v>
      </c>
      <c r="H9" s="20">
        <v>6</v>
      </c>
      <c r="I9" s="20">
        <v>7</v>
      </c>
      <c r="J9" s="20">
        <v>8</v>
      </c>
      <c r="K9" s="20">
        <v>9</v>
      </c>
      <c r="L9" s="20">
        <v>10</v>
      </c>
      <c r="M9" s="20">
        <v>11</v>
      </c>
      <c r="BH9" s="20"/>
      <c r="BI9" s="20"/>
      <c r="BJ9" s="20"/>
      <c r="BK9" s="20" t="s">
        <v>2</v>
      </c>
      <c r="BL9" s="20" t="s">
        <v>3</v>
      </c>
      <c r="BO9" s="20">
        <f t="shared" si="1"/>
        <v>0</v>
      </c>
      <c r="BP9" s="20">
        <f t="shared" si="1"/>
        <v>0</v>
      </c>
      <c r="BQ9" s="20">
        <f t="shared" si="1"/>
        <v>1</v>
      </c>
      <c r="BR9" s="20">
        <f t="shared" si="1"/>
        <v>1</v>
      </c>
    </row>
    <row r="10" spans="1:71" x14ac:dyDescent="0.25">
      <c r="A10" s="21" t="s">
        <v>66</v>
      </c>
      <c r="B10" s="23">
        <f t="shared" ref="B10:B38" si="2">IF(A10="","",COUNTA(C10:BG10))</f>
        <v>1</v>
      </c>
      <c r="C10" s="21">
        <v>3</v>
      </c>
      <c r="BK10" s="21" t="s">
        <v>2</v>
      </c>
      <c r="BL10" s="21" t="s">
        <v>3</v>
      </c>
      <c r="BO10" s="20">
        <f t="shared" ref="BO10:BR10" si="3">COUNTIF($BK10:$BN10,BO$1)</f>
        <v>0</v>
      </c>
      <c r="BP10" s="20">
        <f t="shared" si="3"/>
        <v>0</v>
      </c>
      <c r="BQ10" s="20">
        <f t="shared" si="3"/>
        <v>1</v>
      </c>
      <c r="BR10" s="20">
        <f t="shared" si="3"/>
        <v>1</v>
      </c>
    </row>
    <row r="11" spans="1:71" x14ac:dyDescent="0.25">
      <c r="A11" s="21" t="s">
        <v>67</v>
      </c>
      <c r="B11" s="23">
        <f t="shared" si="2"/>
        <v>1</v>
      </c>
      <c r="C11" s="21">
        <v>4</v>
      </c>
      <c r="BK11" s="21" t="s">
        <v>2</v>
      </c>
      <c r="BL11" s="21" t="s">
        <v>3</v>
      </c>
      <c r="BO11" s="20">
        <f t="shared" ref="BO11:BR23" si="4">COUNTIF($BK11:$BN11,BO$1)</f>
        <v>0</v>
      </c>
      <c r="BP11" s="20">
        <f t="shared" si="4"/>
        <v>0</v>
      </c>
      <c r="BQ11" s="20">
        <f t="shared" si="4"/>
        <v>1</v>
      </c>
      <c r="BR11" s="20">
        <f t="shared" si="4"/>
        <v>1</v>
      </c>
    </row>
    <row r="12" spans="1:71" x14ac:dyDescent="0.25">
      <c r="A12" s="21" t="s">
        <v>68</v>
      </c>
      <c r="B12" s="23">
        <f t="shared" si="2"/>
        <v>1</v>
      </c>
      <c r="C12" s="21">
        <v>5</v>
      </c>
      <c r="BK12" s="21" t="s">
        <v>2</v>
      </c>
      <c r="BL12" s="21" t="s">
        <v>3</v>
      </c>
      <c r="BO12" s="20">
        <f t="shared" si="4"/>
        <v>0</v>
      </c>
      <c r="BP12" s="20">
        <f t="shared" si="4"/>
        <v>0</v>
      </c>
      <c r="BQ12" s="20">
        <f t="shared" si="4"/>
        <v>1</v>
      </c>
      <c r="BR12" s="20">
        <f t="shared" si="4"/>
        <v>1</v>
      </c>
    </row>
    <row r="13" spans="1:71" x14ac:dyDescent="0.25">
      <c r="A13" s="21" t="s">
        <v>69</v>
      </c>
      <c r="B13" s="23">
        <f t="shared" si="2"/>
        <v>1</v>
      </c>
      <c r="C13" s="21">
        <v>6</v>
      </c>
      <c r="BK13" s="21" t="s">
        <v>2</v>
      </c>
      <c r="BL13" s="21" t="s">
        <v>3</v>
      </c>
      <c r="BO13" s="20">
        <f t="shared" si="4"/>
        <v>0</v>
      </c>
      <c r="BP13" s="20">
        <f t="shared" si="4"/>
        <v>0</v>
      </c>
      <c r="BQ13" s="20">
        <f t="shared" si="4"/>
        <v>1</v>
      </c>
      <c r="BR13" s="20">
        <f t="shared" si="4"/>
        <v>1</v>
      </c>
    </row>
    <row r="14" spans="1:71" x14ac:dyDescent="0.25">
      <c r="A14" s="21" t="s">
        <v>70</v>
      </c>
      <c r="B14" s="23">
        <f t="shared" si="2"/>
        <v>1</v>
      </c>
      <c r="C14" s="21">
        <v>7</v>
      </c>
      <c r="BK14" s="21" t="s">
        <v>2</v>
      </c>
      <c r="BL14" s="21" t="s">
        <v>3</v>
      </c>
      <c r="BO14" s="20">
        <f t="shared" si="4"/>
        <v>0</v>
      </c>
      <c r="BP14" s="20">
        <f t="shared" si="4"/>
        <v>0</v>
      </c>
      <c r="BQ14" s="20">
        <f t="shared" si="4"/>
        <v>1</v>
      </c>
      <c r="BR14" s="20">
        <f t="shared" si="4"/>
        <v>1</v>
      </c>
    </row>
    <row r="15" spans="1:71" x14ac:dyDescent="0.25">
      <c r="A15" s="21" t="s">
        <v>71</v>
      </c>
      <c r="B15" s="23">
        <f t="shared" si="2"/>
        <v>1</v>
      </c>
      <c r="C15" s="21">
        <v>10</v>
      </c>
      <c r="BK15" s="21" t="s">
        <v>2</v>
      </c>
      <c r="BL15" s="21" t="s">
        <v>3</v>
      </c>
      <c r="BO15" s="20">
        <f t="shared" si="4"/>
        <v>0</v>
      </c>
      <c r="BP15" s="20">
        <f t="shared" si="4"/>
        <v>0</v>
      </c>
      <c r="BQ15" s="20">
        <f t="shared" si="4"/>
        <v>1</v>
      </c>
      <c r="BR15" s="20">
        <f t="shared" si="4"/>
        <v>1</v>
      </c>
    </row>
    <row r="16" spans="1:71" x14ac:dyDescent="0.25">
      <c r="A16" s="21" t="s">
        <v>72</v>
      </c>
      <c r="B16" s="23">
        <f t="shared" si="2"/>
        <v>1</v>
      </c>
      <c r="C16" s="21">
        <v>15</v>
      </c>
      <c r="BK16" s="21" t="s">
        <v>2</v>
      </c>
      <c r="BL16" s="21" t="s">
        <v>3</v>
      </c>
      <c r="BO16" s="20">
        <f t="shared" si="4"/>
        <v>0</v>
      </c>
      <c r="BP16" s="20">
        <f t="shared" si="4"/>
        <v>0</v>
      </c>
      <c r="BQ16" s="20">
        <f t="shared" si="4"/>
        <v>1</v>
      </c>
      <c r="BR16" s="20">
        <f t="shared" si="4"/>
        <v>1</v>
      </c>
    </row>
    <row r="17" spans="1:70" x14ac:dyDescent="0.25">
      <c r="A17" s="21" t="s">
        <v>73</v>
      </c>
      <c r="B17" s="23">
        <f t="shared" si="2"/>
        <v>1</v>
      </c>
      <c r="C17" s="21">
        <v>21</v>
      </c>
      <c r="BK17" s="21" t="s">
        <v>2</v>
      </c>
      <c r="BL17" s="21" t="s">
        <v>3</v>
      </c>
      <c r="BO17" s="20">
        <f t="shared" si="4"/>
        <v>0</v>
      </c>
      <c r="BP17" s="20">
        <f t="shared" si="4"/>
        <v>0</v>
      </c>
      <c r="BQ17" s="20">
        <f t="shared" si="4"/>
        <v>1</v>
      </c>
      <c r="BR17" s="20">
        <f t="shared" si="4"/>
        <v>1</v>
      </c>
    </row>
    <row r="18" spans="1:70" x14ac:dyDescent="0.25">
      <c r="A18" s="21" t="s">
        <v>74</v>
      </c>
      <c r="B18" s="23">
        <f t="shared" si="2"/>
        <v>1</v>
      </c>
      <c r="C18" s="21">
        <v>24</v>
      </c>
      <c r="BK18" s="21" t="s">
        <v>2</v>
      </c>
      <c r="BL18" s="21" t="s">
        <v>3</v>
      </c>
      <c r="BO18" s="20">
        <f t="shared" si="4"/>
        <v>0</v>
      </c>
      <c r="BP18" s="20">
        <f t="shared" si="4"/>
        <v>0</v>
      </c>
      <c r="BQ18" s="20">
        <f t="shared" si="4"/>
        <v>1</v>
      </c>
      <c r="BR18" s="20">
        <f t="shared" si="4"/>
        <v>1</v>
      </c>
    </row>
    <row r="19" spans="1:70" x14ac:dyDescent="0.25">
      <c r="B19" s="23" t="str">
        <f t="shared" si="2"/>
        <v/>
      </c>
      <c r="BK19" s="21" t="s">
        <v>2</v>
      </c>
      <c r="BL19" s="21" t="s">
        <v>3</v>
      </c>
      <c r="BO19" s="20">
        <f t="shared" si="4"/>
        <v>0</v>
      </c>
      <c r="BP19" s="20">
        <f t="shared" si="4"/>
        <v>0</v>
      </c>
      <c r="BQ19" s="20">
        <f t="shared" si="4"/>
        <v>1</v>
      </c>
      <c r="BR19" s="20">
        <f t="shared" si="4"/>
        <v>1</v>
      </c>
    </row>
    <row r="20" spans="1:70" x14ac:dyDescent="0.25">
      <c r="B20" s="23" t="str">
        <f t="shared" si="2"/>
        <v/>
      </c>
      <c r="BK20" s="21" t="s">
        <v>2</v>
      </c>
      <c r="BL20" s="21" t="s">
        <v>3</v>
      </c>
      <c r="BO20" s="20">
        <f t="shared" si="4"/>
        <v>0</v>
      </c>
      <c r="BP20" s="20">
        <f t="shared" si="4"/>
        <v>0</v>
      </c>
      <c r="BQ20" s="20">
        <f t="shared" si="4"/>
        <v>1</v>
      </c>
      <c r="BR20" s="20">
        <f t="shared" si="4"/>
        <v>1</v>
      </c>
    </row>
    <row r="21" spans="1:70" x14ac:dyDescent="0.25">
      <c r="B21" s="23" t="str">
        <f t="shared" si="2"/>
        <v/>
      </c>
      <c r="BK21" s="21" t="s">
        <v>2</v>
      </c>
      <c r="BL21" s="21" t="s">
        <v>3</v>
      </c>
      <c r="BO21" s="20">
        <f t="shared" si="4"/>
        <v>0</v>
      </c>
      <c r="BP21" s="20">
        <f t="shared" si="4"/>
        <v>0</v>
      </c>
      <c r="BQ21" s="20">
        <f t="shared" si="4"/>
        <v>1</v>
      </c>
      <c r="BR21" s="20">
        <f t="shared" si="4"/>
        <v>1</v>
      </c>
    </row>
    <row r="22" spans="1:70" x14ac:dyDescent="0.25">
      <c r="B22" s="23" t="str">
        <f t="shared" si="2"/>
        <v/>
      </c>
      <c r="BO22" s="20">
        <f t="shared" si="4"/>
        <v>0</v>
      </c>
      <c r="BP22" s="20">
        <f t="shared" si="4"/>
        <v>0</v>
      </c>
      <c r="BQ22" s="20">
        <f t="shared" si="4"/>
        <v>0</v>
      </c>
      <c r="BR22" s="20">
        <f t="shared" si="4"/>
        <v>0</v>
      </c>
    </row>
    <row r="23" spans="1:70" x14ac:dyDescent="0.25">
      <c r="B23" s="23" t="str">
        <f t="shared" si="2"/>
        <v/>
      </c>
      <c r="BO23" s="20">
        <f t="shared" si="4"/>
        <v>0</v>
      </c>
      <c r="BP23" s="20">
        <f t="shared" si="4"/>
        <v>0</v>
      </c>
      <c r="BQ23" s="20">
        <f t="shared" si="4"/>
        <v>0</v>
      </c>
      <c r="BR23" s="20">
        <f t="shared" si="4"/>
        <v>0</v>
      </c>
    </row>
    <row r="24" spans="1:70" x14ac:dyDescent="0.25">
      <c r="B24" s="23" t="str">
        <f t="shared" si="2"/>
        <v/>
      </c>
    </row>
    <row r="25" spans="1:70" x14ac:dyDescent="0.25">
      <c r="B25" s="23" t="str">
        <f t="shared" si="2"/>
        <v/>
      </c>
    </row>
    <row r="26" spans="1:70" x14ac:dyDescent="0.25">
      <c r="B26" s="23" t="str">
        <f t="shared" si="2"/>
        <v/>
      </c>
    </row>
    <row r="27" spans="1:70" x14ac:dyDescent="0.25">
      <c r="B27" s="23" t="str">
        <f t="shared" si="2"/>
        <v/>
      </c>
    </row>
    <row r="28" spans="1:70" x14ac:dyDescent="0.25">
      <c r="B28" s="23" t="str">
        <f t="shared" si="2"/>
        <v/>
      </c>
    </row>
    <row r="29" spans="1:70" x14ac:dyDescent="0.25">
      <c r="B29" s="23" t="str">
        <f t="shared" si="2"/>
        <v/>
      </c>
    </row>
    <row r="30" spans="1:70" x14ac:dyDescent="0.25">
      <c r="B30" s="23" t="str">
        <f t="shared" si="2"/>
        <v/>
      </c>
    </row>
    <row r="31" spans="1:70" x14ac:dyDescent="0.25">
      <c r="B31" s="23" t="str">
        <f t="shared" si="2"/>
        <v/>
      </c>
    </row>
    <row r="32" spans="1:70" x14ac:dyDescent="0.25">
      <c r="B32" s="23" t="str">
        <f t="shared" si="2"/>
        <v/>
      </c>
    </row>
    <row r="33" spans="2:2" x14ac:dyDescent="0.25">
      <c r="B33" s="23" t="str">
        <f t="shared" si="2"/>
        <v/>
      </c>
    </row>
    <row r="34" spans="2:2" x14ac:dyDescent="0.25">
      <c r="B34" s="23" t="str">
        <f t="shared" si="2"/>
        <v/>
      </c>
    </row>
    <row r="35" spans="2:2" x14ac:dyDescent="0.25">
      <c r="B35" s="23" t="str">
        <f t="shared" si="2"/>
        <v/>
      </c>
    </row>
    <row r="36" spans="2:2" x14ac:dyDescent="0.25">
      <c r="B36" s="23" t="str">
        <f t="shared" si="2"/>
        <v/>
      </c>
    </row>
    <row r="37" spans="2:2" x14ac:dyDescent="0.25">
      <c r="B37" s="23" t="str">
        <f t="shared" si="2"/>
        <v/>
      </c>
    </row>
    <row r="38" spans="2:2" x14ac:dyDescent="0.25">
      <c r="B38" s="23" t="str">
        <f t="shared" si="2"/>
        <v/>
      </c>
    </row>
    <row r="39" spans="2:2" x14ac:dyDescent="0.25">
      <c r="B39" s="23" t="str">
        <f t="shared" ref="B39:B55" si="5">IF(A39="","",COUNTA(C39:BG39))</f>
        <v/>
      </c>
    </row>
    <row r="40" spans="2:2" x14ac:dyDescent="0.25">
      <c r="B40" s="23" t="str">
        <f t="shared" si="5"/>
        <v/>
      </c>
    </row>
    <row r="41" spans="2:2" x14ac:dyDescent="0.25">
      <c r="B41" s="23" t="str">
        <f t="shared" si="5"/>
        <v/>
      </c>
    </row>
    <row r="42" spans="2:2" x14ac:dyDescent="0.25">
      <c r="B42" s="23" t="str">
        <f t="shared" si="5"/>
        <v/>
      </c>
    </row>
    <row r="43" spans="2:2" x14ac:dyDescent="0.25">
      <c r="B43" s="23" t="str">
        <f t="shared" si="5"/>
        <v/>
      </c>
    </row>
    <row r="44" spans="2:2" x14ac:dyDescent="0.25">
      <c r="B44" s="23" t="str">
        <f t="shared" si="5"/>
        <v/>
      </c>
    </row>
    <row r="45" spans="2:2" x14ac:dyDescent="0.25">
      <c r="B45" s="23" t="str">
        <f t="shared" si="5"/>
        <v/>
      </c>
    </row>
    <row r="46" spans="2:2" x14ac:dyDescent="0.25">
      <c r="B46" s="23" t="str">
        <f t="shared" si="5"/>
        <v/>
      </c>
    </row>
    <row r="47" spans="2:2" x14ac:dyDescent="0.25">
      <c r="B47" s="23" t="str">
        <f t="shared" si="5"/>
        <v/>
      </c>
    </row>
    <row r="48" spans="2:2" x14ac:dyDescent="0.25">
      <c r="B48" s="23" t="str">
        <f t="shared" si="5"/>
        <v/>
      </c>
    </row>
    <row r="49" spans="2:2" x14ac:dyDescent="0.25">
      <c r="B49" s="23" t="str">
        <f t="shared" si="5"/>
        <v/>
      </c>
    </row>
    <row r="50" spans="2:2" x14ac:dyDescent="0.25">
      <c r="B50" s="23" t="str">
        <f t="shared" si="5"/>
        <v/>
      </c>
    </row>
    <row r="51" spans="2:2" x14ac:dyDescent="0.25">
      <c r="B51" s="23" t="str">
        <f t="shared" si="5"/>
        <v/>
      </c>
    </row>
    <row r="52" spans="2:2" x14ac:dyDescent="0.25">
      <c r="B52" s="23" t="str">
        <f t="shared" si="5"/>
        <v/>
      </c>
    </row>
    <row r="53" spans="2:2" x14ac:dyDescent="0.25">
      <c r="B53" s="23" t="str">
        <f t="shared" si="5"/>
        <v/>
      </c>
    </row>
    <row r="54" spans="2:2" x14ac:dyDescent="0.25">
      <c r="B54" s="23" t="str">
        <f t="shared" si="5"/>
        <v/>
      </c>
    </row>
    <row r="55" spans="2:2" x14ac:dyDescent="0.25">
      <c r="B55" s="23" t="str">
        <f t="shared" si="5"/>
        <v/>
      </c>
    </row>
  </sheetData>
  <sheetProtection selectLockedCells="1"/>
  <autoFilter ref="A1:BJ55"/>
  <mergeCells count="1">
    <mergeCell ref="BK1:BN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1-30 Point Scale</vt:lpstr>
      <vt:lpstr>Thresholds_Rates</vt:lpstr>
      <vt:lpstr>Notes &amp; Guidance</vt:lpstr>
      <vt:lpstr>Points_Lookup</vt:lpstr>
      <vt:lpstr>Grades</vt:lpstr>
      <vt:lpstr>'1-30 Point Scale'!Print_Area</vt:lpstr>
      <vt:lpstr>Rates!Print_Area</vt:lpstr>
    </vt:vector>
  </TitlesOfParts>
  <Company>The University of Nottingham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Salary-Scales-On-Costs-Pay-Award-Aug-2014-(April-2014-NI)</dc:title>
  <dc:creator>Tanya Robinson</dc:creator>
  <cp:lastModifiedBy>Taylour Claire</cp:lastModifiedBy>
  <cp:lastPrinted>2016-09-20T14:00:34Z</cp:lastPrinted>
  <dcterms:created xsi:type="dcterms:W3CDTF">2011-11-03T09:54:30Z</dcterms:created>
  <dcterms:modified xsi:type="dcterms:W3CDTF">2016-09-26T10:00:00Z</dcterms:modified>
</cp:coreProperties>
</file>