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C:\Users\adria\Documents\Other research &amp; writing\I told you so\FCT calculations\"/>
    </mc:Choice>
  </mc:AlternateContent>
  <bookViews>
    <workbookView xWindow="0" yWindow="0" windowWidth="19200" windowHeight="7620"/>
  </bookViews>
  <sheets>
    <sheet name="Read me" sheetId="15" r:id="rId1"/>
    <sheet name="Base case" sheetId="2" r:id="rId2"/>
    <sheet name="Narrow N" sheetId="20" r:id="rId3"/>
    <sheet name="Broad sectors" sheetId="6" r:id="rId4"/>
    <sheet name="H+M" sheetId="3" r:id="rId5"/>
    <sheet name="H+M, old N old S" sheetId="9" r:id="rId6"/>
    <sheet name="H+M, old N old S, NM" sheetId="13" r:id="rId7"/>
    <sheet name="1990 original base case" sheetId="16" r:id="rId8"/>
    <sheet name="1990 revised assn on services" sheetId="17" r:id="rId9"/>
    <sheet name="1990 plus x-weighted S wage" sheetId="18" r:id="rId10"/>
    <sheet name="1990 plus other new assns" sheetId="19" r:id="rId11"/>
  </sheets>
  <definedNames>
    <definedName name="_Hlk491332173" localSheetId="4">'H+M'!#REF!</definedName>
    <definedName name="_Hlk491332173" localSheetId="5">'H+M, old N old S'!#REF!</definedName>
    <definedName name="_Hlk491332173" localSheetId="6">'H+M, old N old S, NM'!#REF!</definedName>
    <definedName name="_xlnm.Print_Area" localSheetId="7">'1990 original base case'!$A$3:$M$276</definedName>
    <definedName name="_xlnm.Print_Area" localSheetId="10">'1990 plus other new assns'!$A$3:$M$278</definedName>
    <definedName name="_xlnm.Print_Area" localSheetId="9">'1990 plus x-weighted S wage'!$A$3:$M$278</definedName>
    <definedName name="_xlnm.Print_Area" localSheetId="8">'1990 revised assn on services'!$A$3:$M$278</definedName>
    <definedName name="_xlnm.Print_Area" localSheetId="1">'Base case'!$A$1:$V$343</definedName>
    <definedName name="_xlnm.Print_Area" localSheetId="3">'Broad sectors'!$A$1:$V$343</definedName>
    <definedName name="_xlnm.Print_Area" localSheetId="4">'H+M'!$A$1:$V$358</definedName>
    <definedName name="_xlnm.Print_Area" localSheetId="5">'H+M, old N old S'!$A$1:$V$358</definedName>
    <definedName name="_xlnm.Print_Area" localSheetId="6">'H+M, old N old S, NM'!$A$1:$V$358</definedName>
    <definedName name="_xlnm.Print_Area" localSheetId="2">'Narrow N'!$A$1:$V$343</definedName>
  </definedNames>
  <calcPr calcId="162913" iterate="1"/>
  <fileRecoveryPr autoRecover="0"/>
</workbook>
</file>

<file path=xl/calcChain.xml><?xml version="1.0" encoding="utf-8"?>
<calcChain xmlns="http://schemas.openxmlformats.org/spreadsheetml/2006/main">
  <c r="Q322" i="20" l="1"/>
  <c r="N322" i="20"/>
  <c r="J322" i="20"/>
  <c r="G322" i="20"/>
  <c r="L298" i="20"/>
  <c r="K298" i="20"/>
  <c r="K297" i="20"/>
  <c r="M296" i="20"/>
  <c r="L296" i="20"/>
  <c r="K296" i="20"/>
  <c r="E295" i="20"/>
  <c r="M294" i="20"/>
  <c r="L294" i="20"/>
  <c r="K294" i="20"/>
  <c r="O294" i="20" s="1"/>
  <c r="L293" i="20"/>
  <c r="K293" i="20"/>
  <c r="M293" i="20" s="1"/>
  <c r="L281" i="20"/>
  <c r="N275" i="20"/>
  <c r="L275" i="20"/>
  <c r="N270" i="20"/>
  <c r="N269" i="20"/>
  <c r="L269" i="20"/>
  <c r="N268" i="20"/>
  <c r="L268" i="20"/>
  <c r="K237" i="20"/>
  <c r="H237" i="20"/>
  <c r="M235" i="20"/>
  <c r="K235" i="20"/>
  <c r="M234" i="20"/>
  <c r="K234" i="20"/>
  <c r="H234" i="20"/>
  <c r="N220" i="20"/>
  <c r="L220" i="20"/>
  <c r="I220" i="20"/>
  <c r="G220" i="20"/>
  <c r="N219" i="20"/>
  <c r="L219" i="20"/>
  <c r="I219" i="20"/>
  <c r="G219" i="20"/>
  <c r="L208" i="20"/>
  <c r="G208" i="20"/>
  <c r="L207" i="20"/>
  <c r="N204" i="20"/>
  <c r="N208" i="20" s="1"/>
  <c r="L204" i="20"/>
  <c r="I204" i="20"/>
  <c r="I208" i="20" s="1"/>
  <c r="G204" i="20"/>
  <c r="N203" i="20"/>
  <c r="N207" i="20" s="1"/>
  <c r="L203" i="20"/>
  <c r="I203" i="20"/>
  <c r="I207" i="20" s="1"/>
  <c r="G203" i="20"/>
  <c r="G207" i="20" s="1"/>
  <c r="N199" i="20"/>
  <c r="N198" i="20"/>
  <c r="N190" i="20"/>
  <c r="L190" i="20"/>
  <c r="N189" i="20"/>
  <c r="L189" i="20"/>
  <c r="I189" i="20"/>
  <c r="I190" i="20" s="1"/>
  <c r="G189" i="20"/>
  <c r="G190" i="20" s="1"/>
  <c r="L187" i="20"/>
  <c r="G187" i="20"/>
  <c r="N186" i="20"/>
  <c r="N184" i="20"/>
  <c r="L184" i="20"/>
  <c r="L186" i="20" s="1"/>
  <c r="G179" i="20"/>
  <c r="L177" i="20"/>
  <c r="L195" i="20" s="1"/>
  <c r="N176" i="20"/>
  <c r="L176" i="20"/>
  <c r="L179" i="20" s="1"/>
  <c r="I176" i="20"/>
  <c r="M237" i="20" s="1"/>
  <c r="G176" i="20"/>
  <c r="I175" i="20"/>
  <c r="I174" i="20"/>
  <c r="N172" i="20"/>
  <c r="N175" i="20" s="1"/>
  <c r="L172" i="20"/>
  <c r="I172" i="20"/>
  <c r="G172" i="20"/>
  <c r="N170" i="20"/>
  <c r="L170" i="20"/>
  <c r="I170" i="20"/>
  <c r="G170" i="20"/>
  <c r="N169" i="20"/>
  <c r="L169" i="20"/>
  <c r="I169" i="20"/>
  <c r="G169" i="20"/>
  <c r="N168" i="20"/>
  <c r="L168" i="20"/>
  <c r="I168" i="20"/>
  <c r="G168" i="20"/>
  <c r="N167" i="20"/>
  <c r="L167" i="20"/>
  <c r="I167" i="20"/>
  <c r="G167" i="20"/>
  <c r="N166" i="20"/>
  <c r="L166" i="20"/>
  <c r="I166" i="20"/>
  <c r="G166" i="20"/>
  <c r="R128" i="20"/>
  <c r="P128" i="20"/>
  <c r="N128" i="20"/>
  <c r="L128" i="20"/>
  <c r="J128" i="20"/>
  <c r="N123" i="20"/>
  <c r="N124" i="20" s="1"/>
  <c r="R122" i="20"/>
  <c r="R121" i="20"/>
  <c r="N121" i="20"/>
  <c r="N122" i="20" s="1"/>
  <c r="R120" i="20"/>
  <c r="R123" i="20" s="1"/>
  <c r="R124" i="20" s="1"/>
  <c r="N120" i="20"/>
  <c r="N119" i="20"/>
  <c r="L109" i="20"/>
  <c r="R108" i="20"/>
  <c r="P108" i="20"/>
  <c r="N108" i="20"/>
  <c r="L108" i="20"/>
  <c r="I108" i="20"/>
  <c r="G108" i="20"/>
  <c r="R107" i="20"/>
  <c r="P107" i="20"/>
  <c r="N107" i="20"/>
  <c r="N187" i="20" s="1"/>
  <c r="L107" i="20"/>
  <c r="I107" i="20"/>
  <c r="I187" i="20" s="1"/>
  <c r="G107" i="20"/>
  <c r="R106" i="20"/>
  <c r="P106" i="20"/>
  <c r="N106" i="20"/>
  <c r="L106" i="20"/>
  <c r="I106" i="20"/>
  <c r="G106" i="20"/>
  <c r="R105" i="20"/>
  <c r="P105" i="20"/>
  <c r="N105" i="20"/>
  <c r="L105" i="20"/>
  <c r="I105" i="20"/>
  <c r="G105" i="20"/>
  <c r="R104" i="20"/>
  <c r="R109" i="20" s="1"/>
  <c r="P104" i="20"/>
  <c r="P109" i="20" s="1"/>
  <c r="N104" i="20"/>
  <c r="L104" i="20"/>
  <c r="I104" i="20"/>
  <c r="G104" i="20"/>
  <c r="G109" i="20" s="1"/>
  <c r="R89" i="20"/>
  <c r="P89" i="20"/>
  <c r="N89" i="20"/>
  <c r="L89" i="20"/>
  <c r="I89" i="20"/>
  <c r="G89" i="20"/>
  <c r="L79" i="20"/>
  <c r="L78" i="20"/>
  <c r="I78" i="20"/>
  <c r="G78" i="20"/>
  <c r="P77" i="20"/>
  <c r="L77" i="20"/>
  <c r="L80" i="20" s="1"/>
  <c r="I77" i="20"/>
  <c r="G77" i="20"/>
  <c r="R54" i="20"/>
  <c r="P54" i="20"/>
  <c r="N54" i="20"/>
  <c r="L54" i="20"/>
  <c r="I54" i="20"/>
  <c r="I173" i="20" s="1"/>
  <c r="G54" i="20"/>
  <c r="G177" i="20" s="1"/>
  <c r="L28" i="20"/>
  <c r="G28" i="20"/>
  <c r="J27" i="20"/>
  <c r="R119" i="20" s="1"/>
  <c r="G27" i="20"/>
  <c r="L26" i="20"/>
  <c r="G26" i="20"/>
  <c r="J25" i="20"/>
  <c r="L25" i="20" s="1"/>
  <c r="G25" i="20"/>
  <c r="E15" i="20"/>
  <c r="E12" i="20" s="1"/>
  <c r="D15" i="20"/>
  <c r="C15" i="20"/>
  <c r="C12" i="20" s="1"/>
  <c r="P12" i="20"/>
  <c r="Q12" i="20" s="1"/>
  <c r="N12" i="20"/>
  <c r="M12" i="20"/>
  <c r="L12" i="20"/>
  <c r="K12" i="20"/>
  <c r="H12" i="20"/>
  <c r="I12" i="20" s="1"/>
  <c r="D12" i="20"/>
  <c r="I184" i="20" l="1"/>
  <c r="I186" i="20" s="1"/>
  <c r="I109" i="20"/>
  <c r="N173" i="20"/>
  <c r="N174" i="20"/>
  <c r="I79" i="20"/>
  <c r="I80" i="20"/>
  <c r="G181" i="20"/>
  <c r="N109" i="20"/>
  <c r="R125" i="20"/>
  <c r="I197" i="20"/>
  <c r="I195" i="20"/>
  <c r="N125" i="20"/>
  <c r="L199" i="20"/>
  <c r="L211" i="20"/>
  <c r="L198" i="20"/>
  <c r="I181" i="20"/>
  <c r="I196" i="20"/>
  <c r="G178" i="20"/>
  <c r="L197" i="20"/>
  <c r="F235" i="20"/>
  <c r="L27" i="20"/>
  <c r="P78" i="20"/>
  <c r="P79" i="20" s="1"/>
  <c r="P80" i="20" s="1"/>
  <c r="I199" i="20"/>
  <c r="I198" i="20"/>
  <c r="I211" i="20" s="1"/>
  <c r="N245" i="20" s="1"/>
  <c r="G199" i="20"/>
  <c r="H235" i="20"/>
  <c r="M298" i="20"/>
  <c r="L178" i="20"/>
  <c r="G184" i="20"/>
  <c r="G186" i="20" s="1"/>
  <c r="G197" i="20" s="1"/>
  <c r="G198" i="20"/>
  <c r="F234" i="20"/>
  <c r="F237" i="20"/>
  <c r="K295" i="20"/>
  <c r="O295" i="20" s="1"/>
  <c r="G79" i="20"/>
  <c r="G80" i="20" s="1"/>
  <c r="F230" i="19"/>
  <c r="I178" i="19"/>
  <c r="F178" i="19"/>
  <c r="I176" i="19"/>
  <c r="F176" i="19"/>
  <c r="J154" i="19"/>
  <c r="G154" i="19"/>
  <c r="J153" i="19"/>
  <c r="G153" i="19"/>
  <c r="J136" i="19"/>
  <c r="G136" i="19"/>
  <c r="J118" i="19"/>
  <c r="F175" i="19" s="1"/>
  <c r="G118" i="19"/>
  <c r="G107" i="19"/>
  <c r="G102" i="19"/>
  <c r="J99" i="19"/>
  <c r="G99" i="19"/>
  <c r="J95" i="19"/>
  <c r="G95" i="19"/>
  <c r="J93" i="19"/>
  <c r="J94" i="19" s="1"/>
  <c r="J133" i="19" s="1"/>
  <c r="J89" i="19"/>
  <c r="G89" i="19"/>
  <c r="J81" i="19"/>
  <c r="G80" i="19"/>
  <c r="G81" i="19" s="1"/>
  <c r="K56" i="19"/>
  <c r="J56" i="19" s="1"/>
  <c r="I56" i="19"/>
  <c r="M55" i="19"/>
  <c r="L55" i="19"/>
  <c r="K48" i="19"/>
  <c r="I48" i="19"/>
  <c r="J48" i="19" s="1"/>
  <c r="M47" i="19"/>
  <c r="M39" i="19" s="1"/>
  <c r="L47" i="19"/>
  <c r="M40" i="19"/>
  <c r="L40" i="19"/>
  <c r="I40" i="19"/>
  <c r="E40" i="19"/>
  <c r="C40" i="19"/>
  <c r="L39" i="19"/>
  <c r="K39" i="19"/>
  <c r="J39" i="19"/>
  <c r="I39" i="19"/>
  <c r="G39" i="19"/>
  <c r="F39" i="19"/>
  <c r="M38" i="19"/>
  <c r="L38" i="19"/>
  <c r="J107" i="19" s="1"/>
  <c r="K38" i="19"/>
  <c r="J38" i="19"/>
  <c r="I38" i="19"/>
  <c r="G28" i="19"/>
  <c r="I26" i="19"/>
  <c r="E26" i="19"/>
  <c r="K25" i="19"/>
  <c r="G25" i="19" s="1"/>
  <c r="J102" i="19" s="1"/>
  <c r="E16" i="19"/>
  <c r="C16" i="19"/>
  <c r="G15" i="19"/>
  <c r="G14" i="19"/>
  <c r="F230" i="18"/>
  <c r="I178" i="18"/>
  <c r="F178" i="18"/>
  <c r="I176" i="18"/>
  <c r="F176" i="18"/>
  <c r="J154" i="18"/>
  <c r="G154" i="18"/>
  <c r="J153" i="18"/>
  <c r="G153" i="18"/>
  <c r="J136" i="18"/>
  <c r="G136" i="18"/>
  <c r="J118" i="18"/>
  <c r="F175" i="18" s="1"/>
  <c r="G118" i="18"/>
  <c r="G107" i="18"/>
  <c r="G102" i="18"/>
  <c r="J99" i="18"/>
  <c r="G99" i="18"/>
  <c r="J95" i="18"/>
  <c r="G95" i="18"/>
  <c r="G93" i="18" s="1"/>
  <c r="J93" i="18"/>
  <c r="J94" i="18" s="1"/>
  <c r="J133" i="18" s="1"/>
  <c r="J89" i="18"/>
  <c r="G89" i="18"/>
  <c r="J81" i="18"/>
  <c r="G80" i="18"/>
  <c r="G81" i="18" s="1"/>
  <c r="K56" i="18"/>
  <c r="J56" i="18" s="1"/>
  <c r="I56" i="18"/>
  <c r="M55" i="18"/>
  <c r="L55" i="18"/>
  <c r="K48" i="18"/>
  <c r="K40" i="18" s="1"/>
  <c r="I48" i="18"/>
  <c r="J48" i="18" s="1"/>
  <c r="M47" i="18"/>
  <c r="M39" i="18" s="1"/>
  <c r="L47" i="18"/>
  <c r="M40" i="18"/>
  <c r="L40" i="18"/>
  <c r="I40" i="18"/>
  <c r="E40" i="18"/>
  <c r="C40" i="18"/>
  <c r="L39" i="18"/>
  <c r="K39" i="18"/>
  <c r="J39" i="18"/>
  <c r="I39" i="18"/>
  <c r="G39" i="18"/>
  <c r="F39" i="18"/>
  <c r="M38" i="18"/>
  <c r="L38" i="18"/>
  <c r="J107" i="18" s="1"/>
  <c r="K38" i="18"/>
  <c r="J38" i="18"/>
  <c r="I38" i="18"/>
  <c r="G28" i="18"/>
  <c r="I26" i="18"/>
  <c r="E26" i="18"/>
  <c r="K25" i="18"/>
  <c r="G25" i="18" s="1"/>
  <c r="E16" i="18"/>
  <c r="C16" i="18"/>
  <c r="G15" i="18"/>
  <c r="G14" i="18"/>
  <c r="F230" i="17"/>
  <c r="I178" i="17"/>
  <c r="F178" i="17"/>
  <c r="I176" i="17"/>
  <c r="F176" i="17"/>
  <c r="F175" i="17"/>
  <c r="J154" i="17"/>
  <c r="G154" i="17"/>
  <c r="J153" i="17"/>
  <c r="G153" i="17"/>
  <c r="J136" i="17"/>
  <c r="G136" i="17"/>
  <c r="J118" i="17"/>
  <c r="G118" i="17"/>
  <c r="G107" i="17"/>
  <c r="G102" i="17"/>
  <c r="J99" i="17"/>
  <c r="G99" i="17"/>
  <c r="J95" i="17"/>
  <c r="J93" i="17" s="1"/>
  <c r="J94" i="17" s="1"/>
  <c r="J133" i="17" s="1"/>
  <c r="G95" i="17"/>
  <c r="G93" i="17" s="1"/>
  <c r="J89" i="17"/>
  <c r="G89" i="17"/>
  <c r="J81" i="17"/>
  <c r="G80" i="17"/>
  <c r="G81" i="17" s="1"/>
  <c r="K56" i="17"/>
  <c r="J56" i="17"/>
  <c r="I56" i="17"/>
  <c r="M55" i="17"/>
  <c r="L55" i="17"/>
  <c r="K48" i="17"/>
  <c r="J48" i="17" s="1"/>
  <c r="J40" i="17" s="1"/>
  <c r="I48" i="17"/>
  <c r="M47" i="17"/>
  <c r="M39" i="17" s="1"/>
  <c r="L47" i="17"/>
  <c r="L39" i="17" s="1"/>
  <c r="M40" i="17"/>
  <c r="L40" i="17"/>
  <c r="I40" i="17"/>
  <c r="E40" i="17"/>
  <c r="C40" i="17"/>
  <c r="D40" i="17" s="1"/>
  <c r="K39" i="17"/>
  <c r="J39" i="17"/>
  <c r="I39" i="17"/>
  <c r="G39" i="17"/>
  <c r="F39" i="17"/>
  <c r="M38" i="17"/>
  <c r="L38" i="17"/>
  <c r="K38" i="17"/>
  <c r="J38" i="17"/>
  <c r="I38" i="17"/>
  <c r="G28" i="17"/>
  <c r="I26" i="17"/>
  <c r="E26" i="17"/>
  <c r="K25" i="17"/>
  <c r="K26" i="17" s="1"/>
  <c r="G25" i="17"/>
  <c r="G16" i="17"/>
  <c r="E16" i="17"/>
  <c r="C16" i="17"/>
  <c r="G15" i="17"/>
  <c r="G14" i="17"/>
  <c r="G17" i="17" s="1"/>
  <c r="F228" i="16"/>
  <c r="I174" i="16"/>
  <c r="F174" i="16"/>
  <c r="J152" i="16"/>
  <c r="G152" i="16"/>
  <c r="J151" i="16"/>
  <c r="G151" i="16"/>
  <c r="J134" i="16"/>
  <c r="G134" i="16"/>
  <c r="J116" i="16"/>
  <c r="G116" i="16"/>
  <c r="I173" i="16" s="1"/>
  <c r="G105" i="16"/>
  <c r="G100" i="16"/>
  <c r="J97" i="16"/>
  <c r="G97" i="16"/>
  <c r="J93" i="16"/>
  <c r="J91" i="16" s="1"/>
  <c r="G93" i="16"/>
  <c r="J87" i="16"/>
  <c r="G87" i="16"/>
  <c r="J79" i="16"/>
  <c r="G79" i="16"/>
  <c r="G78" i="16"/>
  <c r="K54" i="16"/>
  <c r="I54" i="16"/>
  <c r="J54" i="16" s="1"/>
  <c r="M53" i="16"/>
  <c r="L53" i="16"/>
  <c r="K46" i="16"/>
  <c r="K38" i="16" s="1"/>
  <c r="I46" i="16"/>
  <c r="I38" i="16" s="1"/>
  <c r="M45" i="16"/>
  <c r="L45" i="16"/>
  <c r="L37" i="16" s="1"/>
  <c r="M38" i="16"/>
  <c r="L38" i="16"/>
  <c r="E38" i="16"/>
  <c r="C38" i="16"/>
  <c r="D38" i="16" s="1"/>
  <c r="M37" i="16"/>
  <c r="K37" i="16"/>
  <c r="J37" i="16"/>
  <c r="I37" i="16"/>
  <c r="G37" i="16"/>
  <c r="F37" i="16"/>
  <c r="M36" i="16"/>
  <c r="L36" i="16"/>
  <c r="K36" i="16"/>
  <c r="J36" i="16"/>
  <c r="I36" i="16"/>
  <c r="G26" i="16"/>
  <c r="I24" i="16"/>
  <c r="E24" i="16"/>
  <c r="K23" i="16"/>
  <c r="K24" i="16" s="1"/>
  <c r="G23" i="16"/>
  <c r="J100" i="16" s="1"/>
  <c r="G14" i="16"/>
  <c r="E14" i="16"/>
  <c r="C14" i="16"/>
  <c r="G13" i="16"/>
  <c r="G12" i="16"/>
  <c r="G15" i="16" s="1"/>
  <c r="G211" i="20" l="1"/>
  <c r="L245" i="20" s="1"/>
  <c r="I194" i="20"/>
  <c r="G245" i="20"/>
  <c r="I215" i="20"/>
  <c r="N225" i="20" s="1"/>
  <c r="L196" i="20"/>
  <c r="L181" i="20"/>
  <c r="P129" i="20"/>
  <c r="P130" i="20" s="1"/>
  <c r="P131" i="20" s="1"/>
  <c r="R129" i="20"/>
  <c r="R130" i="20" s="1"/>
  <c r="R131" i="20" s="1"/>
  <c r="N196" i="20"/>
  <c r="N181" i="20"/>
  <c r="L215" i="20"/>
  <c r="G225" i="20" s="1"/>
  <c r="G196" i="20"/>
  <c r="I212" i="20"/>
  <c r="I216" i="20" s="1"/>
  <c r="L129" i="20"/>
  <c r="L130" i="20" s="1"/>
  <c r="L131" i="20" s="1"/>
  <c r="J129" i="20"/>
  <c r="J130" i="20" s="1"/>
  <c r="N129" i="20"/>
  <c r="N130" i="20" s="1"/>
  <c r="N131" i="20" s="1"/>
  <c r="G195" i="20"/>
  <c r="N197" i="20"/>
  <c r="N195" i="20"/>
  <c r="G16" i="19"/>
  <c r="J40" i="19"/>
  <c r="G93" i="19"/>
  <c r="G94" i="19" s="1"/>
  <c r="G133" i="19" s="1"/>
  <c r="G17" i="19"/>
  <c r="G234" i="19" s="1"/>
  <c r="K40" i="19"/>
  <c r="G16" i="18"/>
  <c r="J40" i="18"/>
  <c r="G17" i="18"/>
  <c r="G234" i="18" s="1"/>
  <c r="J102" i="18"/>
  <c r="G26" i="17"/>
  <c r="J46" i="16"/>
  <c r="G24" i="16"/>
  <c r="J38" i="16"/>
  <c r="G130" i="19"/>
  <c r="G132" i="19" s="1"/>
  <c r="K26" i="19"/>
  <c r="G26" i="19" s="1"/>
  <c r="J130" i="19"/>
  <c r="J132" i="19" s="1"/>
  <c r="D40" i="19"/>
  <c r="I175" i="19"/>
  <c r="G94" i="18"/>
  <c r="G133" i="18" s="1"/>
  <c r="G130" i="18"/>
  <c r="G132" i="18" s="1"/>
  <c r="K26" i="18"/>
  <c r="G26" i="18" s="1"/>
  <c r="J130" i="18"/>
  <c r="J132" i="18" s="1"/>
  <c r="D40" i="18"/>
  <c r="I175" i="18"/>
  <c r="J225" i="17"/>
  <c r="G234" i="17" s="1"/>
  <c r="G130" i="17"/>
  <c r="G132" i="17" s="1"/>
  <c r="G94" i="17"/>
  <c r="G133" i="17" s="1"/>
  <c r="K40" i="17"/>
  <c r="J107" i="17"/>
  <c r="I175" i="17"/>
  <c r="J130" i="17"/>
  <c r="J132" i="17" s="1"/>
  <c r="J102" i="17"/>
  <c r="J223" i="16"/>
  <c r="G232" i="16" s="1"/>
  <c r="J92" i="16"/>
  <c r="J131" i="16" s="1"/>
  <c r="J128" i="16"/>
  <c r="J130" i="16" s="1"/>
  <c r="J105" i="16"/>
  <c r="G91" i="16"/>
  <c r="F173" i="16"/>
  <c r="L134" i="20" l="1"/>
  <c r="L141" i="20" s="1"/>
  <c r="L149" i="20" s="1"/>
  <c r="L135" i="20"/>
  <c r="L142" i="20" s="1"/>
  <c r="L150" i="20" s="1"/>
  <c r="L136" i="20"/>
  <c r="L143" i="20" s="1"/>
  <c r="L151" i="20" s="1"/>
  <c r="L132" i="20"/>
  <c r="L139" i="20" s="1"/>
  <c r="L147" i="20" s="1"/>
  <c r="L133" i="20"/>
  <c r="L140" i="20" s="1"/>
  <c r="L148" i="20" s="1"/>
  <c r="G246" i="20"/>
  <c r="N246" i="20"/>
  <c r="G194" i="20"/>
  <c r="N226" i="20"/>
  <c r="R136" i="20"/>
  <c r="R143" i="20" s="1"/>
  <c r="R151" i="20" s="1"/>
  <c r="R132" i="20"/>
  <c r="R139" i="20" s="1"/>
  <c r="R147" i="20" s="1"/>
  <c r="R133" i="20"/>
  <c r="R140" i="20" s="1"/>
  <c r="R148" i="20" s="1"/>
  <c r="R134" i="20"/>
  <c r="R141" i="20" s="1"/>
  <c r="R149" i="20" s="1"/>
  <c r="R135" i="20"/>
  <c r="R142" i="20" s="1"/>
  <c r="R150" i="20" s="1"/>
  <c r="N194" i="20"/>
  <c r="N136" i="20"/>
  <c r="N143" i="20" s="1"/>
  <c r="N151" i="20" s="1"/>
  <c r="N135" i="20"/>
  <c r="N142" i="20" s="1"/>
  <c r="N150" i="20" s="1"/>
  <c r="N134" i="20"/>
  <c r="N141" i="20" s="1"/>
  <c r="N149" i="20" s="1"/>
  <c r="N133" i="20"/>
  <c r="N140" i="20" s="1"/>
  <c r="N148" i="20" s="1"/>
  <c r="N132" i="20"/>
  <c r="N139" i="20" s="1"/>
  <c r="N147" i="20" s="1"/>
  <c r="N152" i="20" s="1"/>
  <c r="P135" i="20"/>
  <c r="P142" i="20" s="1"/>
  <c r="P150" i="20" s="1"/>
  <c r="P136" i="20"/>
  <c r="P143" i="20" s="1"/>
  <c r="P151" i="20" s="1"/>
  <c r="P132" i="20"/>
  <c r="P139" i="20" s="1"/>
  <c r="P147" i="20" s="1"/>
  <c r="P133" i="20"/>
  <c r="P140" i="20" s="1"/>
  <c r="P148" i="20" s="1"/>
  <c r="P134" i="20"/>
  <c r="P141" i="20" s="1"/>
  <c r="P149" i="20" s="1"/>
  <c r="L194" i="20"/>
  <c r="G215" i="20"/>
  <c r="L225" i="20" s="1"/>
  <c r="N211" i="20"/>
  <c r="I245" i="20" s="1"/>
  <c r="G212" i="20"/>
  <c r="G216" i="20" s="1"/>
  <c r="L226" i="20" s="1"/>
  <c r="N212" i="20"/>
  <c r="N216" i="20" s="1"/>
  <c r="L212" i="20"/>
  <c r="L216" i="20" s="1"/>
  <c r="G226" i="20" s="1"/>
  <c r="G92" i="16"/>
  <c r="G131" i="16" s="1"/>
  <c r="G128" i="16"/>
  <c r="G130" i="16" s="1"/>
  <c r="L228" i="20" l="1"/>
  <c r="K238" i="20"/>
  <c r="K242" i="20" s="1"/>
  <c r="P152" i="20"/>
  <c r="N238" i="20"/>
  <c r="N251" i="20"/>
  <c r="M238" i="20"/>
  <c r="M242" i="20" s="1"/>
  <c r="N228" i="20"/>
  <c r="N154" i="20"/>
  <c r="N153" i="20"/>
  <c r="F238" i="20"/>
  <c r="F242" i="20" s="1"/>
  <c r="G251" i="20"/>
  <c r="G228" i="20"/>
  <c r="L246" i="20"/>
  <c r="L251" i="20" s="1"/>
  <c r="R152" i="20"/>
  <c r="L152" i="20"/>
  <c r="N215" i="20"/>
  <c r="I225" i="20" s="1"/>
  <c r="J360" i="13"/>
  <c r="Q322" i="13"/>
  <c r="N322" i="13"/>
  <c r="J322" i="13"/>
  <c r="G322" i="13"/>
  <c r="L298" i="13"/>
  <c r="K298" i="13"/>
  <c r="L296" i="13"/>
  <c r="K296" i="13"/>
  <c r="K297" i="13" s="1"/>
  <c r="E295" i="13"/>
  <c r="L294" i="13"/>
  <c r="K294" i="13"/>
  <c r="K295" i="13" s="1"/>
  <c r="O295" i="13" s="1"/>
  <c r="L293" i="13"/>
  <c r="K293" i="13"/>
  <c r="N275" i="13"/>
  <c r="L275" i="13"/>
  <c r="N270" i="13"/>
  <c r="N269" i="13"/>
  <c r="L269" i="13"/>
  <c r="N268" i="13"/>
  <c r="L268" i="13"/>
  <c r="M234" i="13"/>
  <c r="N220" i="13"/>
  <c r="L220" i="13"/>
  <c r="I220" i="13"/>
  <c r="G220" i="13"/>
  <c r="N219" i="13"/>
  <c r="L219" i="13"/>
  <c r="I219" i="13"/>
  <c r="G219" i="13"/>
  <c r="N204" i="13"/>
  <c r="N208" i="13" s="1"/>
  <c r="L204" i="13"/>
  <c r="L208" i="13" s="1"/>
  <c r="I204" i="13"/>
  <c r="I208" i="13" s="1"/>
  <c r="G204" i="13"/>
  <c r="G208" i="13" s="1"/>
  <c r="N203" i="13"/>
  <c r="N207" i="13" s="1"/>
  <c r="L203" i="13"/>
  <c r="L207" i="13" s="1"/>
  <c r="I203" i="13"/>
  <c r="I207" i="13" s="1"/>
  <c r="G203" i="13"/>
  <c r="G207" i="13" s="1"/>
  <c r="L190" i="13"/>
  <c r="N189" i="13"/>
  <c r="N190" i="13" s="1"/>
  <c r="L189" i="13"/>
  <c r="I189" i="13"/>
  <c r="I190" i="13" s="1"/>
  <c r="G189" i="13"/>
  <c r="G190" i="13" s="1"/>
  <c r="N176" i="13"/>
  <c r="H237" i="13" s="1"/>
  <c r="L176" i="13"/>
  <c r="L179" i="13" s="1"/>
  <c r="I176" i="13"/>
  <c r="G176" i="13"/>
  <c r="G179" i="13" s="1"/>
  <c r="I175" i="13"/>
  <c r="N172" i="13"/>
  <c r="N175" i="13" s="1"/>
  <c r="L172" i="13"/>
  <c r="I172" i="13"/>
  <c r="G172" i="13"/>
  <c r="N170" i="13"/>
  <c r="L170" i="13"/>
  <c r="I170" i="13"/>
  <c r="G170" i="13"/>
  <c r="N169" i="13"/>
  <c r="L169" i="13"/>
  <c r="I169" i="13"/>
  <c r="G169" i="13"/>
  <c r="N168" i="13"/>
  <c r="L168" i="13"/>
  <c r="I168" i="13"/>
  <c r="G168" i="13"/>
  <c r="N167" i="13"/>
  <c r="H235" i="13" s="1"/>
  <c r="L167" i="13"/>
  <c r="I167" i="13"/>
  <c r="M235" i="13" s="1"/>
  <c r="G167" i="13"/>
  <c r="N166" i="13"/>
  <c r="L166" i="13"/>
  <c r="I166" i="13"/>
  <c r="G166" i="13"/>
  <c r="R128" i="13"/>
  <c r="P128" i="13"/>
  <c r="N128" i="13"/>
  <c r="L128" i="13"/>
  <c r="J128" i="13"/>
  <c r="R122" i="13"/>
  <c r="R121" i="13"/>
  <c r="N121" i="13"/>
  <c r="N120" i="13"/>
  <c r="N119" i="13"/>
  <c r="R108" i="13"/>
  <c r="P108" i="13"/>
  <c r="N108" i="13"/>
  <c r="N187" i="13" s="1"/>
  <c r="L108" i="13"/>
  <c r="L187" i="13" s="1"/>
  <c r="I108" i="13"/>
  <c r="I187" i="13" s="1"/>
  <c r="G108" i="13"/>
  <c r="G187" i="13" s="1"/>
  <c r="R107" i="13"/>
  <c r="P107" i="13"/>
  <c r="N107" i="13"/>
  <c r="L107" i="13"/>
  <c r="L109" i="13" s="1"/>
  <c r="I107" i="13"/>
  <c r="G107" i="13"/>
  <c r="R106" i="13"/>
  <c r="P106" i="13"/>
  <c r="N106" i="13"/>
  <c r="N184" i="13" s="1"/>
  <c r="N186" i="13" s="1"/>
  <c r="L106" i="13"/>
  <c r="L184" i="13" s="1"/>
  <c r="L186" i="13" s="1"/>
  <c r="I106" i="13"/>
  <c r="I184" i="13" s="1"/>
  <c r="I186" i="13" s="1"/>
  <c r="G106" i="13"/>
  <c r="G184" i="13" s="1"/>
  <c r="G186" i="13" s="1"/>
  <c r="R105" i="13"/>
  <c r="P105" i="13"/>
  <c r="N105" i="13"/>
  <c r="L105" i="13"/>
  <c r="I105" i="13"/>
  <c r="G105" i="13"/>
  <c r="R104" i="13"/>
  <c r="P104" i="13"/>
  <c r="P109" i="13" s="1"/>
  <c r="N104" i="13"/>
  <c r="L104" i="13"/>
  <c r="I104" i="13"/>
  <c r="G104" i="13"/>
  <c r="G109" i="13" s="1"/>
  <c r="R89" i="13"/>
  <c r="P89" i="13"/>
  <c r="N89" i="13"/>
  <c r="L89" i="13"/>
  <c r="I89" i="13"/>
  <c r="G89" i="13"/>
  <c r="L78" i="13"/>
  <c r="I78" i="13"/>
  <c r="G78" i="13"/>
  <c r="P77" i="13"/>
  <c r="L77" i="13"/>
  <c r="I77" i="13"/>
  <c r="G77" i="13"/>
  <c r="R54" i="13"/>
  <c r="P54" i="13"/>
  <c r="N54" i="13"/>
  <c r="L54" i="13"/>
  <c r="L177" i="13" s="1"/>
  <c r="I54" i="13"/>
  <c r="G54" i="13"/>
  <c r="L28" i="13"/>
  <c r="G28" i="13"/>
  <c r="J27" i="13"/>
  <c r="R119" i="13" s="1"/>
  <c r="G27" i="13"/>
  <c r="L26" i="13"/>
  <c r="G26" i="13"/>
  <c r="J25" i="13"/>
  <c r="R120" i="13" s="1"/>
  <c r="G25" i="13"/>
  <c r="E15" i="13"/>
  <c r="E12" i="13" s="1"/>
  <c r="D15" i="13"/>
  <c r="D12" i="13" s="1"/>
  <c r="C15" i="13"/>
  <c r="P12" i="13"/>
  <c r="Q12" i="13" s="1"/>
  <c r="N12" i="13"/>
  <c r="M12" i="13"/>
  <c r="L12" i="13"/>
  <c r="K12" i="13"/>
  <c r="H12" i="13"/>
  <c r="I12" i="13" s="1"/>
  <c r="C12" i="13"/>
  <c r="L240" i="20" l="1"/>
  <c r="K240" i="20"/>
  <c r="L262" i="20"/>
  <c r="L256" i="20"/>
  <c r="L253" i="20"/>
  <c r="L252" i="20" s="1"/>
  <c r="L250" i="20" s="1"/>
  <c r="I246" i="20"/>
  <c r="G229" i="20"/>
  <c r="G234" i="20"/>
  <c r="G235" i="20"/>
  <c r="G237" i="20"/>
  <c r="N240" i="20"/>
  <c r="M240" i="20"/>
  <c r="N262" i="20"/>
  <c r="N256" i="20"/>
  <c r="N253" i="20"/>
  <c r="N252" i="20" s="1"/>
  <c r="N250" i="20" s="1"/>
  <c r="L229" i="20"/>
  <c r="L234" i="20"/>
  <c r="L242" i="20" s="1"/>
  <c r="L235" i="20"/>
  <c r="L237" i="20"/>
  <c r="L153" i="20"/>
  <c r="L154" i="20"/>
  <c r="R153" i="20"/>
  <c r="R154" i="20"/>
  <c r="G261" i="20"/>
  <c r="G240" i="20"/>
  <c r="F240" i="20" s="1"/>
  <c r="G253" i="20"/>
  <c r="G252" i="20" s="1"/>
  <c r="G250" i="20" s="1"/>
  <c r="G262" i="20"/>
  <c r="G256" i="20"/>
  <c r="L238" i="20"/>
  <c r="N235" i="20"/>
  <c r="N229" i="20"/>
  <c r="N234" i="20"/>
  <c r="N242" i="20" s="1"/>
  <c r="N237" i="20"/>
  <c r="P153" i="20"/>
  <c r="P154" i="20"/>
  <c r="G238" i="20"/>
  <c r="I226" i="20"/>
  <c r="N173" i="13"/>
  <c r="I109" i="13"/>
  <c r="R109" i="13"/>
  <c r="N109" i="13"/>
  <c r="R123" i="13"/>
  <c r="R124" i="13" s="1"/>
  <c r="L25" i="13"/>
  <c r="I174" i="13"/>
  <c r="M296" i="13"/>
  <c r="L195" i="13"/>
  <c r="N197" i="13"/>
  <c r="N195" i="13"/>
  <c r="J361" i="13"/>
  <c r="G199" i="13"/>
  <c r="G198" i="13"/>
  <c r="R125" i="13"/>
  <c r="I196" i="13"/>
  <c r="N199" i="13"/>
  <c r="N198" i="13"/>
  <c r="N211" i="13" s="1"/>
  <c r="I245" i="13" s="1"/>
  <c r="L198" i="13"/>
  <c r="L199" i="13"/>
  <c r="N174" i="13"/>
  <c r="L27" i="13"/>
  <c r="K235" i="13"/>
  <c r="K237" i="13"/>
  <c r="I173" i="13"/>
  <c r="L197" i="13"/>
  <c r="M237" i="13"/>
  <c r="G79" i="13"/>
  <c r="G80" i="13" s="1"/>
  <c r="N122" i="13"/>
  <c r="N123" i="13" s="1"/>
  <c r="N124" i="13" s="1"/>
  <c r="N125" i="13" s="1"/>
  <c r="J366" i="13"/>
  <c r="J362" i="13"/>
  <c r="J364" i="13" s="1"/>
  <c r="G178" i="13"/>
  <c r="L79" i="13"/>
  <c r="L80" i="13" s="1"/>
  <c r="P78" i="13"/>
  <c r="P79" i="13" s="1"/>
  <c r="P80" i="13" s="1"/>
  <c r="K234" i="13"/>
  <c r="I199" i="13"/>
  <c r="I198" i="13"/>
  <c r="L178" i="13"/>
  <c r="L181" i="13" s="1"/>
  <c r="I79" i="13"/>
  <c r="I80" i="13" s="1"/>
  <c r="F234" i="13"/>
  <c r="F235" i="13"/>
  <c r="F237" i="13"/>
  <c r="G177" i="13"/>
  <c r="H234" i="13"/>
  <c r="M293" i="13"/>
  <c r="O294" i="13"/>
  <c r="L281" i="13" s="1"/>
  <c r="M294" i="13"/>
  <c r="M298" i="13"/>
  <c r="M239" i="20" l="1"/>
  <c r="N249" i="20"/>
  <c r="N239" i="20"/>
  <c r="N241" i="20" s="1"/>
  <c r="M241" i="20" s="1"/>
  <c r="N261" i="20"/>
  <c r="G242" i="20"/>
  <c r="L249" i="20"/>
  <c r="L239" i="20"/>
  <c r="L241" i="20" s="1"/>
  <c r="K241" i="20" s="1"/>
  <c r="K239" i="20"/>
  <c r="I251" i="20"/>
  <c r="I238" i="20"/>
  <c r="H238" i="20"/>
  <c r="H242" i="20" s="1"/>
  <c r="I228" i="20"/>
  <c r="G239" i="20"/>
  <c r="F239" i="20" s="1"/>
  <c r="G249" i="20"/>
  <c r="L261" i="20"/>
  <c r="G181" i="13"/>
  <c r="J129" i="13"/>
  <c r="J130" i="13" s="1"/>
  <c r="L129" i="13"/>
  <c r="L130" i="13" s="1"/>
  <c r="L131" i="13" s="1"/>
  <c r="N129" i="13"/>
  <c r="N130" i="13" s="1"/>
  <c r="N131" i="13" s="1"/>
  <c r="N196" i="13"/>
  <c r="N181" i="13"/>
  <c r="R129" i="13"/>
  <c r="R130" i="13" s="1"/>
  <c r="R131" i="13" s="1"/>
  <c r="P129" i="13"/>
  <c r="P130" i="13" s="1"/>
  <c r="P131" i="13" s="1"/>
  <c r="L196" i="13"/>
  <c r="L212" i="13"/>
  <c r="L216" i="13" s="1"/>
  <c r="I197" i="13"/>
  <c r="I195" i="13"/>
  <c r="I181" i="13"/>
  <c r="N194" i="13"/>
  <c r="L211" i="13"/>
  <c r="G245" i="13" s="1"/>
  <c r="J363" i="13"/>
  <c r="J365" i="13" s="1"/>
  <c r="G197" i="13"/>
  <c r="G195" i="13"/>
  <c r="J367" i="13"/>
  <c r="G196" i="13"/>
  <c r="N215" i="13"/>
  <c r="I225" i="13" s="1"/>
  <c r="J361" i="9"/>
  <c r="L258" i="20" l="1"/>
  <c r="L257" i="20"/>
  <c r="L255" i="20"/>
  <c r="N258" i="20"/>
  <c r="N255" i="20"/>
  <c r="N257" i="20"/>
  <c r="I240" i="20"/>
  <c r="H240" i="20" s="1"/>
  <c r="I256" i="20"/>
  <c r="I253" i="20"/>
  <c r="I252" i="20" s="1"/>
  <c r="I250" i="20" s="1"/>
  <c r="G257" i="20"/>
  <c r="G258" i="20"/>
  <c r="G255" i="20"/>
  <c r="I229" i="20"/>
  <c r="I237" i="20"/>
  <c r="I234" i="20"/>
  <c r="I235" i="20"/>
  <c r="G241" i="20"/>
  <c r="F241" i="20" s="1"/>
  <c r="G211" i="13"/>
  <c r="L245" i="13" s="1"/>
  <c r="L194" i="13"/>
  <c r="R135" i="13"/>
  <c r="R142" i="13" s="1"/>
  <c r="R150" i="13" s="1"/>
  <c r="R132" i="13"/>
  <c r="R139" i="13" s="1"/>
  <c r="R147" i="13" s="1"/>
  <c r="R136" i="13"/>
  <c r="R143" i="13" s="1"/>
  <c r="R151" i="13" s="1"/>
  <c r="R134" i="13"/>
  <c r="R141" i="13" s="1"/>
  <c r="R149" i="13" s="1"/>
  <c r="R133" i="13"/>
  <c r="R140" i="13" s="1"/>
  <c r="R148" i="13" s="1"/>
  <c r="I194" i="13"/>
  <c r="N212" i="13"/>
  <c r="N216" i="13" s="1"/>
  <c r="I226" i="13" s="1"/>
  <c r="L135" i="13"/>
  <c r="L142" i="13" s="1"/>
  <c r="L150" i="13" s="1"/>
  <c r="L132" i="13"/>
  <c r="L139" i="13" s="1"/>
  <c r="L147" i="13" s="1"/>
  <c r="L136" i="13"/>
  <c r="L143" i="13" s="1"/>
  <c r="L151" i="13" s="1"/>
  <c r="L134" i="13"/>
  <c r="L141" i="13" s="1"/>
  <c r="L149" i="13" s="1"/>
  <c r="L133" i="13"/>
  <c r="L140" i="13" s="1"/>
  <c r="L148" i="13" s="1"/>
  <c r="P136" i="13"/>
  <c r="P143" i="13" s="1"/>
  <c r="P151" i="13" s="1"/>
  <c r="P135" i="13"/>
  <c r="P142" i="13" s="1"/>
  <c r="P150" i="13" s="1"/>
  <c r="P134" i="13"/>
  <c r="P141" i="13" s="1"/>
  <c r="P149" i="13" s="1"/>
  <c r="P133" i="13"/>
  <c r="P140" i="13" s="1"/>
  <c r="P148" i="13" s="1"/>
  <c r="P132" i="13"/>
  <c r="P139" i="13" s="1"/>
  <c r="P147" i="13" s="1"/>
  <c r="G212" i="13"/>
  <c r="G216" i="13" s="1"/>
  <c r="N136" i="13"/>
  <c r="N143" i="13" s="1"/>
  <c r="N151" i="13" s="1"/>
  <c r="N135" i="13"/>
  <c r="N142" i="13" s="1"/>
  <c r="N150" i="13" s="1"/>
  <c r="N134" i="13"/>
  <c r="N141" i="13" s="1"/>
  <c r="N149" i="13" s="1"/>
  <c r="N133" i="13"/>
  <c r="N140" i="13" s="1"/>
  <c r="N148" i="13" s="1"/>
  <c r="N132" i="13"/>
  <c r="N139" i="13" s="1"/>
  <c r="N147" i="13" s="1"/>
  <c r="G194" i="13"/>
  <c r="L215" i="13"/>
  <c r="G225" i="13" s="1"/>
  <c r="I211" i="13"/>
  <c r="N245" i="13" s="1"/>
  <c r="I212" i="13"/>
  <c r="I216" i="13" s="1"/>
  <c r="I239" i="20" l="1"/>
  <c r="H239" i="20" s="1"/>
  <c r="I249" i="20"/>
  <c r="I242" i="20"/>
  <c r="I262" i="20"/>
  <c r="I261" i="20"/>
  <c r="I241" i="20"/>
  <c r="H241" i="20" s="1"/>
  <c r="N152" i="13"/>
  <c r="I215" i="13"/>
  <c r="N225" i="13" s="1"/>
  <c r="P152" i="13"/>
  <c r="P154" i="13" s="1"/>
  <c r="N154" i="13"/>
  <c r="N153" i="13"/>
  <c r="G246" i="13"/>
  <c r="R152" i="13"/>
  <c r="N226" i="13"/>
  <c r="I246" i="13"/>
  <c r="I251" i="13" s="1"/>
  <c r="N246" i="13"/>
  <c r="H238" i="13"/>
  <c r="H242" i="13" s="1"/>
  <c r="I228" i="13"/>
  <c r="G215" i="13"/>
  <c r="L225" i="13" s="1"/>
  <c r="G226" i="13"/>
  <c r="L152" i="13"/>
  <c r="I255" i="20" l="1"/>
  <c r="I258" i="20"/>
  <c r="I257" i="20"/>
  <c r="P153" i="13"/>
  <c r="I240" i="13"/>
  <c r="H240" i="13" s="1"/>
  <c r="I256" i="13"/>
  <c r="I253" i="13"/>
  <c r="I252" i="13" s="1"/>
  <c r="I250" i="13" s="1"/>
  <c r="N251" i="13"/>
  <c r="M238" i="13"/>
  <c r="M242" i="13" s="1"/>
  <c r="N228" i="13"/>
  <c r="N238" i="13" s="1"/>
  <c r="L153" i="13"/>
  <c r="L154" i="13"/>
  <c r="I229" i="13"/>
  <c r="I237" i="13"/>
  <c r="I234" i="13"/>
  <c r="I235" i="13"/>
  <c r="R154" i="13"/>
  <c r="R153" i="13"/>
  <c r="L246" i="13"/>
  <c r="F238" i="13"/>
  <c r="F242" i="13" s="1"/>
  <c r="G251" i="13"/>
  <c r="G228" i="13"/>
  <c r="G238" i="13" s="1"/>
  <c r="I238" i="13"/>
  <c r="L226" i="13"/>
  <c r="I262" i="13" l="1"/>
  <c r="G229" i="13"/>
  <c r="G237" i="13"/>
  <c r="G234" i="13"/>
  <c r="G235" i="13"/>
  <c r="G240" i="13"/>
  <c r="F240" i="13" s="1"/>
  <c r="K367" i="13" s="1"/>
  <c r="G256" i="13"/>
  <c r="G253" i="13"/>
  <c r="G252" i="13" s="1"/>
  <c r="G250" i="13" s="1"/>
  <c r="I242" i="13"/>
  <c r="N240" i="13"/>
  <c r="M240" i="13"/>
  <c r="N262" i="13"/>
  <c r="N256" i="13"/>
  <c r="N253" i="13"/>
  <c r="N252" i="13" s="1"/>
  <c r="N250" i="13" s="1"/>
  <c r="L251" i="13"/>
  <c r="K238" i="13"/>
  <c r="K242" i="13" s="1"/>
  <c r="L228" i="13"/>
  <c r="N229" i="13"/>
  <c r="N234" i="13"/>
  <c r="N237" i="13"/>
  <c r="N235" i="13"/>
  <c r="I249" i="13"/>
  <c r="I239" i="13"/>
  <c r="H239" i="13" s="1"/>
  <c r="I261" i="13"/>
  <c r="I258" i="13" l="1"/>
  <c r="I255" i="13"/>
  <c r="I257" i="13"/>
  <c r="L240" i="13"/>
  <c r="K240" i="13"/>
  <c r="L256" i="13"/>
  <c r="L253" i="13"/>
  <c r="L252" i="13" s="1"/>
  <c r="L250" i="13" s="1"/>
  <c r="L229" i="13"/>
  <c r="L235" i="13"/>
  <c r="L237" i="13"/>
  <c r="L234" i="13"/>
  <c r="G239" i="13"/>
  <c r="F239" i="13" s="1"/>
  <c r="G249" i="13"/>
  <c r="G261" i="13"/>
  <c r="N249" i="13"/>
  <c r="N239" i="13"/>
  <c r="N241" i="13" s="1"/>
  <c r="M241" i="13" s="1"/>
  <c r="M239" i="13"/>
  <c r="N242" i="13"/>
  <c r="L238" i="13"/>
  <c r="N261" i="13"/>
  <c r="G262" i="13"/>
  <c r="G242" i="13"/>
  <c r="I241" i="13"/>
  <c r="H241" i="13" s="1"/>
  <c r="L242" i="13" l="1"/>
  <c r="N255" i="13"/>
  <c r="N258" i="13"/>
  <c r="N257" i="13"/>
  <c r="G241" i="13"/>
  <c r="F241" i="13" s="1"/>
  <c r="L239" i="13"/>
  <c r="L241" i="13" s="1"/>
  <c r="K241" i="13" s="1"/>
  <c r="K239" i="13"/>
  <c r="L249" i="13"/>
  <c r="L261" i="13"/>
  <c r="K363" i="13"/>
  <c r="K362" i="13"/>
  <c r="G255" i="13"/>
  <c r="G258" i="13"/>
  <c r="G257" i="13"/>
  <c r="L262" i="13"/>
  <c r="K361" i="13" l="1"/>
  <c r="K365" i="13" s="1"/>
  <c r="K360" i="13"/>
  <c r="L257" i="13"/>
  <c r="L255" i="13"/>
  <c r="L258" i="13"/>
  <c r="K366" i="13" l="1"/>
  <c r="K364" i="13"/>
  <c r="L28" i="9" l="1"/>
  <c r="G28" i="9"/>
  <c r="J27" i="9"/>
  <c r="P78" i="9" s="1"/>
  <c r="G27" i="9"/>
  <c r="L26" i="9"/>
  <c r="G26" i="9"/>
  <c r="J25" i="9"/>
  <c r="R120" i="9" s="1"/>
  <c r="G25" i="9"/>
  <c r="E15" i="9"/>
  <c r="E12" i="9" s="1"/>
  <c r="D15" i="9"/>
  <c r="D12" i="9" s="1"/>
  <c r="C15" i="9"/>
  <c r="C12" i="9" s="1"/>
  <c r="P12" i="9"/>
  <c r="Q12" i="9" s="1"/>
  <c r="N12" i="9"/>
  <c r="M12" i="9"/>
  <c r="L12" i="9"/>
  <c r="K12" i="9"/>
  <c r="H12" i="9"/>
  <c r="I12" i="9" s="1"/>
  <c r="Q322" i="9"/>
  <c r="N322" i="9"/>
  <c r="J322" i="9"/>
  <c r="G322" i="9"/>
  <c r="L298" i="9"/>
  <c r="K298" i="9"/>
  <c r="L296" i="9"/>
  <c r="K296" i="9"/>
  <c r="K297" i="9" s="1"/>
  <c r="E295" i="9"/>
  <c r="L294" i="9"/>
  <c r="K294" i="9"/>
  <c r="L293" i="9"/>
  <c r="K293" i="9"/>
  <c r="N275" i="9"/>
  <c r="L275" i="9"/>
  <c r="N270" i="9"/>
  <c r="N269" i="9"/>
  <c r="L269" i="9"/>
  <c r="N268" i="9"/>
  <c r="L268" i="9"/>
  <c r="N220" i="9"/>
  <c r="L220" i="9"/>
  <c r="I220" i="9"/>
  <c r="G220" i="9"/>
  <c r="N219" i="9"/>
  <c r="L219" i="9"/>
  <c r="I219" i="9"/>
  <c r="G219" i="9"/>
  <c r="N204" i="9"/>
  <c r="N208" i="9" s="1"/>
  <c r="L204" i="9"/>
  <c r="L208" i="9" s="1"/>
  <c r="I204" i="9"/>
  <c r="I208" i="9" s="1"/>
  <c r="G204" i="9"/>
  <c r="G208" i="9" s="1"/>
  <c r="N203" i="9"/>
  <c r="N207" i="9" s="1"/>
  <c r="L203" i="9"/>
  <c r="L207" i="9" s="1"/>
  <c r="I203" i="9"/>
  <c r="I207" i="9" s="1"/>
  <c r="G203" i="9"/>
  <c r="G207" i="9" s="1"/>
  <c r="N189" i="9"/>
  <c r="N190" i="9" s="1"/>
  <c r="L189" i="9"/>
  <c r="I189" i="9"/>
  <c r="I190" i="9" s="1"/>
  <c r="G189" i="9"/>
  <c r="G190" i="9" s="1"/>
  <c r="N187" i="9"/>
  <c r="N176" i="9"/>
  <c r="H237" i="9" s="1"/>
  <c r="L176" i="9"/>
  <c r="L179" i="9" s="1"/>
  <c r="I176" i="9"/>
  <c r="G176" i="9"/>
  <c r="G179" i="9" s="1"/>
  <c r="J362" i="9" s="1"/>
  <c r="N172" i="9"/>
  <c r="N175" i="9" s="1"/>
  <c r="L172" i="9"/>
  <c r="I172" i="9"/>
  <c r="I175" i="9" s="1"/>
  <c r="G172" i="9"/>
  <c r="N170" i="9"/>
  <c r="L170" i="9"/>
  <c r="I170" i="9"/>
  <c r="G170" i="9"/>
  <c r="N169" i="9"/>
  <c r="L169" i="9"/>
  <c r="I169" i="9"/>
  <c r="G169" i="9"/>
  <c r="N168" i="9"/>
  <c r="L168" i="9"/>
  <c r="I168" i="9"/>
  <c r="G168" i="9"/>
  <c r="N167" i="9"/>
  <c r="H235" i="9" s="1"/>
  <c r="L167" i="9"/>
  <c r="I167" i="9"/>
  <c r="M235" i="9" s="1"/>
  <c r="G167" i="9"/>
  <c r="N166" i="9"/>
  <c r="H234" i="9" s="1"/>
  <c r="L166" i="9"/>
  <c r="I166" i="9"/>
  <c r="M234" i="9" s="1"/>
  <c r="G166" i="9"/>
  <c r="R128" i="9"/>
  <c r="P128" i="9"/>
  <c r="N128" i="9"/>
  <c r="L128" i="9"/>
  <c r="J128" i="9"/>
  <c r="R122" i="9"/>
  <c r="R121" i="9"/>
  <c r="N121" i="9"/>
  <c r="N122" i="9" s="1"/>
  <c r="N120" i="9"/>
  <c r="N119" i="9"/>
  <c r="R108" i="9"/>
  <c r="P108" i="9"/>
  <c r="N108" i="9"/>
  <c r="L108" i="9"/>
  <c r="L187" i="9" s="1"/>
  <c r="I108" i="9"/>
  <c r="I187" i="9" s="1"/>
  <c r="G108" i="9"/>
  <c r="G187" i="9" s="1"/>
  <c r="R107" i="9"/>
  <c r="P107" i="9"/>
  <c r="P109" i="9" s="1"/>
  <c r="N107" i="9"/>
  <c r="N109" i="9" s="1"/>
  <c r="L107" i="9"/>
  <c r="I107" i="9"/>
  <c r="G107" i="9"/>
  <c r="G109" i="9" s="1"/>
  <c r="R106" i="9"/>
  <c r="P106" i="9"/>
  <c r="N106" i="9"/>
  <c r="N184" i="9" s="1"/>
  <c r="N186" i="9" s="1"/>
  <c r="L106" i="9"/>
  <c r="L184" i="9" s="1"/>
  <c r="L186" i="9" s="1"/>
  <c r="I106" i="9"/>
  <c r="I184" i="9" s="1"/>
  <c r="I186" i="9" s="1"/>
  <c r="G106" i="9"/>
  <c r="G184" i="9" s="1"/>
  <c r="G186" i="9" s="1"/>
  <c r="R105" i="9"/>
  <c r="P105" i="9"/>
  <c r="N105" i="9"/>
  <c r="L105" i="9"/>
  <c r="I105" i="9"/>
  <c r="G105" i="9"/>
  <c r="R104" i="9"/>
  <c r="R109" i="9" s="1"/>
  <c r="P104" i="9"/>
  <c r="N104" i="9"/>
  <c r="L104" i="9"/>
  <c r="L109" i="9" s="1"/>
  <c r="I104" i="9"/>
  <c r="I109" i="9" s="1"/>
  <c r="G104" i="9"/>
  <c r="R89" i="9"/>
  <c r="P89" i="9"/>
  <c r="N89" i="9"/>
  <c r="L89" i="9"/>
  <c r="I89" i="9"/>
  <c r="G89" i="9"/>
  <c r="L78" i="9"/>
  <c r="I78" i="9"/>
  <c r="G78" i="9"/>
  <c r="P77" i="9"/>
  <c r="L77" i="9"/>
  <c r="I77" i="9"/>
  <c r="G77" i="9"/>
  <c r="R54" i="9"/>
  <c r="P54" i="9"/>
  <c r="N54" i="9"/>
  <c r="L54" i="9"/>
  <c r="I54" i="9"/>
  <c r="G54" i="9"/>
  <c r="L25" i="9" l="1"/>
  <c r="N173" i="9"/>
  <c r="J363" i="9"/>
  <c r="J365" i="9" s="1"/>
  <c r="J367" i="9"/>
  <c r="L198" i="9"/>
  <c r="I173" i="9"/>
  <c r="I197" i="9" s="1"/>
  <c r="L199" i="9"/>
  <c r="L178" i="9"/>
  <c r="L196" i="9" s="1"/>
  <c r="N199" i="9"/>
  <c r="G178" i="9"/>
  <c r="J368" i="9" s="1"/>
  <c r="N197" i="9"/>
  <c r="N174" i="9"/>
  <c r="N196" i="9" s="1"/>
  <c r="M296" i="9"/>
  <c r="R123" i="9"/>
  <c r="R124" i="9" s="1"/>
  <c r="R119" i="9"/>
  <c r="M293" i="9"/>
  <c r="L27" i="9"/>
  <c r="N123" i="9"/>
  <c r="N124" i="9" s="1"/>
  <c r="N125" i="9" s="1"/>
  <c r="P79" i="9"/>
  <c r="P80" i="9" s="1"/>
  <c r="I174" i="9"/>
  <c r="I181" i="9" s="1"/>
  <c r="G199" i="9"/>
  <c r="G198" i="9"/>
  <c r="G79" i="9"/>
  <c r="G80" i="9" s="1"/>
  <c r="I199" i="9"/>
  <c r="I198" i="9"/>
  <c r="N198" i="9"/>
  <c r="I79" i="9"/>
  <c r="I80" i="9" s="1"/>
  <c r="F234" i="9"/>
  <c r="F235" i="9"/>
  <c r="F237" i="9"/>
  <c r="G177" i="9"/>
  <c r="J364" i="9" s="1"/>
  <c r="J366" i="9" s="1"/>
  <c r="L190" i="9"/>
  <c r="M237" i="9"/>
  <c r="O294" i="9"/>
  <c r="L281" i="9" s="1"/>
  <c r="M294" i="9"/>
  <c r="K295" i="9"/>
  <c r="O295" i="9" s="1"/>
  <c r="I195" i="9"/>
  <c r="G196" i="9"/>
  <c r="L79" i="9"/>
  <c r="L80" i="9" s="1"/>
  <c r="L177" i="9"/>
  <c r="N195" i="9"/>
  <c r="K234" i="9"/>
  <c r="K235" i="9"/>
  <c r="K237" i="9"/>
  <c r="M298" i="9"/>
  <c r="I211" i="9" l="1"/>
  <c r="N245" i="9" s="1"/>
  <c r="N212" i="9"/>
  <c r="N216" i="9" s="1"/>
  <c r="N181" i="9"/>
  <c r="N194" i="9"/>
  <c r="N211" i="9"/>
  <c r="I245" i="9" s="1"/>
  <c r="R125" i="9"/>
  <c r="L129" i="9"/>
  <c r="L130" i="9" s="1"/>
  <c r="L131" i="9" s="1"/>
  <c r="N129" i="9"/>
  <c r="N130" i="9" s="1"/>
  <c r="N131" i="9" s="1"/>
  <c r="J129" i="9"/>
  <c r="J130" i="9" s="1"/>
  <c r="N215" i="9"/>
  <c r="I225" i="9" s="1"/>
  <c r="P129" i="9"/>
  <c r="P130" i="9" s="1"/>
  <c r="P131" i="9" s="1"/>
  <c r="R129" i="9"/>
  <c r="R130" i="9" s="1"/>
  <c r="R131" i="9" s="1"/>
  <c r="G197" i="9"/>
  <c r="G195" i="9"/>
  <c r="I196" i="9"/>
  <c r="G181" i="9"/>
  <c r="L197" i="9"/>
  <c r="L195" i="9"/>
  <c r="L194" i="9" s="1"/>
  <c r="I215" i="9"/>
  <c r="N225" i="9" s="1"/>
  <c r="L181" i="9"/>
  <c r="L212" i="9"/>
  <c r="L216" i="9" s="1"/>
  <c r="G194" i="9" l="1"/>
  <c r="I246" i="9"/>
  <c r="G212" i="9"/>
  <c r="G216" i="9" s="1"/>
  <c r="L211" i="9"/>
  <c r="G245" i="9" s="1"/>
  <c r="I212" i="9"/>
  <c r="I216" i="9" s="1"/>
  <c r="N226" i="9" s="1"/>
  <c r="R136" i="9"/>
  <c r="R143" i="9" s="1"/>
  <c r="R151" i="9" s="1"/>
  <c r="R135" i="9"/>
  <c r="R142" i="9" s="1"/>
  <c r="R150" i="9" s="1"/>
  <c r="R134" i="9"/>
  <c r="R141" i="9" s="1"/>
  <c r="R149" i="9" s="1"/>
  <c r="R133" i="9"/>
  <c r="R140" i="9" s="1"/>
  <c r="R148" i="9" s="1"/>
  <c r="R132" i="9"/>
  <c r="R139" i="9" s="1"/>
  <c r="R147" i="9" s="1"/>
  <c r="N135" i="9"/>
  <c r="N142" i="9" s="1"/>
  <c r="N150" i="9" s="1"/>
  <c r="N133" i="9"/>
  <c r="N140" i="9" s="1"/>
  <c r="N148" i="9" s="1"/>
  <c r="N136" i="9"/>
  <c r="N143" i="9" s="1"/>
  <c r="N151" i="9" s="1"/>
  <c r="N134" i="9"/>
  <c r="N141" i="9" s="1"/>
  <c r="N149" i="9" s="1"/>
  <c r="N132" i="9"/>
  <c r="N139" i="9" s="1"/>
  <c r="N147" i="9" s="1"/>
  <c r="I226" i="9"/>
  <c r="G211" i="9"/>
  <c r="L245" i="9" s="1"/>
  <c r="P136" i="9"/>
  <c r="P143" i="9" s="1"/>
  <c r="P151" i="9" s="1"/>
  <c r="P135" i="9"/>
  <c r="P142" i="9" s="1"/>
  <c r="P150" i="9" s="1"/>
  <c r="P134" i="9"/>
  <c r="P141" i="9" s="1"/>
  <c r="P149" i="9" s="1"/>
  <c r="P133" i="9"/>
  <c r="P140" i="9" s="1"/>
  <c r="P148" i="9" s="1"/>
  <c r="P132" i="9"/>
  <c r="P139" i="9" s="1"/>
  <c r="P147" i="9" s="1"/>
  <c r="I194" i="9"/>
  <c r="L135" i="9"/>
  <c r="L142" i="9" s="1"/>
  <c r="L150" i="9" s="1"/>
  <c r="L133" i="9"/>
  <c r="L140" i="9" s="1"/>
  <c r="L148" i="9" s="1"/>
  <c r="L136" i="9"/>
  <c r="L143" i="9" s="1"/>
  <c r="L151" i="9" s="1"/>
  <c r="L134" i="9"/>
  <c r="L141" i="9" s="1"/>
  <c r="L149" i="9" s="1"/>
  <c r="L132" i="9"/>
  <c r="L139" i="9" s="1"/>
  <c r="L147" i="9" s="1"/>
  <c r="L215" i="9" l="1"/>
  <c r="G225" i="9" s="1"/>
  <c r="N228" i="9"/>
  <c r="M238" i="9"/>
  <c r="M242" i="9" s="1"/>
  <c r="G215" i="9"/>
  <c r="L225" i="9" s="1"/>
  <c r="L226" i="9" s="1"/>
  <c r="G246" i="9"/>
  <c r="L152" i="9"/>
  <c r="I251" i="9"/>
  <c r="H238" i="9"/>
  <c r="H242" i="9" s="1"/>
  <c r="I228" i="9"/>
  <c r="N246" i="9"/>
  <c r="N251" i="9" s="1"/>
  <c r="N152" i="9"/>
  <c r="P152" i="9"/>
  <c r="R152" i="9"/>
  <c r="G226" i="9"/>
  <c r="R154" i="9" l="1"/>
  <c r="R153" i="9"/>
  <c r="I229" i="9"/>
  <c r="I235" i="9"/>
  <c r="I237" i="9"/>
  <c r="I234" i="9"/>
  <c r="L154" i="9"/>
  <c r="L153" i="9"/>
  <c r="N240" i="9"/>
  <c r="M240" i="9"/>
  <c r="N256" i="9"/>
  <c r="N253" i="9"/>
  <c r="N252" i="9" s="1"/>
  <c r="N250" i="9" s="1"/>
  <c r="P154" i="9"/>
  <c r="P153" i="9"/>
  <c r="N154" i="9"/>
  <c r="N153" i="9"/>
  <c r="F238" i="9"/>
  <c r="F242" i="9" s="1"/>
  <c r="G251" i="9"/>
  <c r="G228" i="9"/>
  <c r="G238" i="9" s="1"/>
  <c r="I238" i="9"/>
  <c r="N235" i="9"/>
  <c r="N234" i="9"/>
  <c r="N229" i="9"/>
  <c r="N237" i="9"/>
  <c r="K238" i="9"/>
  <c r="K242" i="9" s="1"/>
  <c r="L228" i="9"/>
  <c r="I240" i="9"/>
  <c r="H240" i="9" s="1"/>
  <c r="I253" i="9"/>
  <c r="I252" i="9" s="1"/>
  <c r="I250" i="9" s="1"/>
  <c r="I256" i="9"/>
  <c r="L246" i="9"/>
  <c r="L251" i="9" s="1"/>
  <c r="N238" i="9"/>
  <c r="I261" i="9" l="1"/>
  <c r="L240" i="9"/>
  <c r="K240" i="9"/>
  <c r="L256" i="9"/>
  <c r="I249" i="9"/>
  <c r="I239" i="9"/>
  <c r="H239" i="9" s="1"/>
  <c r="L229" i="9"/>
  <c r="L237" i="9"/>
  <c r="L234" i="9"/>
  <c r="L235" i="9"/>
  <c r="I241" i="9"/>
  <c r="H241" i="9" s="1"/>
  <c r="I262" i="9"/>
  <c r="G229" i="9"/>
  <c r="G234" i="9"/>
  <c r="G235" i="9"/>
  <c r="G237" i="9"/>
  <c r="N249" i="9"/>
  <c r="N239" i="9"/>
  <c r="N241" i="9" s="1"/>
  <c r="M241" i="9" s="1"/>
  <c r="M239" i="9"/>
  <c r="I242" i="9"/>
  <c r="L253" i="9"/>
  <c r="L252" i="9" s="1"/>
  <c r="L250" i="9" s="1"/>
  <c r="L238" i="9"/>
  <c r="N242" i="9"/>
  <c r="G240" i="9"/>
  <c r="F240" i="9" s="1"/>
  <c r="K368" i="9" s="1"/>
  <c r="G256" i="9"/>
  <c r="G253" i="9"/>
  <c r="G252" i="9" s="1"/>
  <c r="G250" i="9" s="1"/>
  <c r="N262" i="9"/>
  <c r="N261" i="9"/>
  <c r="L242" i="9" l="1"/>
  <c r="G239" i="9"/>
  <c r="F239" i="9" s="1"/>
  <c r="G249" i="9"/>
  <c r="I258" i="9"/>
  <c r="I257" i="9"/>
  <c r="I255" i="9"/>
  <c r="G262" i="9"/>
  <c r="G242" i="9"/>
  <c r="G261" i="9"/>
  <c r="L249" i="9"/>
  <c r="L239" i="9"/>
  <c r="L241" i="9" s="1"/>
  <c r="K241" i="9" s="1"/>
  <c r="K239" i="9"/>
  <c r="N255" i="9"/>
  <c r="N258" i="9"/>
  <c r="N257" i="9"/>
  <c r="L262" i="9"/>
  <c r="L261" i="9"/>
  <c r="K364" i="9" l="1"/>
  <c r="K363" i="9"/>
  <c r="G255" i="9"/>
  <c r="G258" i="9"/>
  <c r="G257" i="9"/>
  <c r="L258" i="9"/>
  <c r="L257" i="9"/>
  <c r="L255" i="9"/>
  <c r="G241" i="9"/>
  <c r="F241" i="9" s="1"/>
  <c r="K362" i="9" l="1"/>
  <c r="K366" i="9" s="1"/>
  <c r="K361" i="9"/>
  <c r="Q322" i="6"/>
  <c r="N322" i="6"/>
  <c r="J322" i="6"/>
  <c r="G322" i="6"/>
  <c r="L298" i="6"/>
  <c r="K298" i="6"/>
  <c r="L296" i="6"/>
  <c r="K296" i="6"/>
  <c r="K297" i="6" s="1"/>
  <c r="E295" i="6"/>
  <c r="L294" i="6"/>
  <c r="K294" i="6"/>
  <c r="K295" i="6" s="1"/>
  <c r="O295" i="6" s="1"/>
  <c r="L293" i="6"/>
  <c r="K293" i="6"/>
  <c r="N275" i="6"/>
  <c r="L275" i="6"/>
  <c r="N270" i="6"/>
  <c r="N269" i="6"/>
  <c r="L269" i="6"/>
  <c r="N268" i="6"/>
  <c r="L268" i="6"/>
  <c r="N220" i="6"/>
  <c r="L220" i="6"/>
  <c r="I220" i="6"/>
  <c r="G220" i="6"/>
  <c r="N219" i="6"/>
  <c r="L219" i="6"/>
  <c r="I219" i="6"/>
  <c r="G219" i="6"/>
  <c r="I207" i="6"/>
  <c r="N204" i="6"/>
  <c r="N208" i="6" s="1"/>
  <c r="L204" i="6"/>
  <c r="L208" i="6" s="1"/>
  <c r="I204" i="6"/>
  <c r="I208" i="6" s="1"/>
  <c r="G204" i="6"/>
  <c r="G208" i="6" s="1"/>
  <c r="N203" i="6"/>
  <c r="N207" i="6" s="1"/>
  <c r="L203" i="6"/>
  <c r="L207" i="6" s="1"/>
  <c r="I203" i="6"/>
  <c r="G203" i="6"/>
  <c r="G207" i="6" s="1"/>
  <c r="N189" i="6"/>
  <c r="N190" i="6" s="1"/>
  <c r="L189" i="6"/>
  <c r="L190" i="6" s="1"/>
  <c r="I189" i="6"/>
  <c r="I190" i="6" s="1"/>
  <c r="G189" i="6"/>
  <c r="G190" i="6" s="1"/>
  <c r="N176" i="6"/>
  <c r="L176" i="6"/>
  <c r="L179" i="6" s="1"/>
  <c r="L199" i="6" s="1"/>
  <c r="I176" i="6"/>
  <c r="G176" i="6"/>
  <c r="G179" i="6" s="1"/>
  <c r="N175" i="6"/>
  <c r="N172" i="6"/>
  <c r="L172" i="6"/>
  <c r="I172" i="6"/>
  <c r="I175" i="6" s="1"/>
  <c r="G172" i="6"/>
  <c r="N170" i="6"/>
  <c r="L170" i="6"/>
  <c r="I170" i="6"/>
  <c r="G170" i="6"/>
  <c r="N169" i="6"/>
  <c r="L169" i="6"/>
  <c r="I169" i="6"/>
  <c r="G169" i="6"/>
  <c r="N168" i="6"/>
  <c r="L168" i="6"/>
  <c r="I168" i="6"/>
  <c r="G168" i="6"/>
  <c r="N167" i="6"/>
  <c r="H235" i="6" s="1"/>
  <c r="L167" i="6"/>
  <c r="F235" i="6" s="1"/>
  <c r="I167" i="6"/>
  <c r="M235" i="6" s="1"/>
  <c r="G167" i="6"/>
  <c r="K235" i="6" s="1"/>
  <c r="N166" i="6"/>
  <c r="H234" i="6" s="1"/>
  <c r="L166" i="6"/>
  <c r="I166" i="6"/>
  <c r="M234" i="6" s="1"/>
  <c r="G166" i="6"/>
  <c r="K234" i="6" s="1"/>
  <c r="R128" i="6"/>
  <c r="P128" i="6"/>
  <c r="N128" i="6"/>
  <c r="L128" i="6"/>
  <c r="J128" i="6"/>
  <c r="R122" i="6"/>
  <c r="N122" i="6"/>
  <c r="R121" i="6"/>
  <c r="N121" i="6"/>
  <c r="N120" i="6"/>
  <c r="R119" i="6"/>
  <c r="N119" i="6"/>
  <c r="R108" i="6"/>
  <c r="P108" i="6"/>
  <c r="N108" i="6"/>
  <c r="L108" i="6"/>
  <c r="I108" i="6"/>
  <c r="G108" i="6"/>
  <c r="R107" i="6"/>
  <c r="P107" i="6"/>
  <c r="N107" i="6"/>
  <c r="N187" i="6" s="1"/>
  <c r="L107" i="6"/>
  <c r="L187" i="6" s="1"/>
  <c r="I107" i="6"/>
  <c r="I187" i="6" s="1"/>
  <c r="G107" i="6"/>
  <c r="G187" i="6" s="1"/>
  <c r="R106" i="6"/>
  <c r="P106" i="6"/>
  <c r="N106" i="6"/>
  <c r="L106" i="6"/>
  <c r="I106" i="6"/>
  <c r="G106" i="6"/>
  <c r="R105" i="6"/>
  <c r="P105" i="6"/>
  <c r="N105" i="6"/>
  <c r="L105" i="6"/>
  <c r="I105" i="6"/>
  <c r="G105" i="6"/>
  <c r="R104" i="6"/>
  <c r="P104" i="6"/>
  <c r="N104" i="6"/>
  <c r="N184" i="6" s="1"/>
  <c r="N186" i="6" s="1"/>
  <c r="L104" i="6"/>
  <c r="I104" i="6"/>
  <c r="G104" i="6"/>
  <c r="G184" i="6" s="1"/>
  <c r="G186" i="6" s="1"/>
  <c r="R89" i="6"/>
  <c r="P89" i="6"/>
  <c r="N89" i="6"/>
  <c r="L89" i="6"/>
  <c r="I89" i="6"/>
  <c r="G89" i="6"/>
  <c r="L78" i="6"/>
  <c r="I78" i="6"/>
  <c r="G78" i="6"/>
  <c r="P77" i="6"/>
  <c r="L77" i="6"/>
  <c r="I77" i="6"/>
  <c r="G77" i="6"/>
  <c r="R54" i="6"/>
  <c r="P54" i="6"/>
  <c r="N54" i="6"/>
  <c r="N174" i="6" s="1"/>
  <c r="L54" i="6"/>
  <c r="L177" i="6" s="1"/>
  <c r="I54" i="6"/>
  <c r="G54" i="6"/>
  <c r="L28" i="6"/>
  <c r="G28" i="6"/>
  <c r="J27" i="6"/>
  <c r="P78" i="6" s="1"/>
  <c r="G27" i="6"/>
  <c r="L26" i="6"/>
  <c r="G26" i="6"/>
  <c r="J25" i="6"/>
  <c r="R120" i="6" s="1"/>
  <c r="G25" i="6"/>
  <c r="E15" i="6"/>
  <c r="E12" i="6" s="1"/>
  <c r="D15" i="6"/>
  <c r="C15" i="6"/>
  <c r="P12" i="6"/>
  <c r="Q12" i="6" s="1"/>
  <c r="N12" i="6"/>
  <c r="M12" i="6"/>
  <c r="L12" i="6"/>
  <c r="K12" i="6"/>
  <c r="I12" i="6"/>
  <c r="H12" i="6"/>
  <c r="D12" i="6"/>
  <c r="C12" i="6"/>
  <c r="L27" i="6" l="1"/>
  <c r="L109" i="6"/>
  <c r="P109" i="6"/>
  <c r="N173" i="6"/>
  <c r="N197" i="6" s="1"/>
  <c r="K365" i="9"/>
  <c r="K367" i="9"/>
  <c r="K237" i="6"/>
  <c r="R123" i="6"/>
  <c r="R124" i="6" s="1"/>
  <c r="R125" i="6" s="1"/>
  <c r="L25" i="6"/>
  <c r="N123" i="6"/>
  <c r="N124" i="6" s="1"/>
  <c r="N125" i="6" s="1"/>
  <c r="F237" i="6"/>
  <c r="I199" i="6"/>
  <c r="H237" i="6"/>
  <c r="I173" i="6"/>
  <c r="I109" i="6"/>
  <c r="R109" i="6"/>
  <c r="M237" i="6"/>
  <c r="M296" i="6"/>
  <c r="G199" i="6"/>
  <c r="G198" i="6"/>
  <c r="P79" i="6"/>
  <c r="P80" i="6" s="1"/>
  <c r="G177" i="6"/>
  <c r="G79" i="6"/>
  <c r="G80" i="6" s="1"/>
  <c r="L178" i="6"/>
  <c r="I184" i="6"/>
  <c r="I186" i="6" s="1"/>
  <c r="I198" i="6"/>
  <c r="N196" i="6"/>
  <c r="I79" i="6"/>
  <c r="I80" i="6" s="1"/>
  <c r="I174" i="6"/>
  <c r="L184" i="6"/>
  <c r="L198" i="6"/>
  <c r="N109" i="6"/>
  <c r="M298" i="6"/>
  <c r="G109" i="6"/>
  <c r="G178" i="6"/>
  <c r="L79" i="6"/>
  <c r="L80" i="6" s="1"/>
  <c r="F234" i="6"/>
  <c r="N199" i="6"/>
  <c r="N198" i="6"/>
  <c r="N181" i="6"/>
  <c r="M293" i="6"/>
  <c r="O294" i="6"/>
  <c r="L281" i="6" s="1"/>
  <c r="M294" i="6"/>
  <c r="N195" i="6" l="1"/>
  <c r="I195" i="6"/>
  <c r="J129" i="6"/>
  <c r="J130" i="6" s="1"/>
  <c r="L129" i="6"/>
  <c r="L130" i="6" s="1"/>
  <c r="L131" i="6" s="1"/>
  <c r="L132" i="6" s="1"/>
  <c r="L139" i="6" s="1"/>
  <c r="L147" i="6" s="1"/>
  <c r="N129" i="6"/>
  <c r="N130" i="6" s="1"/>
  <c r="N131" i="6" s="1"/>
  <c r="N135" i="6" s="1"/>
  <c r="N142" i="6" s="1"/>
  <c r="N150" i="6" s="1"/>
  <c r="N211" i="6"/>
  <c r="I245" i="6" s="1"/>
  <c r="I181" i="6"/>
  <c r="I197" i="6"/>
  <c r="I211" i="6" s="1"/>
  <c r="N245" i="6" s="1"/>
  <c r="G196" i="6"/>
  <c r="L181" i="6"/>
  <c r="L196" i="6"/>
  <c r="N194" i="6"/>
  <c r="G181" i="6"/>
  <c r="N212" i="6"/>
  <c r="N216" i="6" s="1"/>
  <c r="N215" i="6"/>
  <c r="I225" i="6" s="1"/>
  <c r="N136" i="6"/>
  <c r="N143" i="6" s="1"/>
  <c r="N151" i="6" s="1"/>
  <c r="N133" i="6"/>
  <c r="N140" i="6" s="1"/>
  <c r="N148" i="6" s="1"/>
  <c r="N132" i="6"/>
  <c r="N139" i="6" s="1"/>
  <c r="N147" i="6" s="1"/>
  <c r="I196" i="6"/>
  <c r="G197" i="6"/>
  <c r="G195" i="6"/>
  <c r="L134" i="6"/>
  <c r="L141" i="6" s="1"/>
  <c r="L149" i="6" s="1"/>
  <c r="L195" i="6"/>
  <c r="L186" i="6"/>
  <c r="P129" i="6"/>
  <c r="P130" i="6" s="1"/>
  <c r="P131" i="6" s="1"/>
  <c r="R129" i="6"/>
  <c r="R130" i="6" s="1"/>
  <c r="R131" i="6" s="1"/>
  <c r="L133" i="6" l="1"/>
  <c r="L140" i="6" s="1"/>
  <c r="L148" i="6" s="1"/>
  <c r="L136" i="6"/>
  <c r="L143" i="6" s="1"/>
  <c r="L151" i="6" s="1"/>
  <c r="L135" i="6"/>
  <c r="L142" i="6" s="1"/>
  <c r="L150" i="6" s="1"/>
  <c r="N134" i="6"/>
  <c r="N141" i="6" s="1"/>
  <c r="N149" i="6" s="1"/>
  <c r="L152" i="6"/>
  <c r="L154" i="6" s="1"/>
  <c r="P136" i="6"/>
  <c r="P143" i="6" s="1"/>
  <c r="P151" i="6" s="1"/>
  <c r="P135" i="6"/>
  <c r="P142" i="6" s="1"/>
  <c r="P150" i="6" s="1"/>
  <c r="P134" i="6"/>
  <c r="P141" i="6" s="1"/>
  <c r="P149" i="6" s="1"/>
  <c r="P133" i="6"/>
  <c r="P140" i="6" s="1"/>
  <c r="P148" i="6" s="1"/>
  <c r="P132" i="6"/>
  <c r="P139" i="6" s="1"/>
  <c r="P147" i="6" s="1"/>
  <c r="L197" i="6"/>
  <c r="G194" i="6"/>
  <c r="L153" i="6"/>
  <c r="N152" i="6"/>
  <c r="G212" i="6"/>
  <c r="G216" i="6" s="1"/>
  <c r="G211" i="6"/>
  <c r="G215" i="6" s="1"/>
  <c r="L225" i="6" s="1"/>
  <c r="L194" i="6"/>
  <c r="I246" i="6"/>
  <c r="R136" i="6"/>
  <c r="R143" i="6" s="1"/>
  <c r="R151" i="6" s="1"/>
  <c r="R135" i="6"/>
  <c r="R142" i="6" s="1"/>
  <c r="R150" i="6" s="1"/>
  <c r="R134" i="6"/>
  <c r="R141" i="6" s="1"/>
  <c r="R149" i="6" s="1"/>
  <c r="R133" i="6"/>
  <c r="R140" i="6" s="1"/>
  <c r="R148" i="6" s="1"/>
  <c r="R132" i="6"/>
  <c r="R139" i="6" s="1"/>
  <c r="R147" i="6" s="1"/>
  <c r="I194" i="6"/>
  <c r="I212" i="6"/>
  <c r="I216" i="6" s="1"/>
  <c r="I226" i="6"/>
  <c r="L212" i="6"/>
  <c r="L216" i="6" s="1"/>
  <c r="I215" i="6"/>
  <c r="N225" i="6" s="1"/>
  <c r="R152" i="6" l="1"/>
  <c r="N226" i="6"/>
  <c r="N228" i="6" s="1"/>
  <c r="L246" i="6"/>
  <c r="R154" i="6"/>
  <c r="R153" i="6"/>
  <c r="I251" i="6"/>
  <c r="H238" i="6"/>
  <c r="I228" i="6"/>
  <c r="I237" i="6" s="1"/>
  <c r="N154" i="6"/>
  <c r="N153" i="6"/>
  <c r="L245" i="6"/>
  <c r="L226" i="6"/>
  <c r="L211" i="6"/>
  <c r="G245" i="6" s="1"/>
  <c r="N246" i="6"/>
  <c r="P152" i="6"/>
  <c r="M238" i="6" l="1"/>
  <c r="I238" i="6"/>
  <c r="N238" i="6"/>
  <c r="N237" i="6"/>
  <c r="N251" i="6"/>
  <c r="M240" i="6" s="1"/>
  <c r="N240" i="6"/>
  <c r="L215" i="6"/>
  <c r="G225" i="6" s="1"/>
  <c r="L251" i="6"/>
  <c r="K238" i="6"/>
  <c r="K242" i="6" s="1"/>
  <c r="M242" i="6"/>
  <c r="L228" i="6"/>
  <c r="L237" i="6" s="1"/>
  <c r="I229" i="6"/>
  <c r="I234" i="6"/>
  <c r="I235" i="6"/>
  <c r="P154" i="6"/>
  <c r="P153" i="6"/>
  <c r="N229" i="6"/>
  <c r="N234" i="6"/>
  <c r="N235" i="6"/>
  <c r="I240" i="6"/>
  <c r="H240" i="6" s="1"/>
  <c r="I256" i="6"/>
  <c r="I253" i="6"/>
  <c r="I252" i="6" s="1"/>
  <c r="I250" i="6" s="1"/>
  <c r="N256" i="6" l="1"/>
  <c r="N253" i="6"/>
  <c r="N252" i="6" s="1"/>
  <c r="N250" i="6" s="1"/>
  <c r="N242" i="6"/>
  <c r="N261" i="6"/>
  <c r="L235" i="6"/>
  <c r="L234" i="6"/>
  <c r="L229" i="6"/>
  <c r="G246" i="6"/>
  <c r="G226" i="6"/>
  <c r="I249" i="6"/>
  <c r="I239" i="6"/>
  <c r="H239" i="6" s="1"/>
  <c r="I261" i="6"/>
  <c r="L240" i="6"/>
  <c r="K240" i="6"/>
  <c r="L256" i="6"/>
  <c r="L238" i="6"/>
  <c r="N249" i="6"/>
  <c r="N239" i="6"/>
  <c r="N241" i="6" s="1"/>
  <c r="M241" i="6" s="1"/>
  <c r="M239" i="6"/>
  <c r="I262" i="6"/>
  <c r="L253" i="6"/>
  <c r="L252" i="6" s="1"/>
  <c r="L250" i="6" s="1"/>
  <c r="N262" i="6" l="1"/>
  <c r="I241" i="6"/>
  <c r="H241" i="6" s="1"/>
  <c r="L249" i="6"/>
  <c r="K239" i="6"/>
  <c r="L239" i="6"/>
  <c r="L241" i="6" s="1"/>
  <c r="K241" i="6" s="1"/>
  <c r="L262" i="6"/>
  <c r="L261" i="6"/>
  <c r="N258" i="6"/>
  <c r="N255" i="6"/>
  <c r="N257" i="6"/>
  <c r="F238" i="6"/>
  <c r="F242" i="6" s="1"/>
  <c r="G251" i="6"/>
  <c r="I242" i="6"/>
  <c r="H242" i="6"/>
  <c r="G228" i="6"/>
  <c r="G237" i="6" s="1"/>
  <c r="L242" i="6"/>
  <c r="I257" i="6"/>
  <c r="I255" i="6"/>
  <c r="I258" i="6"/>
  <c r="G229" i="6" l="1"/>
  <c r="G235" i="6"/>
  <c r="G234" i="6"/>
  <c r="G240" i="6"/>
  <c r="F240" i="6" s="1"/>
  <c r="G256" i="6"/>
  <c r="G253" i="6"/>
  <c r="G252" i="6" s="1"/>
  <c r="G250" i="6" s="1"/>
  <c r="G238" i="6"/>
  <c r="L258" i="6"/>
  <c r="L257" i="6"/>
  <c r="L255" i="6"/>
  <c r="G262" i="6" l="1"/>
  <c r="G242" i="6"/>
  <c r="G249" i="6"/>
  <c r="G239" i="6"/>
  <c r="F239" i="6" s="1"/>
  <c r="G261" i="6"/>
  <c r="G258" i="6" l="1"/>
  <c r="G255" i="6"/>
  <c r="G257" i="6"/>
  <c r="G241" i="6"/>
  <c r="F241" i="6" s="1"/>
  <c r="N275" i="3" l="1"/>
  <c r="L275" i="3"/>
  <c r="N269" i="3"/>
  <c r="L269" i="3"/>
  <c r="N275" i="2"/>
  <c r="L275" i="2"/>
  <c r="N269" i="2"/>
  <c r="L269" i="2"/>
  <c r="N268" i="3"/>
  <c r="L268" i="3"/>
  <c r="N268" i="2"/>
  <c r="L268" i="2"/>
  <c r="N204" i="3"/>
  <c r="L204" i="3"/>
  <c r="I204" i="3"/>
  <c r="G204" i="3"/>
  <c r="N203" i="3"/>
  <c r="L203" i="3"/>
  <c r="I203" i="3"/>
  <c r="G203" i="3"/>
  <c r="N204" i="2"/>
  <c r="L204" i="2"/>
  <c r="I204" i="2"/>
  <c r="G204" i="2"/>
  <c r="N203" i="2"/>
  <c r="L203" i="2"/>
  <c r="I203" i="2"/>
  <c r="G203" i="2"/>
  <c r="E15" i="3" l="1"/>
  <c r="D15" i="3"/>
  <c r="D12" i="3" s="1"/>
  <c r="C15" i="3"/>
  <c r="C12" i="3" s="1"/>
  <c r="P12" i="3"/>
  <c r="Q12" i="3" s="1"/>
  <c r="N12" i="3"/>
  <c r="M12" i="3"/>
  <c r="L12" i="3"/>
  <c r="K12" i="3"/>
  <c r="H12" i="3"/>
  <c r="I12" i="3" s="1"/>
  <c r="E12" i="3"/>
  <c r="P12" i="2" l="1"/>
  <c r="Q12" i="2" s="1"/>
  <c r="H12" i="2"/>
  <c r="I12" i="2" s="1"/>
  <c r="E15" i="2"/>
  <c r="E12" i="2" s="1"/>
  <c r="D15" i="2"/>
  <c r="D12" i="2" s="1"/>
  <c r="C15" i="2"/>
  <c r="N12" i="2"/>
  <c r="M12" i="2"/>
  <c r="L12" i="2"/>
  <c r="K12" i="2"/>
  <c r="C12" i="2" l="1"/>
  <c r="Q322" i="3" l="1"/>
  <c r="N322" i="3"/>
  <c r="J322" i="3"/>
  <c r="G322" i="3"/>
  <c r="L298" i="3"/>
  <c r="K298" i="3"/>
  <c r="M298" i="3" s="1"/>
  <c r="L296" i="3"/>
  <c r="K296" i="3"/>
  <c r="K297" i="3" s="1"/>
  <c r="E295" i="3"/>
  <c r="L294" i="3"/>
  <c r="K294" i="3"/>
  <c r="K295" i="3" s="1"/>
  <c r="O295" i="3" s="1"/>
  <c r="L293" i="3"/>
  <c r="K293" i="3"/>
  <c r="N270" i="3"/>
  <c r="N220" i="3"/>
  <c r="L220" i="3"/>
  <c r="I220" i="3"/>
  <c r="G220" i="3"/>
  <c r="N219" i="3"/>
  <c r="L219" i="3"/>
  <c r="I219" i="3"/>
  <c r="G219" i="3"/>
  <c r="N208" i="3"/>
  <c r="L208" i="3"/>
  <c r="I208" i="3"/>
  <c r="G208" i="3"/>
  <c r="N207" i="3"/>
  <c r="L207" i="3"/>
  <c r="I207" i="3"/>
  <c r="G207" i="3"/>
  <c r="N189" i="3"/>
  <c r="N190" i="3" s="1"/>
  <c r="L189" i="3"/>
  <c r="L190" i="3" s="1"/>
  <c r="I189" i="3"/>
  <c r="I190" i="3" s="1"/>
  <c r="G189" i="3"/>
  <c r="G190" i="3" s="1"/>
  <c r="N176" i="3"/>
  <c r="L176" i="3"/>
  <c r="L179" i="3" s="1"/>
  <c r="I176" i="3"/>
  <c r="G176" i="3"/>
  <c r="G179" i="3" s="1"/>
  <c r="N172" i="3"/>
  <c r="N175" i="3" s="1"/>
  <c r="L172" i="3"/>
  <c r="I172" i="3"/>
  <c r="I175" i="3" s="1"/>
  <c r="G172" i="3"/>
  <c r="N170" i="3"/>
  <c r="L170" i="3"/>
  <c r="I170" i="3"/>
  <c r="G170" i="3"/>
  <c r="N169" i="3"/>
  <c r="L169" i="3"/>
  <c r="I169" i="3"/>
  <c r="G169" i="3"/>
  <c r="N168" i="3"/>
  <c r="L168" i="3"/>
  <c r="I168" i="3"/>
  <c r="G168" i="3"/>
  <c r="N167" i="3"/>
  <c r="L167" i="3"/>
  <c r="F235" i="3" s="1"/>
  <c r="I167" i="3"/>
  <c r="G167" i="3"/>
  <c r="K235" i="3" s="1"/>
  <c r="N166" i="3"/>
  <c r="L166" i="3"/>
  <c r="F234" i="3" s="1"/>
  <c r="I166" i="3"/>
  <c r="G166" i="3"/>
  <c r="R128" i="3"/>
  <c r="P128" i="3"/>
  <c r="N128" i="3"/>
  <c r="L128" i="3"/>
  <c r="J128" i="3"/>
  <c r="R122" i="3"/>
  <c r="R121" i="3"/>
  <c r="N121" i="3"/>
  <c r="N122" i="3" s="1"/>
  <c r="N120" i="3"/>
  <c r="N119" i="3"/>
  <c r="R108" i="3"/>
  <c r="P108" i="3"/>
  <c r="N108" i="3"/>
  <c r="N187" i="3" s="1"/>
  <c r="L108" i="3"/>
  <c r="L187" i="3" s="1"/>
  <c r="I108" i="3"/>
  <c r="I187" i="3" s="1"/>
  <c r="G108" i="3"/>
  <c r="G187" i="3" s="1"/>
  <c r="R107" i="3"/>
  <c r="P107" i="3"/>
  <c r="N107" i="3"/>
  <c r="L107" i="3"/>
  <c r="I107" i="3"/>
  <c r="G107" i="3"/>
  <c r="R106" i="3"/>
  <c r="P106" i="3"/>
  <c r="N106" i="3"/>
  <c r="N184" i="3" s="1"/>
  <c r="N186" i="3" s="1"/>
  <c r="L106" i="3"/>
  <c r="L184" i="3" s="1"/>
  <c r="L186" i="3" s="1"/>
  <c r="I106" i="3"/>
  <c r="I184" i="3" s="1"/>
  <c r="I186" i="3" s="1"/>
  <c r="G106" i="3"/>
  <c r="G184" i="3" s="1"/>
  <c r="G186" i="3" s="1"/>
  <c r="R105" i="3"/>
  <c r="P105" i="3"/>
  <c r="N105" i="3"/>
  <c r="L105" i="3"/>
  <c r="I105" i="3"/>
  <c r="G105" i="3"/>
  <c r="R104" i="3"/>
  <c r="P104" i="3"/>
  <c r="N104" i="3"/>
  <c r="L104" i="3"/>
  <c r="L109" i="3" s="1"/>
  <c r="I104" i="3"/>
  <c r="G104" i="3"/>
  <c r="R89" i="3"/>
  <c r="P89" i="3"/>
  <c r="N89" i="3"/>
  <c r="L89" i="3"/>
  <c r="I89" i="3"/>
  <c r="G89" i="3"/>
  <c r="L78" i="3"/>
  <c r="I78" i="3"/>
  <c r="G78" i="3"/>
  <c r="P77" i="3"/>
  <c r="L77" i="3"/>
  <c r="I77" i="3"/>
  <c r="G77" i="3"/>
  <c r="R54" i="3"/>
  <c r="P54" i="3"/>
  <c r="N54" i="3"/>
  <c r="L54" i="3"/>
  <c r="I54" i="3"/>
  <c r="G54" i="3"/>
  <c r="L28" i="3"/>
  <c r="G28" i="3"/>
  <c r="J27" i="3"/>
  <c r="R119" i="3" s="1"/>
  <c r="G27" i="3"/>
  <c r="L26" i="3"/>
  <c r="G26" i="3"/>
  <c r="J25" i="3"/>
  <c r="L25" i="3" s="1"/>
  <c r="G25" i="3"/>
  <c r="Q322" i="2"/>
  <c r="N322" i="2"/>
  <c r="J322" i="2"/>
  <c r="G322" i="2"/>
  <c r="L298" i="2"/>
  <c r="K298" i="2"/>
  <c r="L296" i="2"/>
  <c r="K296" i="2"/>
  <c r="K297" i="2" s="1"/>
  <c r="E295" i="2"/>
  <c r="L294" i="2"/>
  <c r="K294" i="2"/>
  <c r="O294" i="2" s="1"/>
  <c r="L281" i="2" s="1"/>
  <c r="L293" i="2"/>
  <c r="K293" i="2"/>
  <c r="N270" i="2"/>
  <c r="N220" i="2"/>
  <c r="L220" i="2"/>
  <c r="I220" i="2"/>
  <c r="G220" i="2"/>
  <c r="N219" i="2"/>
  <c r="L219" i="2"/>
  <c r="I219" i="2"/>
  <c r="G219" i="2"/>
  <c r="N208" i="2"/>
  <c r="L208" i="2"/>
  <c r="I208" i="2"/>
  <c r="G208" i="2"/>
  <c r="N207" i="2"/>
  <c r="L207" i="2"/>
  <c r="I207" i="2"/>
  <c r="G207" i="2"/>
  <c r="N189" i="2"/>
  <c r="N190" i="2" s="1"/>
  <c r="L189" i="2"/>
  <c r="L190" i="2" s="1"/>
  <c r="I189" i="2"/>
  <c r="I190" i="2" s="1"/>
  <c r="G189" i="2"/>
  <c r="G190" i="2" s="1"/>
  <c r="N176" i="2"/>
  <c r="H237" i="2" s="1"/>
  <c r="L176" i="2"/>
  <c r="L179" i="2" s="1"/>
  <c r="I176" i="2"/>
  <c r="M237" i="2" s="1"/>
  <c r="G176" i="2"/>
  <c r="G179" i="2" s="1"/>
  <c r="N172" i="2"/>
  <c r="N175" i="2" s="1"/>
  <c r="L172" i="2"/>
  <c r="F237" i="2" s="1"/>
  <c r="I172" i="2"/>
  <c r="I175" i="2" s="1"/>
  <c r="I199" i="2" s="1"/>
  <c r="G172" i="2"/>
  <c r="K237" i="2" s="1"/>
  <c r="N170" i="2"/>
  <c r="L170" i="2"/>
  <c r="I170" i="2"/>
  <c r="G170" i="2"/>
  <c r="N169" i="2"/>
  <c r="L169" i="2"/>
  <c r="I169" i="2"/>
  <c r="G169" i="2"/>
  <c r="N168" i="2"/>
  <c r="L168" i="2"/>
  <c r="I168" i="2"/>
  <c r="G168" i="2"/>
  <c r="N167" i="2"/>
  <c r="H235" i="2" s="1"/>
  <c r="L167" i="2"/>
  <c r="F235" i="2" s="1"/>
  <c r="I167" i="2"/>
  <c r="M235" i="2" s="1"/>
  <c r="G167" i="2"/>
  <c r="K235" i="2" s="1"/>
  <c r="N166" i="2"/>
  <c r="H234" i="2" s="1"/>
  <c r="L166" i="2"/>
  <c r="F234" i="2" s="1"/>
  <c r="I166" i="2"/>
  <c r="M234" i="2" s="1"/>
  <c r="G166" i="2"/>
  <c r="K234" i="2" s="1"/>
  <c r="R128" i="2"/>
  <c r="P128" i="2"/>
  <c r="N128" i="2"/>
  <c r="L128" i="2"/>
  <c r="J128" i="2"/>
  <c r="R122" i="2"/>
  <c r="R121" i="2"/>
  <c r="N121" i="2"/>
  <c r="N122" i="2" s="1"/>
  <c r="N120" i="2"/>
  <c r="N119" i="2"/>
  <c r="R108" i="2"/>
  <c r="P108" i="2"/>
  <c r="N108" i="2"/>
  <c r="L108" i="2"/>
  <c r="I108" i="2"/>
  <c r="G108" i="2"/>
  <c r="R107" i="2"/>
  <c r="P107" i="2"/>
  <c r="N107" i="2"/>
  <c r="N187" i="2" s="1"/>
  <c r="L107" i="2"/>
  <c r="L187" i="2" s="1"/>
  <c r="I107" i="2"/>
  <c r="I187" i="2" s="1"/>
  <c r="G107" i="2"/>
  <c r="G187" i="2" s="1"/>
  <c r="R106" i="2"/>
  <c r="P106" i="2"/>
  <c r="N106" i="2"/>
  <c r="L106" i="2"/>
  <c r="I106" i="2"/>
  <c r="G106" i="2"/>
  <c r="R105" i="2"/>
  <c r="P105" i="2"/>
  <c r="N105" i="2"/>
  <c r="L105" i="2"/>
  <c r="I105" i="2"/>
  <c r="G105" i="2"/>
  <c r="R104" i="2"/>
  <c r="P104" i="2"/>
  <c r="N104" i="2"/>
  <c r="N184" i="2" s="1"/>
  <c r="N186" i="2" s="1"/>
  <c r="L104" i="2"/>
  <c r="L184" i="2" s="1"/>
  <c r="L186" i="2" s="1"/>
  <c r="I104" i="2"/>
  <c r="G104" i="2"/>
  <c r="R89" i="2"/>
  <c r="P89" i="2"/>
  <c r="N89" i="2"/>
  <c r="L89" i="2"/>
  <c r="I89" i="2"/>
  <c r="G89" i="2"/>
  <c r="L78" i="2"/>
  <c r="I78" i="2"/>
  <c r="G78" i="2"/>
  <c r="P77" i="2"/>
  <c r="L77" i="2"/>
  <c r="I77" i="2"/>
  <c r="G77" i="2"/>
  <c r="R54" i="2"/>
  <c r="P54" i="2"/>
  <c r="N54" i="2"/>
  <c r="L54" i="2"/>
  <c r="I54" i="2"/>
  <c r="G54" i="2"/>
  <c r="L28" i="2"/>
  <c r="G28" i="2"/>
  <c r="J27" i="2"/>
  <c r="G27" i="2"/>
  <c r="L26" i="2"/>
  <c r="G26" i="2"/>
  <c r="J25" i="2"/>
  <c r="R120" i="2" s="1"/>
  <c r="G25" i="2"/>
  <c r="K237" i="3" l="1"/>
  <c r="H237" i="3"/>
  <c r="I109" i="3"/>
  <c r="R109" i="3"/>
  <c r="M237" i="3"/>
  <c r="O294" i="3"/>
  <c r="L281" i="3" s="1"/>
  <c r="F237" i="3"/>
  <c r="L178" i="2"/>
  <c r="L196" i="2" s="1"/>
  <c r="M298" i="2"/>
  <c r="M294" i="3"/>
  <c r="N173" i="2"/>
  <c r="N195" i="2" s="1"/>
  <c r="L177" i="2"/>
  <c r="L181" i="2" s="1"/>
  <c r="M294" i="2"/>
  <c r="M293" i="2"/>
  <c r="L25" i="2"/>
  <c r="I174" i="2"/>
  <c r="I196" i="2" s="1"/>
  <c r="L79" i="2"/>
  <c r="L80" i="2" s="1"/>
  <c r="P109" i="2"/>
  <c r="L109" i="2"/>
  <c r="R123" i="2"/>
  <c r="R124" i="2" s="1"/>
  <c r="I109" i="2"/>
  <c r="R109" i="2"/>
  <c r="N109" i="2"/>
  <c r="N174" i="2"/>
  <c r="G177" i="2"/>
  <c r="G178" i="2"/>
  <c r="G199" i="2"/>
  <c r="G198" i="2"/>
  <c r="N197" i="2"/>
  <c r="R119" i="2"/>
  <c r="P78" i="2"/>
  <c r="P79" i="2" s="1"/>
  <c r="P80" i="2" s="1"/>
  <c r="L27" i="2"/>
  <c r="G109" i="2"/>
  <c r="G184" i="2"/>
  <c r="G186" i="2" s="1"/>
  <c r="N123" i="2"/>
  <c r="N124" i="2" s="1"/>
  <c r="N125" i="2" s="1"/>
  <c r="N199" i="2"/>
  <c r="N198" i="2"/>
  <c r="L199" i="2"/>
  <c r="L198" i="2"/>
  <c r="I198" i="2"/>
  <c r="G79" i="2"/>
  <c r="G80" i="2" s="1"/>
  <c r="I184" i="2"/>
  <c r="I186" i="2" s="1"/>
  <c r="K295" i="2"/>
  <c r="O295" i="2" s="1"/>
  <c r="M296" i="2"/>
  <c r="I173" i="2"/>
  <c r="I181" i="2" s="1"/>
  <c r="I79" i="2"/>
  <c r="I80" i="2" s="1"/>
  <c r="N174" i="3"/>
  <c r="I174" i="3"/>
  <c r="M293" i="3"/>
  <c r="N109" i="3"/>
  <c r="N123" i="3"/>
  <c r="N124" i="3" s="1"/>
  <c r="N125" i="3" s="1"/>
  <c r="L27" i="3"/>
  <c r="P78" i="3"/>
  <c r="P79" i="3" s="1"/>
  <c r="P80" i="3" s="1"/>
  <c r="I173" i="3"/>
  <c r="I197" i="3" s="1"/>
  <c r="G178" i="3"/>
  <c r="G196" i="3" s="1"/>
  <c r="G177" i="3"/>
  <c r="G197" i="3" s="1"/>
  <c r="G109" i="3"/>
  <c r="P109" i="3"/>
  <c r="G198" i="3"/>
  <c r="I196" i="3"/>
  <c r="I199" i="3"/>
  <c r="I198" i="3"/>
  <c r="G199" i="3"/>
  <c r="L177" i="3"/>
  <c r="L199" i="3"/>
  <c r="L198" i="3"/>
  <c r="N196" i="3"/>
  <c r="N199" i="3"/>
  <c r="N198" i="3"/>
  <c r="K234" i="3"/>
  <c r="G79" i="3"/>
  <c r="G80" i="3" s="1"/>
  <c r="N173" i="3"/>
  <c r="L178" i="3"/>
  <c r="I79" i="3"/>
  <c r="I80" i="3" s="1"/>
  <c r="R120" i="3"/>
  <c r="R123" i="3" s="1"/>
  <c r="R124" i="3" s="1"/>
  <c r="R125" i="3" s="1"/>
  <c r="H234" i="3"/>
  <c r="M234" i="3"/>
  <c r="H235" i="3"/>
  <c r="M235" i="3"/>
  <c r="M296" i="3"/>
  <c r="L79" i="3"/>
  <c r="L80" i="3" s="1"/>
  <c r="L197" i="2"/>
  <c r="L195" i="2" l="1"/>
  <c r="N181" i="3"/>
  <c r="L194" i="2"/>
  <c r="G181" i="2"/>
  <c r="N181" i="2"/>
  <c r="N196" i="2"/>
  <c r="N212" i="2" s="1"/>
  <c r="N216" i="2" s="1"/>
  <c r="N211" i="2"/>
  <c r="I245" i="2" s="1"/>
  <c r="R125" i="2"/>
  <c r="R129" i="2" s="1"/>
  <c r="R130" i="2" s="1"/>
  <c r="R131" i="2" s="1"/>
  <c r="N194" i="2"/>
  <c r="G197" i="2"/>
  <c r="G211" i="2" s="1"/>
  <c r="L245" i="2" s="1"/>
  <c r="G195" i="2"/>
  <c r="G196" i="2"/>
  <c r="I197" i="2"/>
  <c r="I195" i="2"/>
  <c r="J129" i="2"/>
  <c r="J130" i="2" s="1"/>
  <c r="N129" i="2"/>
  <c r="N130" i="2" s="1"/>
  <c r="N131" i="2" s="1"/>
  <c r="L129" i="2"/>
  <c r="L130" i="2" s="1"/>
  <c r="L131" i="2" s="1"/>
  <c r="G195" i="3"/>
  <c r="I181" i="3"/>
  <c r="I195" i="3"/>
  <c r="I211" i="3"/>
  <c r="N245" i="3" s="1"/>
  <c r="L129" i="3"/>
  <c r="L130" i="3" s="1"/>
  <c r="L131" i="3" s="1"/>
  <c r="L136" i="3" s="1"/>
  <c r="L143" i="3" s="1"/>
  <c r="L151" i="3" s="1"/>
  <c r="J129" i="3"/>
  <c r="J130" i="3" s="1"/>
  <c r="N129" i="3"/>
  <c r="N130" i="3" s="1"/>
  <c r="N131" i="3" s="1"/>
  <c r="N133" i="3" s="1"/>
  <c r="N140" i="3" s="1"/>
  <c r="N148" i="3" s="1"/>
  <c r="G211" i="3"/>
  <c r="L245" i="3" s="1"/>
  <c r="G181" i="3"/>
  <c r="R129" i="3"/>
  <c r="R130" i="3" s="1"/>
  <c r="R131" i="3" s="1"/>
  <c r="P129" i="3"/>
  <c r="P130" i="3" s="1"/>
  <c r="P131" i="3" s="1"/>
  <c r="L196" i="3"/>
  <c r="N197" i="3"/>
  <c r="N212" i="3" s="1"/>
  <c r="N216" i="3" s="1"/>
  <c r="N195" i="3"/>
  <c r="N194" i="3" s="1"/>
  <c r="L181" i="3"/>
  <c r="L197" i="3"/>
  <c r="L211" i="3" s="1"/>
  <c r="G245" i="3" s="1"/>
  <c r="L195" i="3"/>
  <c r="G194" i="3"/>
  <c r="I212" i="3"/>
  <c r="I216" i="3" s="1"/>
  <c r="G212" i="3"/>
  <c r="L211" i="2"/>
  <c r="G245" i="2" s="1"/>
  <c r="L212" i="2"/>
  <c r="L216" i="2" s="1"/>
  <c r="I194" i="3" l="1"/>
  <c r="G212" i="2"/>
  <c r="G216" i="2" s="1"/>
  <c r="N215" i="2"/>
  <c r="I225" i="2" s="1"/>
  <c r="I246" i="2" s="1"/>
  <c r="P129" i="2"/>
  <c r="P130" i="2" s="1"/>
  <c r="P131" i="2" s="1"/>
  <c r="P133" i="2" s="1"/>
  <c r="P140" i="2" s="1"/>
  <c r="P148" i="2" s="1"/>
  <c r="L215" i="2"/>
  <c r="G225" i="2" s="1"/>
  <c r="G246" i="2" s="1"/>
  <c r="P134" i="2"/>
  <c r="P141" i="2" s="1"/>
  <c r="P149" i="2" s="1"/>
  <c r="I194" i="2"/>
  <c r="L135" i="2"/>
  <c r="L142" i="2" s="1"/>
  <c r="L150" i="2" s="1"/>
  <c r="L133" i="2"/>
  <c r="L140" i="2" s="1"/>
  <c r="L148" i="2" s="1"/>
  <c r="L136" i="2"/>
  <c r="L143" i="2" s="1"/>
  <c r="L151" i="2" s="1"/>
  <c r="L134" i="2"/>
  <c r="L141" i="2" s="1"/>
  <c r="L149" i="2" s="1"/>
  <c r="L132" i="2"/>
  <c r="L139" i="2" s="1"/>
  <c r="L147" i="2" s="1"/>
  <c r="I212" i="2"/>
  <c r="I216" i="2" s="1"/>
  <c r="G215" i="2"/>
  <c r="L225" i="2" s="1"/>
  <c r="R133" i="2"/>
  <c r="R140" i="2" s="1"/>
  <c r="R148" i="2" s="1"/>
  <c r="R136" i="2"/>
  <c r="R143" i="2" s="1"/>
  <c r="R151" i="2" s="1"/>
  <c r="R132" i="2"/>
  <c r="R139" i="2" s="1"/>
  <c r="R147" i="2" s="1"/>
  <c r="R135" i="2"/>
  <c r="R142" i="2" s="1"/>
  <c r="R150" i="2" s="1"/>
  <c r="R134" i="2"/>
  <c r="R141" i="2" s="1"/>
  <c r="R149" i="2" s="1"/>
  <c r="N136" i="2"/>
  <c r="N143" i="2" s="1"/>
  <c r="N151" i="2" s="1"/>
  <c r="N135" i="2"/>
  <c r="N142" i="2" s="1"/>
  <c r="N150" i="2" s="1"/>
  <c r="N134" i="2"/>
  <c r="N141" i="2" s="1"/>
  <c r="N149" i="2" s="1"/>
  <c r="N133" i="2"/>
  <c r="N140" i="2" s="1"/>
  <c r="N148" i="2" s="1"/>
  <c r="N132" i="2"/>
  <c r="N139" i="2" s="1"/>
  <c r="N147" i="2" s="1"/>
  <c r="G194" i="2"/>
  <c r="I211" i="2"/>
  <c r="N245" i="2" s="1"/>
  <c r="L132" i="3"/>
  <c r="L139" i="3" s="1"/>
  <c r="L147" i="3" s="1"/>
  <c r="L152" i="3" s="1"/>
  <c r="L135" i="3"/>
  <c r="L142" i="3" s="1"/>
  <c r="L150" i="3" s="1"/>
  <c r="I215" i="3"/>
  <c r="N225" i="3" s="1"/>
  <c r="N226" i="3" s="1"/>
  <c r="M238" i="3" s="1"/>
  <c r="L134" i="3"/>
  <c r="L141" i="3" s="1"/>
  <c r="L149" i="3" s="1"/>
  <c r="N134" i="3"/>
  <c r="N141" i="3" s="1"/>
  <c r="N149" i="3" s="1"/>
  <c r="L212" i="3"/>
  <c r="L216" i="3" s="1"/>
  <c r="L133" i="3"/>
  <c r="L140" i="3" s="1"/>
  <c r="L148" i="3" s="1"/>
  <c r="N135" i="3"/>
  <c r="N142" i="3" s="1"/>
  <c r="N150" i="3" s="1"/>
  <c r="N132" i="3"/>
  <c r="N139" i="3" s="1"/>
  <c r="N147" i="3" s="1"/>
  <c r="N136" i="3"/>
  <c r="N143" i="3" s="1"/>
  <c r="N151" i="3" s="1"/>
  <c r="G215" i="3"/>
  <c r="L225" i="3" s="1"/>
  <c r="L246" i="3" s="1"/>
  <c r="L194" i="3"/>
  <c r="G216" i="3"/>
  <c r="L215" i="3"/>
  <c r="G225" i="3" s="1"/>
  <c r="P136" i="3"/>
  <c r="P143" i="3" s="1"/>
  <c r="P151" i="3" s="1"/>
  <c r="P135" i="3"/>
  <c r="P142" i="3" s="1"/>
  <c r="P150" i="3" s="1"/>
  <c r="P134" i="3"/>
  <c r="P141" i="3" s="1"/>
  <c r="P149" i="3" s="1"/>
  <c r="P133" i="3"/>
  <c r="P140" i="3" s="1"/>
  <c r="P148" i="3" s="1"/>
  <c r="P132" i="3"/>
  <c r="P139" i="3" s="1"/>
  <c r="P147" i="3" s="1"/>
  <c r="N211" i="3"/>
  <c r="I245" i="3" s="1"/>
  <c r="R136" i="3"/>
  <c r="R143" i="3" s="1"/>
  <c r="R151" i="3" s="1"/>
  <c r="R135" i="3"/>
  <c r="R142" i="3" s="1"/>
  <c r="R150" i="3" s="1"/>
  <c r="R134" i="3"/>
  <c r="R141" i="3" s="1"/>
  <c r="R149" i="3" s="1"/>
  <c r="R133" i="3"/>
  <c r="R140" i="3" s="1"/>
  <c r="R148" i="3" s="1"/>
  <c r="R132" i="3"/>
  <c r="R139" i="3" s="1"/>
  <c r="R147" i="3" s="1"/>
  <c r="P135" i="2" l="1"/>
  <c r="P142" i="2" s="1"/>
  <c r="P150" i="2" s="1"/>
  <c r="L246" i="2"/>
  <c r="G226" i="2"/>
  <c r="G228" i="2" s="1"/>
  <c r="G237" i="2" s="1"/>
  <c r="P132" i="2"/>
  <c r="P139" i="2" s="1"/>
  <c r="P147" i="2" s="1"/>
  <c r="P152" i="2" s="1"/>
  <c r="P136" i="2"/>
  <c r="P143" i="2" s="1"/>
  <c r="P151" i="2" s="1"/>
  <c r="I226" i="2"/>
  <c r="I228" i="2" s="1"/>
  <c r="I237" i="2" s="1"/>
  <c r="L152" i="2"/>
  <c r="R152" i="2"/>
  <c r="R154" i="2" s="1"/>
  <c r="L226" i="2"/>
  <c r="L251" i="2" s="1"/>
  <c r="N152" i="2"/>
  <c r="N154" i="2" s="1"/>
  <c r="L153" i="2"/>
  <c r="L154" i="2"/>
  <c r="I215" i="2"/>
  <c r="N225" i="2" s="1"/>
  <c r="N246" i="3"/>
  <c r="N251" i="3" s="1"/>
  <c r="N253" i="3" s="1"/>
  <c r="N252" i="3" s="1"/>
  <c r="N250" i="3" s="1"/>
  <c r="N228" i="3"/>
  <c r="L226" i="3"/>
  <c r="L251" i="3" s="1"/>
  <c r="N152" i="3"/>
  <c r="R152" i="3"/>
  <c r="R154" i="3" s="1"/>
  <c r="N215" i="3"/>
  <c r="I225" i="3" s="1"/>
  <c r="I246" i="3" s="1"/>
  <c r="P152" i="3"/>
  <c r="L154" i="3"/>
  <c r="L153" i="3"/>
  <c r="G246" i="3"/>
  <c r="G226" i="3"/>
  <c r="N239" i="3" l="1"/>
  <c r="N234" i="3"/>
  <c r="N237" i="3"/>
  <c r="F238" i="2"/>
  <c r="G251" i="2"/>
  <c r="G256" i="2" s="1"/>
  <c r="H238" i="2"/>
  <c r="I251" i="2"/>
  <c r="I240" i="2" s="1"/>
  <c r="H240" i="2" s="1"/>
  <c r="F242" i="2"/>
  <c r="L228" i="2"/>
  <c r="H242" i="2"/>
  <c r="R153" i="2"/>
  <c r="N153" i="2"/>
  <c r="K238" i="2"/>
  <c r="P154" i="2"/>
  <c r="P153" i="2"/>
  <c r="I235" i="2"/>
  <c r="I234" i="2"/>
  <c r="I229" i="2"/>
  <c r="N246" i="2"/>
  <c r="N226" i="2"/>
  <c r="N228" i="2" s="1"/>
  <c r="N237" i="2" s="1"/>
  <c r="L256" i="2"/>
  <c r="K240" i="2"/>
  <c r="L253" i="2"/>
  <c r="L252" i="2" s="1"/>
  <c r="L250" i="2" s="1"/>
  <c r="I238" i="2"/>
  <c r="N229" i="3"/>
  <c r="N238" i="3"/>
  <c r="R153" i="3"/>
  <c r="N235" i="3"/>
  <c r="N249" i="3"/>
  <c r="N255" i="3" s="1"/>
  <c r="N262" i="3"/>
  <c r="N256" i="3"/>
  <c r="N261" i="3"/>
  <c r="M239" i="3"/>
  <c r="M240" i="3"/>
  <c r="N240" i="3"/>
  <c r="K238" i="3"/>
  <c r="K242" i="3" s="1"/>
  <c r="M242" i="3"/>
  <c r="L228" i="3"/>
  <c r="N154" i="3"/>
  <c r="N153" i="3"/>
  <c r="I226" i="3"/>
  <c r="I251" i="3" s="1"/>
  <c r="N258" i="3"/>
  <c r="P154" i="3"/>
  <c r="P153" i="3"/>
  <c r="K240" i="3"/>
  <c r="L253" i="3"/>
  <c r="L252" i="3" s="1"/>
  <c r="L250" i="3" s="1"/>
  <c r="L256" i="3"/>
  <c r="G251" i="3"/>
  <c r="G228" i="3"/>
  <c r="G237" i="3" s="1"/>
  <c r="F238" i="3"/>
  <c r="L238" i="3" l="1"/>
  <c r="L237" i="3"/>
  <c r="L235" i="2"/>
  <c r="L237" i="2"/>
  <c r="G238" i="2"/>
  <c r="G234" i="2"/>
  <c r="G229" i="2"/>
  <c r="G235" i="2"/>
  <c r="G253" i="2"/>
  <c r="G252" i="2" s="1"/>
  <c r="G250" i="2" s="1"/>
  <c r="G239" i="2" s="1"/>
  <c r="F239" i="2" s="1"/>
  <c r="I256" i="2"/>
  <c r="G240" i="2"/>
  <c r="F240" i="2" s="1"/>
  <c r="I253" i="2"/>
  <c r="I261" i="2" s="1"/>
  <c r="L240" i="2"/>
  <c r="L229" i="2"/>
  <c r="L238" i="2"/>
  <c r="L234" i="2"/>
  <c r="N241" i="3"/>
  <c r="M241" i="3" s="1"/>
  <c r="N257" i="3"/>
  <c r="I242" i="2"/>
  <c r="L261" i="2"/>
  <c r="K239" i="2"/>
  <c r="L249" i="2"/>
  <c r="L239" i="2"/>
  <c r="N238" i="2"/>
  <c r="M238" i="2"/>
  <c r="M242" i="2" s="1"/>
  <c r="N251" i="2"/>
  <c r="K242" i="2"/>
  <c r="L262" i="2"/>
  <c r="H238" i="3"/>
  <c r="H242" i="3" s="1"/>
  <c r="N242" i="3"/>
  <c r="L240" i="3"/>
  <c r="L229" i="3"/>
  <c r="L234" i="3"/>
  <c r="L235" i="3"/>
  <c r="I228" i="3"/>
  <c r="I237" i="3" s="1"/>
  <c r="G238" i="3"/>
  <c r="I256" i="3"/>
  <c r="I253" i="3"/>
  <c r="I252" i="3" s="1"/>
  <c r="I250" i="3" s="1"/>
  <c r="L262" i="3"/>
  <c r="L261" i="3"/>
  <c r="G229" i="3"/>
  <c r="G234" i="3"/>
  <c r="G235" i="3"/>
  <c r="G240" i="3"/>
  <c r="F240" i="3" s="1"/>
  <c r="G256" i="3"/>
  <c r="G253" i="3"/>
  <c r="G252" i="3" s="1"/>
  <c r="G250" i="3" s="1"/>
  <c r="L249" i="3"/>
  <c r="L239" i="3"/>
  <c r="L241" i="3" s="1"/>
  <c r="K241" i="3" s="1"/>
  <c r="K239" i="3"/>
  <c r="F242" i="3"/>
  <c r="G261" i="2" l="1"/>
  <c r="G249" i="2"/>
  <c r="G262" i="2"/>
  <c r="G242" i="2"/>
  <c r="I252" i="2"/>
  <c r="I250" i="2" s="1"/>
  <c r="L241" i="2"/>
  <c r="K241" i="2" s="1"/>
  <c r="L242" i="2"/>
  <c r="G241" i="2"/>
  <c r="F241" i="2" s="1"/>
  <c r="N256" i="2"/>
  <c r="N240" i="2"/>
  <c r="M240" i="2"/>
  <c r="N253" i="2"/>
  <c r="N252" i="2" s="1"/>
  <c r="N250" i="2" s="1"/>
  <c r="N229" i="2"/>
  <c r="N235" i="2"/>
  <c r="N234" i="2"/>
  <c r="L255" i="2"/>
  <c r="L258" i="2"/>
  <c r="L257" i="2"/>
  <c r="I240" i="3"/>
  <c r="H240" i="3" s="1"/>
  <c r="I234" i="3"/>
  <c r="I238" i="3"/>
  <c r="I229" i="3"/>
  <c r="I235" i="3"/>
  <c r="L242" i="3"/>
  <c r="I261" i="3"/>
  <c r="G261" i="3"/>
  <c r="G262" i="3"/>
  <c r="I239" i="3"/>
  <c r="H239" i="3" s="1"/>
  <c r="I249" i="3"/>
  <c r="G242" i="3"/>
  <c r="G239" i="3"/>
  <c r="F239" i="3" s="1"/>
  <c r="G249" i="3"/>
  <c r="L255" i="3"/>
  <c r="L258" i="3"/>
  <c r="L257" i="3"/>
  <c r="I262" i="3"/>
  <c r="G258" i="2" l="1"/>
  <c r="G255" i="2"/>
  <c r="G257" i="2"/>
  <c r="I262" i="2"/>
  <c r="N242" i="2"/>
  <c r="M239" i="2"/>
  <c r="N249" i="2"/>
  <c r="N239" i="2"/>
  <c r="N241" i="2" s="1"/>
  <c r="M241" i="2" s="1"/>
  <c r="N261" i="2"/>
  <c r="I249" i="2"/>
  <c r="I239" i="2"/>
  <c r="N262" i="2"/>
  <c r="I242" i="3"/>
  <c r="G241" i="3"/>
  <c r="F241" i="3" s="1"/>
  <c r="I241" i="3"/>
  <c r="H241" i="3" s="1"/>
  <c r="G255" i="3"/>
  <c r="G257" i="3"/>
  <c r="G258" i="3"/>
  <c r="I257" i="3"/>
  <c r="I255" i="3"/>
  <c r="I258" i="3"/>
  <c r="I257" i="2" l="1"/>
  <c r="I255" i="2"/>
  <c r="I258" i="2"/>
  <c r="N258" i="2"/>
  <c r="N255" i="2"/>
  <c r="N257" i="2"/>
  <c r="H239" i="2"/>
  <c r="I241" i="2"/>
  <c r="H241" i="2" s="1"/>
  <c r="G99" i="16" l="1"/>
  <c r="J99" i="16"/>
  <c r="G104" i="16"/>
  <c r="J104" i="16"/>
  <c r="G120" i="16"/>
  <c r="J120" i="16"/>
  <c r="G121" i="16"/>
  <c r="J121" i="16"/>
  <c r="G122" i="16"/>
  <c r="J122" i="16"/>
  <c r="G123" i="16"/>
  <c r="J123" i="16"/>
  <c r="G124" i="16"/>
  <c r="J124" i="16"/>
  <c r="G138" i="16"/>
  <c r="J138" i="16"/>
  <c r="G139" i="16"/>
  <c r="J139" i="16"/>
  <c r="G140" i="16"/>
  <c r="J140" i="16"/>
  <c r="G141" i="16"/>
  <c r="J141" i="16"/>
  <c r="G142" i="16"/>
  <c r="J142" i="16"/>
  <c r="G143" i="16"/>
  <c r="J143" i="16"/>
  <c r="G155" i="16"/>
  <c r="J155" i="16"/>
  <c r="G156" i="16"/>
  <c r="J156" i="16"/>
  <c r="G159" i="16"/>
  <c r="J159" i="16"/>
  <c r="G160" i="16"/>
  <c r="J160" i="16"/>
  <c r="G165" i="16"/>
  <c r="J165" i="16"/>
  <c r="G166" i="16"/>
  <c r="J166" i="16"/>
  <c r="G168" i="16"/>
  <c r="J168" i="16"/>
  <c r="G173" i="16"/>
  <c r="J173" i="16"/>
  <c r="G174" i="16"/>
  <c r="J174" i="16"/>
  <c r="F176" i="16"/>
  <c r="G176" i="16"/>
  <c r="I176" i="16"/>
  <c r="J176" i="16"/>
  <c r="F177" i="16"/>
  <c r="G177" i="16"/>
  <c r="I177" i="16"/>
  <c r="J177" i="16"/>
  <c r="F178" i="16"/>
  <c r="G178" i="16"/>
  <c r="I178" i="16"/>
  <c r="J178" i="16"/>
  <c r="F179" i="16"/>
  <c r="G179" i="16"/>
  <c r="I179" i="16"/>
  <c r="J179" i="16"/>
  <c r="F180" i="16"/>
  <c r="G180" i="16"/>
  <c r="I180" i="16"/>
  <c r="J180" i="16"/>
  <c r="F181" i="16"/>
  <c r="G181" i="16"/>
  <c r="I181" i="16"/>
  <c r="J181" i="16"/>
  <c r="G184" i="16"/>
  <c r="J184" i="16"/>
  <c r="G185" i="16"/>
  <c r="J185" i="16"/>
  <c r="G188" i="16"/>
  <c r="J188" i="16"/>
  <c r="G189" i="16"/>
  <c r="J189" i="16"/>
  <c r="G190" i="16"/>
  <c r="J190" i="16"/>
  <c r="G191" i="16"/>
  <c r="J191" i="16"/>
  <c r="G192" i="16"/>
  <c r="J192" i="16"/>
  <c r="G194" i="16"/>
  <c r="J194" i="16"/>
  <c r="G195" i="16"/>
  <c r="J195" i="16"/>
  <c r="G196" i="16"/>
  <c r="J196" i="16"/>
  <c r="G197" i="16"/>
  <c r="J197" i="16"/>
  <c r="G200" i="16"/>
  <c r="J200" i="16"/>
  <c r="G201" i="16"/>
  <c r="J201" i="16"/>
  <c r="J219" i="16"/>
  <c r="J220" i="16"/>
  <c r="J221" i="16"/>
  <c r="J222" i="16"/>
  <c r="E228" i="16"/>
  <c r="G228" i="16"/>
  <c r="F229" i="16"/>
  <c r="G229" i="16"/>
  <c r="F230" i="16"/>
  <c r="F231" i="16"/>
  <c r="E232" i="16"/>
  <c r="F232" i="16"/>
  <c r="G239" i="16"/>
  <c r="I239" i="16"/>
  <c r="G240" i="16"/>
  <c r="I240" i="16"/>
  <c r="G241" i="16"/>
  <c r="I241" i="16"/>
  <c r="G242" i="16"/>
  <c r="I242" i="16"/>
  <c r="G247" i="16"/>
  <c r="I247" i="16"/>
  <c r="G248" i="16"/>
  <c r="I248" i="16"/>
  <c r="E256" i="16"/>
  <c r="F256" i="16"/>
  <c r="G256" i="16"/>
  <c r="I256" i="16"/>
  <c r="J256" i="16"/>
  <c r="K256" i="16"/>
  <c r="E257" i="16"/>
  <c r="F257" i="16"/>
  <c r="G257" i="16"/>
  <c r="I257" i="16"/>
  <c r="J257" i="16"/>
  <c r="K257" i="16"/>
  <c r="E258" i="16"/>
  <c r="F258" i="16"/>
  <c r="G258" i="16"/>
  <c r="I258" i="16"/>
  <c r="J258" i="16"/>
  <c r="K258" i="16"/>
  <c r="E262" i="16"/>
  <c r="F262" i="16"/>
  <c r="G262" i="16"/>
  <c r="I262" i="16"/>
  <c r="J262" i="16"/>
  <c r="K262" i="16"/>
  <c r="E263" i="16"/>
  <c r="F263" i="16"/>
  <c r="G263" i="16"/>
  <c r="I263" i="16"/>
  <c r="J263" i="16"/>
  <c r="K263" i="16"/>
  <c r="E264" i="16"/>
  <c r="F264" i="16"/>
  <c r="G264" i="16"/>
  <c r="I264" i="16"/>
  <c r="J264" i="16"/>
  <c r="K264" i="16"/>
  <c r="E265" i="16"/>
  <c r="F265" i="16"/>
  <c r="G265" i="16"/>
  <c r="I265" i="16"/>
  <c r="J265" i="16"/>
  <c r="K265" i="16"/>
  <c r="G268" i="16"/>
  <c r="K268" i="16"/>
  <c r="G269" i="16"/>
  <c r="K269" i="16"/>
  <c r="G272" i="16"/>
  <c r="K272" i="16"/>
  <c r="G273" i="16"/>
  <c r="K273" i="16"/>
  <c r="G274" i="16"/>
  <c r="K274" i="16"/>
  <c r="G275" i="16"/>
  <c r="K275" i="16"/>
  <c r="G101" i="19"/>
  <c r="J101" i="19"/>
  <c r="G106" i="19"/>
  <c r="J106" i="19"/>
  <c r="G122" i="19"/>
  <c r="J122" i="19"/>
  <c r="G123" i="19"/>
  <c r="J123" i="19"/>
  <c r="G124" i="19"/>
  <c r="J124" i="19"/>
  <c r="G125" i="19"/>
  <c r="J125" i="19"/>
  <c r="G126" i="19"/>
  <c r="J126" i="19"/>
  <c r="G140" i="19"/>
  <c r="J140" i="19"/>
  <c r="G141" i="19"/>
  <c r="J141" i="19"/>
  <c r="G142" i="19"/>
  <c r="J142" i="19"/>
  <c r="G143" i="19"/>
  <c r="J143" i="19"/>
  <c r="G144" i="19"/>
  <c r="J144" i="19"/>
  <c r="G145" i="19"/>
  <c r="J145" i="19"/>
  <c r="G157" i="19"/>
  <c r="J157" i="19"/>
  <c r="G158" i="19"/>
  <c r="J158" i="19"/>
  <c r="G161" i="19"/>
  <c r="J161" i="19"/>
  <c r="G162" i="19"/>
  <c r="J162" i="19"/>
  <c r="G167" i="19"/>
  <c r="J167" i="19"/>
  <c r="G168" i="19"/>
  <c r="J168" i="19"/>
  <c r="G170" i="19"/>
  <c r="J170" i="19"/>
  <c r="G175" i="19"/>
  <c r="J175" i="19"/>
  <c r="G176" i="19"/>
  <c r="J176" i="19"/>
  <c r="G178" i="19"/>
  <c r="J178" i="19"/>
  <c r="F179" i="19"/>
  <c r="G179" i="19"/>
  <c r="I179" i="19"/>
  <c r="J179" i="19"/>
  <c r="F180" i="19"/>
  <c r="G180" i="19"/>
  <c r="I180" i="19"/>
  <c r="J180" i="19"/>
  <c r="F181" i="19"/>
  <c r="G181" i="19"/>
  <c r="I181" i="19"/>
  <c r="J181" i="19"/>
  <c r="F182" i="19"/>
  <c r="G182" i="19"/>
  <c r="I182" i="19"/>
  <c r="J182" i="19"/>
  <c r="F183" i="19"/>
  <c r="G183" i="19"/>
  <c r="I183" i="19"/>
  <c r="J183" i="19"/>
  <c r="G186" i="19"/>
  <c r="J186" i="19"/>
  <c r="G187" i="19"/>
  <c r="J187" i="19"/>
  <c r="G190" i="19"/>
  <c r="J190" i="19"/>
  <c r="G191" i="19"/>
  <c r="J191" i="19"/>
  <c r="G192" i="19"/>
  <c r="J192" i="19"/>
  <c r="G193" i="19"/>
  <c r="J193" i="19"/>
  <c r="G194" i="19"/>
  <c r="J194" i="19"/>
  <c r="G196" i="19"/>
  <c r="J196" i="19"/>
  <c r="G197" i="19"/>
  <c r="J197" i="19"/>
  <c r="G198" i="19"/>
  <c r="J198" i="19"/>
  <c r="G199" i="19"/>
  <c r="J199" i="19"/>
  <c r="G202" i="19"/>
  <c r="J202" i="19"/>
  <c r="G203" i="19"/>
  <c r="J203" i="19"/>
  <c r="J221" i="19"/>
  <c r="J222" i="19"/>
  <c r="J223" i="19"/>
  <c r="J224" i="19"/>
  <c r="E230" i="19"/>
  <c r="G230" i="19"/>
  <c r="F231" i="19"/>
  <c r="G231" i="19"/>
  <c r="F232" i="19"/>
  <c r="F233" i="19"/>
  <c r="E234" i="19"/>
  <c r="F234" i="19"/>
  <c r="G241" i="19"/>
  <c r="I241" i="19"/>
  <c r="G242" i="19"/>
  <c r="I242" i="19"/>
  <c r="G243" i="19"/>
  <c r="I243" i="19"/>
  <c r="G244" i="19"/>
  <c r="I244" i="19"/>
  <c r="G249" i="19"/>
  <c r="I249" i="19"/>
  <c r="G250" i="19"/>
  <c r="I250" i="19"/>
  <c r="E258" i="19"/>
  <c r="F258" i="19"/>
  <c r="G258" i="19"/>
  <c r="I258" i="19"/>
  <c r="J258" i="19"/>
  <c r="K258" i="19"/>
  <c r="E259" i="19"/>
  <c r="F259" i="19"/>
  <c r="G259" i="19"/>
  <c r="I259" i="19"/>
  <c r="J259" i="19"/>
  <c r="K259" i="19"/>
  <c r="E260" i="19"/>
  <c r="F260" i="19"/>
  <c r="G260" i="19"/>
  <c r="I260" i="19"/>
  <c r="J260" i="19"/>
  <c r="K260" i="19"/>
  <c r="E264" i="19"/>
  <c r="F264" i="19"/>
  <c r="G264" i="19"/>
  <c r="I264" i="19"/>
  <c r="J264" i="19"/>
  <c r="K264" i="19"/>
  <c r="E265" i="19"/>
  <c r="F265" i="19"/>
  <c r="G265" i="19"/>
  <c r="I265" i="19"/>
  <c r="J265" i="19"/>
  <c r="K265" i="19"/>
  <c r="E266" i="19"/>
  <c r="F266" i="19"/>
  <c r="G266" i="19"/>
  <c r="I266" i="19"/>
  <c r="J266" i="19"/>
  <c r="K266" i="19"/>
  <c r="E267" i="19"/>
  <c r="F267" i="19"/>
  <c r="G267" i="19"/>
  <c r="I267" i="19"/>
  <c r="J267" i="19"/>
  <c r="K267" i="19"/>
  <c r="G270" i="19"/>
  <c r="K270" i="19"/>
  <c r="G271" i="19"/>
  <c r="K271" i="19"/>
  <c r="G274" i="19"/>
  <c r="K274" i="19"/>
  <c r="G275" i="19"/>
  <c r="K275" i="19"/>
  <c r="G276" i="19"/>
  <c r="K276" i="19"/>
  <c r="G277" i="19"/>
  <c r="K277" i="19"/>
  <c r="G101" i="18"/>
  <c r="J101" i="18"/>
  <c r="G106" i="18"/>
  <c r="J106" i="18"/>
  <c r="G122" i="18"/>
  <c r="J122" i="18"/>
  <c r="G123" i="18"/>
  <c r="J123" i="18"/>
  <c r="G124" i="18"/>
  <c r="J124" i="18"/>
  <c r="G125" i="18"/>
  <c r="J125" i="18"/>
  <c r="G126" i="18"/>
  <c r="J126" i="18"/>
  <c r="G140" i="18"/>
  <c r="J140" i="18"/>
  <c r="G141" i="18"/>
  <c r="J141" i="18"/>
  <c r="G142" i="18"/>
  <c r="J142" i="18"/>
  <c r="G143" i="18"/>
  <c r="J143" i="18"/>
  <c r="G144" i="18"/>
  <c r="J144" i="18"/>
  <c r="G145" i="18"/>
  <c r="J145" i="18"/>
  <c r="G157" i="18"/>
  <c r="J157" i="18"/>
  <c r="G158" i="18"/>
  <c r="J158" i="18"/>
  <c r="G161" i="18"/>
  <c r="J161" i="18"/>
  <c r="G162" i="18"/>
  <c r="J162" i="18"/>
  <c r="G167" i="18"/>
  <c r="J167" i="18"/>
  <c r="G168" i="18"/>
  <c r="J168" i="18"/>
  <c r="G170" i="18"/>
  <c r="J170" i="18"/>
  <c r="G175" i="18"/>
  <c r="J175" i="18"/>
  <c r="G176" i="18"/>
  <c r="J176" i="18"/>
  <c r="G178" i="18"/>
  <c r="J178" i="18"/>
  <c r="F179" i="18"/>
  <c r="G179" i="18"/>
  <c r="I179" i="18"/>
  <c r="J179" i="18"/>
  <c r="F180" i="18"/>
  <c r="G180" i="18"/>
  <c r="I180" i="18"/>
  <c r="J180" i="18"/>
  <c r="F181" i="18"/>
  <c r="G181" i="18"/>
  <c r="I181" i="18"/>
  <c r="J181" i="18"/>
  <c r="F182" i="18"/>
  <c r="G182" i="18"/>
  <c r="I182" i="18"/>
  <c r="J182" i="18"/>
  <c r="F183" i="18"/>
  <c r="G183" i="18"/>
  <c r="I183" i="18"/>
  <c r="J183" i="18"/>
  <c r="G186" i="18"/>
  <c r="J186" i="18"/>
  <c r="G187" i="18"/>
  <c r="J187" i="18"/>
  <c r="G190" i="18"/>
  <c r="J190" i="18"/>
  <c r="G191" i="18"/>
  <c r="J191" i="18"/>
  <c r="G192" i="18"/>
  <c r="J192" i="18"/>
  <c r="G193" i="18"/>
  <c r="J193" i="18"/>
  <c r="G194" i="18"/>
  <c r="J194" i="18"/>
  <c r="G196" i="18"/>
  <c r="J196" i="18"/>
  <c r="G197" i="18"/>
  <c r="J197" i="18"/>
  <c r="G198" i="18"/>
  <c r="J198" i="18"/>
  <c r="G199" i="18"/>
  <c r="J199" i="18"/>
  <c r="G202" i="18"/>
  <c r="J202" i="18"/>
  <c r="G203" i="18"/>
  <c r="J203" i="18"/>
  <c r="J221" i="18"/>
  <c r="J222" i="18"/>
  <c r="J223" i="18"/>
  <c r="J224" i="18"/>
  <c r="E230" i="18"/>
  <c r="G230" i="18"/>
  <c r="F231" i="18"/>
  <c r="G231" i="18"/>
  <c r="F232" i="18"/>
  <c r="F233" i="18"/>
  <c r="E234" i="18"/>
  <c r="F234" i="18"/>
  <c r="G241" i="18"/>
  <c r="I241" i="18"/>
  <c r="G242" i="18"/>
  <c r="I242" i="18"/>
  <c r="G243" i="18"/>
  <c r="I243" i="18"/>
  <c r="G244" i="18"/>
  <c r="I244" i="18"/>
  <c r="G249" i="18"/>
  <c r="I249" i="18"/>
  <c r="G250" i="18"/>
  <c r="I250" i="18"/>
  <c r="E258" i="18"/>
  <c r="F258" i="18"/>
  <c r="G258" i="18"/>
  <c r="I258" i="18"/>
  <c r="J258" i="18"/>
  <c r="K258" i="18"/>
  <c r="E259" i="18"/>
  <c r="F259" i="18"/>
  <c r="G259" i="18"/>
  <c r="I259" i="18"/>
  <c r="J259" i="18"/>
  <c r="K259" i="18"/>
  <c r="E260" i="18"/>
  <c r="F260" i="18"/>
  <c r="G260" i="18"/>
  <c r="I260" i="18"/>
  <c r="J260" i="18"/>
  <c r="K260" i="18"/>
  <c r="E264" i="18"/>
  <c r="F264" i="18"/>
  <c r="G264" i="18"/>
  <c r="I264" i="18"/>
  <c r="J264" i="18"/>
  <c r="K264" i="18"/>
  <c r="E265" i="18"/>
  <c r="F265" i="18"/>
  <c r="G265" i="18"/>
  <c r="I265" i="18"/>
  <c r="J265" i="18"/>
  <c r="K265" i="18"/>
  <c r="E266" i="18"/>
  <c r="F266" i="18"/>
  <c r="G266" i="18"/>
  <c r="I266" i="18"/>
  <c r="J266" i="18"/>
  <c r="K266" i="18"/>
  <c r="E267" i="18"/>
  <c r="F267" i="18"/>
  <c r="G267" i="18"/>
  <c r="I267" i="18"/>
  <c r="J267" i="18"/>
  <c r="K267" i="18"/>
  <c r="G270" i="18"/>
  <c r="K270" i="18"/>
  <c r="G271" i="18"/>
  <c r="K271" i="18"/>
  <c r="G274" i="18"/>
  <c r="K274" i="18"/>
  <c r="G275" i="18"/>
  <c r="K275" i="18"/>
  <c r="G276" i="18"/>
  <c r="K276" i="18"/>
  <c r="G277" i="18"/>
  <c r="K277" i="18"/>
  <c r="G101" i="17"/>
  <c r="J101" i="17"/>
  <c r="G106" i="17"/>
  <c r="J106" i="17"/>
  <c r="G122" i="17"/>
  <c r="J122" i="17"/>
  <c r="G123" i="17"/>
  <c r="J123" i="17"/>
  <c r="G124" i="17"/>
  <c r="J124" i="17"/>
  <c r="G125" i="17"/>
  <c r="J125" i="17"/>
  <c r="G126" i="17"/>
  <c r="J126" i="17"/>
  <c r="G140" i="17"/>
  <c r="J140" i="17"/>
  <c r="G141" i="17"/>
  <c r="J141" i="17"/>
  <c r="G142" i="17"/>
  <c r="J142" i="17"/>
  <c r="G143" i="17"/>
  <c r="J143" i="17"/>
  <c r="G144" i="17"/>
  <c r="J144" i="17"/>
  <c r="G145" i="17"/>
  <c r="J145" i="17"/>
  <c r="G157" i="17"/>
  <c r="J157" i="17"/>
  <c r="G158" i="17"/>
  <c r="J158" i="17"/>
  <c r="G161" i="17"/>
  <c r="J161" i="17"/>
  <c r="G162" i="17"/>
  <c r="J162" i="17"/>
  <c r="G167" i="17"/>
  <c r="J167" i="17"/>
  <c r="G168" i="17"/>
  <c r="J168" i="17"/>
  <c r="G170" i="17"/>
  <c r="J170" i="17"/>
  <c r="G175" i="17"/>
  <c r="J175" i="17"/>
  <c r="G176" i="17"/>
  <c r="J176" i="17"/>
  <c r="G178" i="17"/>
  <c r="J178" i="17"/>
  <c r="F179" i="17"/>
  <c r="G179" i="17"/>
  <c r="I179" i="17"/>
  <c r="J179" i="17"/>
  <c r="F180" i="17"/>
  <c r="G180" i="17"/>
  <c r="I180" i="17"/>
  <c r="J180" i="17"/>
  <c r="F181" i="17"/>
  <c r="G181" i="17"/>
  <c r="I181" i="17"/>
  <c r="J181" i="17"/>
  <c r="F182" i="17"/>
  <c r="G182" i="17"/>
  <c r="I182" i="17"/>
  <c r="J182" i="17"/>
  <c r="F183" i="17"/>
  <c r="G183" i="17"/>
  <c r="I183" i="17"/>
  <c r="J183" i="17"/>
  <c r="G186" i="17"/>
  <c r="J186" i="17"/>
  <c r="G187" i="17"/>
  <c r="J187" i="17"/>
  <c r="G190" i="17"/>
  <c r="J190" i="17"/>
  <c r="G191" i="17"/>
  <c r="J191" i="17"/>
  <c r="G192" i="17"/>
  <c r="J192" i="17"/>
  <c r="G193" i="17"/>
  <c r="J193" i="17"/>
  <c r="G194" i="17"/>
  <c r="J194" i="17"/>
  <c r="G196" i="17"/>
  <c r="J196" i="17"/>
  <c r="G197" i="17"/>
  <c r="J197" i="17"/>
  <c r="G198" i="17"/>
  <c r="J198" i="17"/>
  <c r="G199" i="17"/>
  <c r="J199" i="17"/>
  <c r="G202" i="17"/>
  <c r="J202" i="17"/>
  <c r="G203" i="17"/>
  <c r="J203" i="17"/>
  <c r="J221" i="17"/>
  <c r="J222" i="17"/>
  <c r="J223" i="17"/>
  <c r="J224" i="17"/>
  <c r="E230" i="17"/>
  <c r="G230" i="17"/>
  <c r="F231" i="17"/>
  <c r="G231" i="17"/>
  <c r="F232" i="17"/>
  <c r="F233" i="17"/>
  <c r="E234" i="17"/>
  <c r="F234" i="17"/>
  <c r="G241" i="17"/>
  <c r="I241" i="17"/>
  <c r="G242" i="17"/>
  <c r="I242" i="17"/>
  <c r="G243" i="17"/>
  <c r="I243" i="17"/>
  <c r="G244" i="17"/>
  <c r="I244" i="17"/>
  <c r="G249" i="17"/>
  <c r="I249" i="17"/>
  <c r="G250" i="17"/>
  <c r="I250" i="17"/>
  <c r="E258" i="17"/>
  <c r="F258" i="17"/>
  <c r="G258" i="17"/>
  <c r="I258" i="17"/>
  <c r="J258" i="17"/>
  <c r="K258" i="17"/>
  <c r="E259" i="17"/>
  <c r="F259" i="17"/>
  <c r="G259" i="17"/>
  <c r="I259" i="17"/>
  <c r="J259" i="17"/>
  <c r="K259" i="17"/>
  <c r="E260" i="17"/>
  <c r="F260" i="17"/>
  <c r="G260" i="17"/>
  <c r="I260" i="17"/>
  <c r="J260" i="17"/>
  <c r="K260" i="17"/>
  <c r="E264" i="17"/>
  <c r="F264" i="17"/>
  <c r="G264" i="17"/>
  <c r="I264" i="17"/>
  <c r="J264" i="17"/>
  <c r="K264" i="17"/>
  <c r="E265" i="17"/>
  <c r="F265" i="17"/>
  <c r="G265" i="17"/>
  <c r="I265" i="17"/>
  <c r="J265" i="17"/>
  <c r="K265" i="17"/>
  <c r="E266" i="17"/>
  <c r="F266" i="17"/>
  <c r="G266" i="17"/>
  <c r="I266" i="17"/>
  <c r="J266" i="17"/>
  <c r="K266" i="17"/>
  <c r="E267" i="17"/>
  <c r="F267" i="17"/>
  <c r="G267" i="17"/>
  <c r="I267" i="17"/>
  <c r="J267" i="17"/>
  <c r="K267" i="17"/>
  <c r="G270" i="17"/>
  <c r="K270" i="17"/>
  <c r="G271" i="17"/>
  <c r="K271" i="17"/>
  <c r="G274" i="17"/>
  <c r="K274" i="17"/>
  <c r="G275" i="17"/>
  <c r="K275" i="17"/>
  <c r="G276" i="17"/>
  <c r="K276" i="17"/>
  <c r="G277" i="17"/>
  <c r="K277" i="17"/>
  <c r="I281" i="2"/>
  <c r="N281" i="2"/>
  <c r="I282" i="2"/>
  <c r="L282" i="2"/>
  <c r="N282" i="2"/>
  <c r="I283" i="2"/>
  <c r="L283" i="2"/>
  <c r="N283" i="2"/>
  <c r="I284" i="2"/>
  <c r="L284" i="2"/>
  <c r="N284" i="2"/>
  <c r="I285" i="2"/>
  <c r="L285" i="2"/>
  <c r="N285" i="2"/>
  <c r="I286" i="2"/>
  <c r="L286" i="2"/>
  <c r="N286" i="2"/>
  <c r="I288" i="2"/>
  <c r="L288" i="2"/>
  <c r="N288" i="2"/>
  <c r="E293" i="2"/>
  <c r="F293" i="2"/>
  <c r="G293" i="2"/>
  <c r="O293" i="2"/>
  <c r="P293" i="2"/>
  <c r="Q293" i="2"/>
  <c r="F294" i="2"/>
  <c r="G294" i="2"/>
  <c r="P294" i="2"/>
  <c r="Q294" i="2"/>
  <c r="F295" i="2"/>
  <c r="P295" i="2"/>
  <c r="E296" i="2"/>
  <c r="F296" i="2"/>
  <c r="G296" i="2"/>
  <c r="O296" i="2"/>
  <c r="P296" i="2"/>
  <c r="Q296" i="2"/>
  <c r="E297" i="2"/>
  <c r="F297" i="2"/>
  <c r="O297" i="2"/>
  <c r="P297" i="2"/>
  <c r="E298" i="2"/>
  <c r="F298" i="2"/>
  <c r="G298" i="2"/>
  <c r="O298" i="2"/>
  <c r="P298" i="2"/>
  <c r="Q298" i="2"/>
  <c r="G305" i="2"/>
  <c r="I305" i="2"/>
  <c r="L305" i="2"/>
  <c r="N305" i="2"/>
  <c r="G306" i="2"/>
  <c r="I306" i="2"/>
  <c r="L306" i="2"/>
  <c r="N306" i="2"/>
  <c r="G307" i="2"/>
  <c r="I307" i="2"/>
  <c r="L307" i="2"/>
  <c r="N307" i="2"/>
  <c r="G310" i="2"/>
  <c r="I310" i="2"/>
  <c r="L310" i="2"/>
  <c r="N310" i="2"/>
  <c r="E318" i="2"/>
  <c r="F318" i="2"/>
  <c r="G318" i="2"/>
  <c r="H318" i="2"/>
  <c r="I318" i="2"/>
  <c r="J318" i="2"/>
  <c r="L318" i="2"/>
  <c r="M318" i="2"/>
  <c r="N318" i="2"/>
  <c r="O318" i="2"/>
  <c r="P318" i="2"/>
  <c r="Q318" i="2"/>
  <c r="E319" i="2"/>
  <c r="F319" i="2"/>
  <c r="G319" i="2"/>
  <c r="H319" i="2"/>
  <c r="I319" i="2"/>
  <c r="J319" i="2"/>
  <c r="L319" i="2"/>
  <c r="M319" i="2"/>
  <c r="N319" i="2"/>
  <c r="O319" i="2"/>
  <c r="P319" i="2"/>
  <c r="Q319" i="2"/>
  <c r="E320" i="2"/>
  <c r="F320" i="2"/>
  <c r="G320" i="2"/>
  <c r="H320" i="2"/>
  <c r="I320" i="2"/>
  <c r="J320" i="2"/>
  <c r="L320" i="2"/>
  <c r="M320" i="2"/>
  <c r="N320" i="2"/>
  <c r="O320" i="2"/>
  <c r="P320" i="2"/>
  <c r="Q320" i="2"/>
  <c r="E324" i="2"/>
  <c r="F324" i="2"/>
  <c r="G324" i="2"/>
  <c r="H324" i="2"/>
  <c r="I324" i="2"/>
  <c r="J324" i="2"/>
  <c r="K324" i="2"/>
  <c r="L324" i="2"/>
  <c r="M324" i="2"/>
  <c r="N324" i="2"/>
  <c r="O324" i="2"/>
  <c r="P324" i="2"/>
  <c r="Q324" i="2"/>
  <c r="R324" i="2"/>
  <c r="E325" i="2"/>
  <c r="F325" i="2"/>
  <c r="G325" i="2"/>
  <c r="H325" i="2"/>
  <c r="I325" i="2"/>
  <c r="J325" i="2"/>
  <c r="K325" i="2"/>
  <c r="L325" i="2"/>
  <c r="M325" i="2"/>
  <c r="N325" i="2"/>
  <c r="O325" i="2"/>
  <c r="P325" i="2"/>
  <c r="Q325" i="2"/>
  <c r="R325" i="2"/>
  <c r="E326" i="2"/>
  <c r="F326" i="2"/>
  <c r="G326" i="2"/>
  <c r="H326" i="2"/>
  <c r="I326" i="2"/>
  <c r="J326" i="2"/>
  <c r="K326" i="2"/>
  <c r="L326" i="2"/>
  <c r="M326" i="2"/>
  <c r="N326" i="2"/>
  <c r="O326" i="2"/>
  <c r="P326" i="2"/>
  <c r="Q326" i="2"/>
  <c r="R326" i="2"/>
  <c r="E327" i="2"/>
  <c r="F327" i="2"/>
  <c r="G327" i="2"/>
  <c r="H327" i="2"/>
  <c r="I327" i="2"/>
  <c r="J327" i="2"/>
  <c r="L327" i="2"/>
  <c r="M327" i="2"/>
  <c r="N327" i="2"/>
  <c r="O327" i="2"/>
  <c r="P327" i="2"/>
  <c r="Q327" i="2"/>
  <c r="G330" i="2"/>
  <c r="J330" i="2"/>
  <c r="N330" i="2"/>
  <c r="Q330" i="2"/>
  <c r="G333" i="2"/>
  <c r="H333" i="2"/>
  <c r="I333" i="2"/>
  <c r="N333" i="2"/>
  <c r="O333" i="2"/>
  <c r="P333" i="2"/>
  <c r="G334" i="2"/>
  <c r="H334" i="2"/>
  <c r="I334" i="2"/>
  <c r="N334" i="2"/>
  <c r="O334" i="2"/>
  <c r="P334" i="2"/>
  <c r="G335" i="2"/>
  <c r="H335" i="2"/>
  <c r="I335" i="2"/>
  <c r="N335" i="2"/>
  <c r="O335" i="2"/>
  <c r="P335" i="2"/>
  <c r="G336" i="2"/>
  <c r="H336" i="2"/>
  <c r="I336" i="2"/>
  <c r="N336" i="2"/>
  <c r="O336" i="2"/>
  <c r="P336" i="2"/>
  <c r="G343" i="2"/>
  <c r="I343" i="2"/>
  <c r="N343" i="2"/>
  <c r="P343" i="2"/>
  <c r="E349" i="2"/>
  <c r="F349" i="2"/>
  <c r="G349" i="2"/>
  <c r="I349" i="2"/>
  <c r="J349" i="2"/>
  <c r="K349" i="2"/>
  <c r="M349" i="2"/>
  <c r="E350" i="2"/>
  <c r="F350" i="2"/>
  <c r="G350" i="2"/>
  <c r="I350" i="2"/>
  <c r="J350" i="2"/>
  <c r="K350" i="2"/>
  <c r="M350" i="2"/>
  <c r="E351" i="2"/>
  <c r="F351" i="2"/>
  <c r="G351" i="2"/>
  <c r="I351" i="2"/>
  <c r="J351" i="2"/>
  <c r="K351" i="2"/>
  <c r="M351" i="2"/>
  <c r="G353" i="2"/>
  <c r="K353" i="2"/>
  <c r="M353" i="2"/>
  <c r="G354" i="2"/>
  <c r="K354" i="2"/>
  <c r="M354" i="2"/>
  <c r="G355" i="2"/>
  <c r="K355" i="2"/>
  <c r="M355" i="2"/>
  <c r="G356" i="2"/>
  <c r="K356" i="2"/>
  <c r="M356" i="2"/>
  <c r="I281" i="6"/>
  <c r="N281" i="6"/>
  <c r="I282" i="6"/>
  <c r="L282" i="6"/>
  <c r="N282" i="6"/>
  <c r="I283" i="6"/>
  <c r="L283" i="6"/>
  <c r="N283" i="6"/>
  <c r="I284" i="6"/>
  <c r="L284" i="6"/>
  <c r="N284" i="6"/>
  <c r="I285" i="6"/>
  <c r="L285" i="6"/>
  <c r="N285" i="6"/>
  <c r="I286" i="6"/>
  <c r="L286" i="6"/>
  <c r="N286" i="6"/>
  <c r="I288" i="6"/>
  <c r="L288" i="6"/>
  <c r="N288" i="6"/>
  <c r="E293" i="6"/>
  <c r="F293" i="6"/>
  <c r="G293" i="6"/>
  <c r="O293" i="6"/>
  <c r="P293" i="6"/>
  <c r="Q293" i="6"/>
  <c r="F294" i="6"/>
  <c r="G294" i="6"/>
  <c r="P294" i="6"/>
  <c r="Q294" i="6"/>
  <c r="F295" i="6"/>
  <c r="P295" i="6"/>
  <c r="E296" i="6"/>
  <c r="F296" i="6"/>
  <c r="G296" i="6"/>
  <c r="O296" i="6"/>
  <c r="P296" i="6"/>
  <c r="Q296" i="6"/>
  <c r="E297" i="6"/>
  <c r="F297" i="6"/>
  <c r="O297" i="6"/>
  <c r="P297" i="6"/>
  <c r="E298" i="6"/>
  <c r="F298" i="6"/>
  <c r="G298" i="6"/>
  <c r="O298" i="6"/>
  <c r="P298" i="6"/>
  <c r="Q298" i="6"/>
  <c r="G305" i="6"/>
  <c r="I305" i="6"/>
  <c r="L305" i="6"/>
  <c r="N305" i="6"/>
  <c r="G306" i="6"/>
  <c r="I306" i="6"/>
  <c r="L306" i="6"/>
  <c r="N306" i="6"/>
  <c r="G307" i="6"/>
  <c r="I307" i="6"/>
  <c r="L307" i="6"/>
  <c r="N307" i="6"/>
  <c r="G310" i="6"/>
  <c r="I310" i="6"/>
  <c r="L310" i="6"/>
  <c r="N310" i="6"/>
  <c r="E318" i="6"/>
  <c r="F318" i="6"/>
  <c r="G318" i="6"/>
  <c r="H318" i="6"/>
  <c r="I318" i="6"/>
  <c r="J318" i="6"/>
  <c r="L318" i="6"/>
  <c r="M318" i="6"/>
  <c r="N318" i="6"/>
  <c r="O318" i="6"/>
  <c r="P318" i="6"/>
  <c r="Q318" i="6"/>
  <c r="E319" i="6"/>
  <c r="F319" i="6"/>
  <c r="G319" i="6"/>
  <c r="H319" i="6"/>
  <c r="I319" i="6"/>
  <c r="J319" i="6"/>
  <c r="L319" i="6"/>
  <c r="M319" i="6"/>
  <c r="N319" i="6"/>
  <c r="O319" i="6"/>
  <c r="P319" i="6"/>
  <c r="Q319" i="6"/>
  <c r="E320" i="6"/>
  <c r="F320" i="6"/>
  <c r="G320" i="6"/>
  <c r="H320" i="6"/>
  <c r="I320" i="6"/>
  <c r="J320" i="6"/>
  <c r="L320" i="6"/>
  <c r="M320" i="6"/>
  <c r="N320" i="6"/>
  <c r="O320" i="6"/>
  <c r="P320" i="6"/>
  <c r="Q320" i="6"/>
  <c r="E324" i="6"/>
  <c r="F324" i="6"/>
  <c r="G324" i="6"/>
  <c r="H324" i="6"/>
  <c r="I324" i="6"/>
  <c r="J324" i="6"/>
  <c r="K324" i="6"/>
  <c r="L324" i="6"/>
  <c r="M324" i="6"/>
  <c r="N324" i="6"/>
  <c r="O324" i="6"/>
  <c r="P324" i="6"/>
  <c r="Q324" i="6"/>
  <c r="R324" i="6"/>
  <c r="E325" i="6"/>
  <c r="F325" i="6"/>
  <c r="G325" i="6"/>
  <c r="H325" i="6"/>
  <c r="I325" i="6"/>
  <c r="J325" i="6"/>
  <c r="K325" i="6"/>
  <c r="L325" i="6"/>
  <c r="M325" i="6"/>
  <c r="N325" i="6"/>
  <c r="O325" i="6"/>
  <c r="P325" i="6"/>
  <c r="Q325" i="6"/>
  <c r="R325" i="6"/>
  <c r="E326" i="6"/>
  <c r="F326" i="6"/>
  <c r="G326" i="6"/>
  <c r="H326" i="6"/>
  <c r="I326" i="6"/>
  <c r="J326" i="6"/>
  <c r="K326" i="6"/>
  <c r="L326" i="6"/>
  <c r="M326" i="6"/>
  <c r="N326" i="6"/>
  <c r="O326" i="6"/>
  <c r="P326" i="6"/>
  <c r="Q326" i="6"/>
  <c r="R326" i="6"/>
  <c r="E327" i="6"/>
  <c r="F327" i="6"/>
  <c r="G327" i="6"/>
  <c r="H327" i="6"/>
  <c r="I327" i="6"/>
  <c r="J327" i="6"/>
  <c r="L327" i="6"/>
  <c r="M327" i="6"/>
  <c r="N327" i="6"/>
  <c r="O327" i="6"/>
  <c r="P327" i="6"/>
  <c r="Q327" i="6"/>
  <c r="G330" i="6"/>
  <c r="J330" i="6"/>
  <c r="N330" i="6"/>
  <c r="Q330" i="6"/>
  <c r="G333" i="6"/>
  <c r="H333" i="6"/>
  <c r="I333" i="6"/>
  <c r="N333" i="6"/>
  <c r="O333" i="6"/>
  <c r="P333" i="6"/>
  <c r="G334" i="6"/>
  <c r="H334" i="6"/>
  <c r="I334" i="6"/>
  <c r="N334" i="6"/>
  <c r="O334" i="6"/>
  <c r="P334" i="6"/>
  <c r="G335" i="6"/>
  <c r="H335" i="6"/>
  <c r="I335" i="6"/>
  <c r="N335" i="6"/>
  <c r="O335" i="6"/>
  <c r="P335" i="6"/>
  <c r="G336" i="6"/>
  <c r="H336" i="6"/>
  <c r="I336" i="6"/>
  <c r="N336" i="6"/>
  <c r="O336" i="6"/>
  <c r="P336" i="6"/>
  <c r="G343" i="6"/>
  <c r="I343" i="6"/>
  <c r="N343" i="6"/>
  <c r="P343" i="6"/>
  <c r="E349" i="6"/>
  <c r="F349" i="6"/>
  <c r="G349" i="6"/>
  <c r="I349" i="6"/>
  <c r="J349" i="6"/>
  <c r="K349" i="6"/>
  <c r="M349" i="6"/>
  <c r="E350" i="6"/>
  <c r="F350" i="6"/>
  <c r="G350" i="6"/>
  <c r="I350" i="6"/>
  <c r="J350" i="6"/>
  <c r="K350" i="6"/>
  <c r="M350" i="6"/>
  <c r="E351" i="6"/>
  <c r="F351" i="6"/>
  <c r="G351" i="6"/>
  <c r="I351" i="6"/>
  <c r="J351" i="6"/>
  <c r="K351" i="6"/>
  <c r="M351" i="6"/>
  <c r="G353" i="6"/>
  <c r="K353" i="6"/>
  <c r="M353" i="6"/>
  <c r="G354" i="6"/>
  <c r="K354" i="6"/>
  <c r="M354" i="6"/>
  <c r="G355" i="6"/>
  <c r="K355" i="6"/>
  <c r="M355" i="6"/>
  <c r="G356" i="6"/>
  <c r="K356" i="6"/>
  <c r="M356" i="6"/>
  <c r="I281" i="3"/>
  <c r="N281" i="3"/>
  <c r="I282" i="3"/>
  <c r="L282" i="3"/>
  <c r="N282" i="3"/>
  <c r="I283" i="3"/>
  <c r="L283" i="3"/>
  <c r="N283" i="3"/>
  <c r="I284" i="3"/>
  <c r="L284" i="3"/>
  <c r="N284" i="3"/>
  <c r="I285" i="3"/>
  <c r="L285" i="3"/>
  <c r="N285" i="3"/>
  <c r="I286" i="3"/>
  <c r="L286" i="3"/>
  <c r="N286" i="3"/>
  <c r="I288" i="3"/>
  <c r="L288" i="3"/>
  <c r="N288" i="3"/>
  <c r="E293" i="3"/>
  <c r="F293" i="3"/>
  <c r="G293" i="3"/>
  <c r="O293" i="3"/>
  <c r="P293" i="3"/>
  <c r="Q293" i="3"/>
  <c r="F294" i="3"/>
  <c r="G294" i="3"/>
  <c r="P294" i="3"/>
  <c r="Q294" i="3"/>
  <c r="F295" i="3"/>
  <c r="P295" i="3"/>
  <c r="E296" i="3"/>
  <c r="F296" i="3"/>
  <c r="G296" i="3"/>
  <c r="O296" i="3"/>
  <c r="P296" i="3"/>
  <c r="Q296" i="3"/>
  <c r="E297" i="3"/>
  <c r="F297" i="3"/>
  <c r="O297" i="3"/>
  <c r="P297" i="3"/>
  <c r="E298" i="3"/>
  <c r="F298" i="3"/>
  <c r="G298" i="3"/>
  <c r="O298" i="3"/>
  <c r="P298" i="3"/>
  <c r="Q298" i="3"/>
  <c r="G305" i="3"/>
  <c r="I305" i="3"/>
  <c r="L305" i="3"/>
  <c r="N305" i="3"/>
  <c r="G306" i="3"/>
  <c r="I306" i="3"/>
  <c r="L306" i="3"/>
  <c r="N306" i="3"/>
  <c r="G307" i="3"/>
  <c r="I307" i="3"/>
  <c r="L307" i="3"/>
  <c r="N307" i="3"/>
  <c r="G310" i="3"/>
  <c r="I310" i="3"/>
  <c r="L310" i="3"/>
  <c r="N310" i="3"/>
  <c r="E318" i="3"/>
  <c r="F318" i="3"/>
  <c r="G318" i="3"/>
  <c r="H318" i="3"/>
  <c r="I318" i="3"/>
  <c r="J318" i="3"/>
  <c r="L318" i="3"/>
  <c r="M318" i="3"/>
  <c r="N318" i="3"/>
  <c r="O318" i="3"/>
  <c r="P318" i="3"/>
  <c r="Q318" i="3"/>
  <c r="E319" i="3"/>
  <c r="F319" i="3"/>
  <c r="G319" i="3"/>
  <c r="H319" i="3"/>
  <c r="I319" i="3"/>
  <c r="J319" i="3"/>
  <c r="L319" i="3"/>
  <c r="M319" i="3"/>
  <c r="N319" i="3"/>
  <c r="O319" i="3"/>
  <c r="P319" i="3"/>
  <c r="Q319" i="3"/>
  <c r="E320" i="3"/>
  <c r="F320" i="3"/>
  <c r="G320" i="3"/>
  <c r="H320" i="3"/>
  <c r="I320" i="3"/>
  <c r="J320" i="3"/>
  <c r="L320" i="3"/>
  <c r="M320" i="3"/>
  <c r="N320" i="3"/>
  <c r="O320" i="3"/>
  <c r="P320" i="3"/>
  <c r="Q320" i="3"/>
  <c r="E324" i="3"/>
  <c r="F324" i="3"/>
  <c r="G324" i="3"/>
  <c r="H324" i="3"/>
  <c r="I324" i="3"/>
  <c r="J324" i="3"/>
  <c r="K324" i="3"/>
  <c r="L324" i="3"/>
  <c r="M324" i="3"/>
  <c r="N324" i="3"/>
  <c r="O324" i="3"/>
  <c r="P324" i="3"/>
  <c r="Q324" i="3"/>
  <c r="R324" i="3"/>
  <c r="E325" i="3"/>
  <c r="F325" i="3"/>
  <c r="G325" i="3"/>
  <c r="H325" i="3"/>
  <c r="I325" i="3"/>
  <c r="J325" i="3"/>
  <c r="K325" i="3"/>
  <c r="L325" i="3"/>
  <c r="M325" i="3"/>
  <c r="N325" i="3"/>
  <c r="O325" i="3"/>
  <c r="P325" i="3"/>
  <c r="Q325" i="3"/>
  <c r="R325" i="3"/>
  <c r="E326" i="3"/>
  <c r="F326" i="3"/>
  <c r="G326" i="3"/>
  <c r="H326" i="3"/>
  <c r="I326" i="3"/>
  <c r="J326" i="3"/>
  <c r="K326" i="3"/>
  <c r="L326" i="3"/>
  <c r="M326" i="3"/>
  <c r="N326" i="3"/>
  <c r="O326" i="3"/>
  <c r="P326" i="3"/>
  <c r="Q326" i="3"/>
  <c r="R326" i="3"/>
  <c r="E327" i="3"/>
  <c r="F327" i="3"/>
  <c r="G327" i="3"/>
  <c r="H327" i="3"/>
  <c r="I327" i="3"/>
  <c r="J327" i="3"/>
  <c r="L327" i="3"/>
  <c r="M327" i="3"/>
  <c r="N327" i="3"/>
  <c r="O327" i="3"/>
  <c r="P327" i="3"/>
  <c r="Q327" i="3"/>
  <c r="G330" i="3"/>
  <c r="J330" i="3"/>
  <c r="N330" i="3"/>
  <c r="Q330" i="3"/>
  <c r="G333" i="3"/>
  <c r="H333" i="3"/>
  <c r="I333" i="3"/>
  <c r="N333" i="3"/>
  <c r="O333" i="3"/>
  <c r="P333" i="3"/>
  <c r="G334" i="3"/>
  <c r="H334" i="3"/>
  <c r="I334" i="3"/>
  <c r="N334" i="3"/>
  <c r="O334" i="3"/>
  <c r="P334" i="3"/>
  <c r="G335" i="3"/>
  <c r="H335" i="3"/>
  <c r="I335" i="3"/>
  <c r="N335" i="3"/>
  <c r="O335" i="3"/>
  <c r="P335" i="3"/>
  <c r="G336" i="3"/>
  <c r="H336" i="3"/>
  <c r="I336" i="3"/>
  <c r="N336" i="3"/>
  <c r="O336" i="3"/>
  <c r="P336" i="3"/>
  <c r="G343" i="3"/>
  <c r="I343" i="3"/>
  <c r="N343" i="3"/>
  <c r="P343" i="3"/>
  <c r="E349" i="3"/>
  <c r="F349" i="3"/>
  <c r="G349" i="3"/>
  <c r="I349" i="3"/>
  <c r="J349" i="3"/>
  <c r="K349" i="3"/>
  <c r="M349" i="3"/>
  <c r="E350" i="3"/>
  <c r="F350" i="3"/>
  <c r="G350" i="3"/>
  <c r="I350" i="3"/>
  <c r="J350" i="3"/>
  <c r="K350" i="3"/>
  <c r="M350" i="3"/>
  <c r="E351" i="3"/>
  <c r="F351" i="3"/>
  <c r="G351" i="3"/>
  <c r="I351" i="3"/>
  <c r="J351" i="3"/>
  <c r="K351" i="3"/>
  <c r="M351" i="3"/>
  <c r="G353" i="3"/>
  <c r="K353" i="3"/>
  <c r="M353" i="3"/>
  <c r="G354" i="3"/>
  <c r="K354" i="3"/>
  <c r="M354" i="3"/>
  <c r="G355" i="3"/>
  <c r="K355" i="3"/>
  <c r="M355" i="3"/>
  <c r="G356" i="3"/>
  <c r="K356" i="3"/>
  <c r="M356" i="3"/>
  <c r="I281" i="9"/>
  <c r="N281" i="9"/>
  <c r="I282" i="9"/>
  <c r="L282" i="9"/>
  <c r="N282" i="9"/>
  <c r="I283" i="9"/>
  <c r="L283" i="9"/>
  <c r="N283" i="9"/>
  <c r="I284" i="9"/>
  <c r="L284" i="9"/>
  <c r="N284" i="9"/>
  <c r="I285" i="9"/>
  <c r="L285" i="9"/>
  <c r="N285" i="9"/>
  <c r="I286" i="9"/>
  <c r="L286" i="9"/>
  <c r="N286" i="9"/>
  <c r="I288" i="9"/>
  <c r="L288" i="9"/>
  <c r="N288" i="9"/>
  <c r="E293" i="9"/>
  <c r="F293" i="9"/>
  <c r="G293" i="9"/>
  <c r="O293" i="9"/>
  <c r="P293" i="9"/>
  <c r="Q293" i="9"/>
  <c r="F294" i="9"/>
  <c r="G294" i="9"/>
  <c r="P294" i="9"/>
  <c r="Q294" i="9"/>
  <c r="F295" i="9"/>
  <c r="P295" i="9"/>
  <c r="E296" i="9"/>
  <c r="F296" i="9"/>
  <c r="G296" i="9"/>
  <c r="O296" i="9"/>
  <c r="P296" i="9"/>
  <c r="Q296" i="9"/>
  <c r="E297" i="9"/>
  <c r="F297" i="9"/>
  <c r="O297" i="9"/>
  <c r="P297" i="9"/>
  <c r="E298" i="9"/>
  <c r="F298" i="9"/>
  <c r="G298" i="9"/>
  <c r="O298" i="9"/>
  <c r="P298" i="9"/>
  <c r="Q298" i="9"/>
  <c r="G305" i="9"/>
  <c r="I305" i="9"/>
  <c r="L305" i="9"/>
  <c r="N305" i="9"/>
  <c r="G306" i="9"/>
  <c r="I306" i="9"/>
  <c r="L306" i="9"/>
  <c r="N306" i="9"/>
  <c r="G307" i="9"/>
  <c r="I307" i="9"/>
  <c r="L307" i="9"/>
  <c r="N307" i="9"/>
  <c r="G310" i="9"/>
  <c r="I310" i="9"/>
  <c r="L310" i="9"/>
  <c r="N310" i="9"/>
  <c r="E318" i="9"/>
  <c r="F318" i="9"/>
  <c r="G318" i="9"/>
  <c r="H318" i="9"/>
  <c r="I318" i="9"/>
  <c r="J318" i="9"/>
  <c r="L318" i="9"/>
  <c r="M318" i="9"/>
  <c r="N318" i="9"/>
  <c r="O318" i="9"/>
  <c r="P318" i="9"/>
  <c r="Q318" i="9"/>
  <c r="E319" i="9"/>
  <c r="F319" i="9"/>
  <c r="G319" i="9"/>
  <c r="H319" i="9"/>
  <c r="I319" i="9"/>
  <c r="J319" i="9"/>
  <c r="L319" i="9"/>
  <c r="M319" i="9"/>
  <c r="N319" i="9"/>
  <c r="O319" i="9"/>
  <c r="P319" i="9"/>
  <c r="Q319" i="9"/>
  <c r="E320" i="9"/>
  <c r="F320" i="9"/>
  <c r="G320" i="9"/>
  <c r="H320" i="9"/>
  <c r="I320" i="9"/>
  <c r="J320" i="9"/>
  <c r="L320" i="9"/>
  <c r="M320" i="9"/>
  <c r="N320" i="9"/>
  <c r="O320" i="9"/>
  <c r="P320" i="9"/>
  <c r="Q320" i="9"/>
  <c r="E324" i="9"/>
  <c r="F324" i="9"/>
  <c r="G324" i="9"/>
  <c r="H324" i="9"/>
  <c r="I324" i="9"/>
  <c r="J324" i="9"/>
  <c r="K324" i="9"/>
  <c r="L324" i="9"/>
  <c r="M324" i="9"/>
  <c r="N324" i="9"/>
  <c r="O324" i="9"/>
  <c r="P324" i="9"/>
  <c r="Q324" i="9"/>
  <c r="R324" i="9"/>
  <c r="E325" i="9"/>
  <c r="F325" i="9"/>
  <c r="G325" i="9"/>
  <c r="H325" i="9"/>
  <c r="I325" i="9"/>
  <c r="J325" i="9"/>
  <c r="K325" i="9"/>
  <c r="L325" i="9"/>
  <c r="M325" i="9"/>
  <c r="N325" i="9"/>
  <c r="O325" i="9"/>
  <c r="P325" i="9"/>
  <c r="Q325" i="9"/>
  <c r="R325" i="9"/>
  <c r="E326" i="9"/>
  <c r="F326" i="9"/>
  <c r="G326" i="9"/>
  <c r="H326" i="9"/>
  <c r="I326" i="9"/>
  <c r="J326" i="9"/>
  <c r="K326" i="9"/>
  <c r="L326" i="9"/>
  <c r="M326" i="9"/>
  <c r="N326" i="9"/>
  <c r="O326" i="9"/>
  <c r="P326" i="9"/>
  <c r="Q326" i="9"/>
  <c r="R326" i="9"/>
  <c r="E327" i="9"/>
  <c r="F327" i="9"/>
  <c r="G327" i="9"/>
  <c r="H327" i="9"/>
  <c r="I327" i="9"/>
  <c r="J327" i="9"/>
  <c r="L327" i="9"/>
  <c r="M327" i="9"/>
  <c r="N327" i="9"/>
  <c r="O327" i="9"/>
  <c r="P327" i="9"/>
  <c r="Q327" i="9"/>
  <c r="G330" i="9"/>
  <c r="J330" i="9"/>
  <c r="N330" i="9"/>
  <c r="Q330" i="9"/>
  <c r="G333" i="9"/>
  <c r="H333" i="9"/>
  <c r="I333" i="9"/>
  <c r="N333" i="9"/>
  <c r="O333" i="9"/>
  <c r="P333" i="9"/>
  <c r="G334" i="9"/>
  <c r="H334" i="9"/>
  <c r="I334" i="9"/>
  <c r="N334" i="9"/>
  <c r="O334" i="9"/>
  <c r="P334" i="9"/>
  <c r="G335" i="9"/>
  <c r="H335" i="9"/>
  <c r="I335" i="9"/>
  <c r="N335" i="9"/>
  <c r="O335" i="9"/>
  <c r="P335" i="9"/>
  <c r="G336" i="9"/>
  <c r="H336" i="9"/>
  <c r="I336" i="9"/>
  <c r="N336" i="9"/>
  <c r="O336" i="9"/>
  <c r="P336" i="9"/>
  <c r="G343" i="9"/>
  <c r="I343" i="9"/>
  <c r="N343" i="9"/>
  <c r="P343" i="9"/>
  <c r="E349" i="9"/>
  <c r="F349" i="9"/>
  <c r="G349" i="9"/>
  <c r="I349" i="9"/>
  <c r="J349" i="9"/>
  <c r="K349" i="9"/>
  <c r="M349" i="9"/>
  <c r="E350" i="9"/>
  <c r="F350" i="9"/>
  <c r="G350" i="9"/>
  <c r="I350" i="9"/>
  <c r="J350" i="9"/>
  <c r="K350" i="9"/>
  <c r="M350" i="9"/>
  <c r="E351" i="9"/>
  <c r="F351" i="9"/>
  <c r="G351" i="9"/>
  <c r="I351" i="9"/>
  <c r="J351" i="9"/>
  <c r="K351" i="9"/>
  <c r="M351" i="9"/>
  <c r="G353" i="9"/>
  <c r="K353" i="9"/>
  <c r="M353" i="9"/>
  <c r="G354" i="9"/>
  <c r="K354" i="9"/>
  <c r="M354" i="9"/>
  <c r="G355" i="9"/>
  <c r="K355" i="9"/>
  <c r="M355" i="9"/>
  <c r="G356" i="9"/>
  <c r="K356" i="9"/>
  <c r="M356" i="9"/>
  <c r="I281" i="13"/>
  <c r="N281" i="13"/>
  <c r="I282" i="13"/>
  <c r="L282" i="13"/>
  <c r="N282" i="13"/>
  <c r="I283" i="13"/>
  <c r="L283" i="13"/>
  <c r="N283" i="13"/>
  <c r="I284" i="13"/>
  <c r="L284" i="13"/>
  <c r="N284" i="13"/>
  <c r="I285" i="13"/>
  <c r="L285" i="13"/>
  <c r="N285" i="13"/>
  <c r="I286" i="13"/>
  <c r="L286" i="13"/>
  <c r="N286" i="13"/>
  <c r="I288" i="13"/>
  <c r="L288" i="13"/>
  <c r="N288" i="13"/>
  <c r="E293" i="13"/>
  <c r="F293" i="13"/>
  <c r="G293" i="13"/>
  <c r="O293" i="13"/>
  <c r="P293" i="13"/>
  <c r="Q293" i="13"/>
  <c r="F294" i="13"/>
  <c r="G294" i="13"/>
  <c r="P294" i="13"/>
  <c r="Q294" i="13"/>
  <c r="F295" i="13"/>
  <c r="P295" i="13"/>
  <c r="E296" i="13"/>
  <c r="F296" i="13"/>
  <c r="G296" i="13"/>
  <c r="O296" i="13"/>
  <c r="P296" i="13"/>
  <c r="Q296" i="13"/>
  <c r="E297" i="13"/>
  <c r="F297" i="13"/>
  <c r="O297" i="13"/>
  <c r="P297" i="13"/>
  <c r="E298" i="13"/>
  <c r="F298" i="13"/>
  <c r="G298" i="13"/>
  <c r="O298" i="13"/>
  <c r="P298" i="13"/>
  <c r="Q298" i="13"/>
  <c r="G305" i="13"/>
  <c r="I305" i="13"/>
  <c r="L305" i="13"/>
  <c r="N305" i="13"/>
  <c r="G306" i="13"/>
  <c r="I306" i="13"/>
  <c r="L306" i="13"/>
  <c r="N306" i="13"/>
  <c r="G307" i="13"/>
  <c r="I307" i="13"/>
  <c r="L307" i="13"/>
  <c r="N307" i="13"/>
  <c r="G310" i="13"/>
  <c r="I310" i="13"/>
  <c r="L310" i="13"/>
  <c r="N310" i="13"/>
  <c r="E318" i="13"/>
  <c r="F318" i="13"/>
  <c r="G318" i="13"/>
  <c r="H318" i="13"/>
  <c r="I318" i="13"/>
  <c r="J318" i="13"/>
  <c r="L318" i="13"/>
  <c r="M318" i="13"/>
  <c r="N318" i="13"/>
  <c r="O318" i="13"/>
  <c r="P318" i="13"/>
  <c r="Q318" i="13"/>
  <c r="E319" i="13"/>
  <c r="F319" i="13"/>
  <c r="G319" i="13"/>
  <c r="H319" i="13"/>
  <c r="I319" i="13"/>
  <c r="J319" i="13"/>
  <c r="L319" i="13"/>
  <c r="M319" i="13"/>
  <c r="N319" i="13"/>
  <c r="O319" i="13"/>
  <c r="P319" i="13"/>
  <c r="Q319" i="13"/>
  <c r="E320" i="13"/>
  <c r="F320" i="13"/>
  <c r="G320" i="13"/>
  <c r="H320" i="13"/>
  <c r="I320" i="13"/>
  <c r="J320" i="13"/>
  <c r="L320" i="13"/>
  <c r="M320" i="13"/>
  <c r="N320" i="13"/>
  <c r="O320" i="13"/>
  <c r="P320" i="13"/>
  <c r="Q320" i="13"/>
  <c r="E324" i="13"/>
  <c r="F324" i="13"/>
  <c r="G324" i="13"/>
  <c r="H324" i="13"/>
  <c r="I324" i="13"/>
  <c r="J324" i="13"/>
  <c r="K324" i="13"/>
  <c r="L324" i="13"/>
  <c r="M324" i="13"/>
  <c r="N324" i="13"/>
  <c r="O324" i="13"/>
  <c r="P324" i="13"/>
  <c r="Q324" i="13"/>
  <c r="R324" i="13"/>
  <c r="E325" i="13"/>
  <c r="F325" i="13"/>
  <c r="G325" i="13"/>
  <c r="H325" i="13"/>
  <c r="I325" i="13"/>
  <c r="J325" i="13"/>
  <c r="K325" i="13"/>
  <c r="L325" i="13"/>
  <c r="M325" i="13"/>
  <c r="N325" i="13"/>
  <c r="O325" i="13"/>
  <c r="P325" i="13"/>
  <c r="Q325" i="13"/>
  <c r="R325" i="13"/>
  <c r="E326" i="13"/>
  <c r="F326" i="13"/>
  <c r="G326" i="13"/>
  <c r="H326" i="13"/>
  <c r="I326" i="13"/>
  <c r="J326" i="13"/>
  <c r="K326" i="13"/>
  <c r="L326" i="13"/>
  <c r="M326" i="13"/>
  <c r="N326" i="13"/>
  <c r="O326" i="13"/>
  <c r="P326" i="13"/>
  <c r="Q326" i="13"/>
  <c r="R326" i="13"/>
  <c r="E327" i="13"/>
  <c r="F327" i="13"/>
  <c r="G327" i="13"/>
  <c r="H327" i="13"/>
  <c r="I327" i="13"/>
  <c r="J327" i="13"/>
  <c r="L327" i="13"/>
  <c r="M327" i="13"/>
  <c r="N327" i="13"/>
  <c r="O327" i="13"/>
  <c r="P327" i="13"/>
  <c r="Q327" i="13"/>
  <c r="G330" i="13"/>
  <c r="J330" i="13"/>
  <c r="N330" i="13"/>
  <c r="Q330" i="13"/>
  <c r="G333" i="13"/>
  <c r="H333" i="13"/>
  <c r="I333" i="13"/>
  <c r="N333" i="13"/>
  <c r="O333" i="13"/>
  <c r="P333" i="13"/>
  <c r="G334" i="13"/>
  <c r="H334" i="13"/>
  <c r="I334" i="13"/>
  <c r="N334" i="13"/>
  <c r="O334" i="13"/>
  <c r="P334" i="13"/>
  <c r="G335" i="13"/>
  <c r="H335" i="13"/>
  <c r="I335" i="13"/>
  <c r="N335" i="13"/>
  <c r="O335" i="13"/>
  <c r="P335" i="13"/>
  <c r="G336" i="13"/>
  <c r="H336" i="13"/>
  <c r="I336" i="13"/>
  <c r="N336" i="13"/>
  <c r="O336" i="13"/>
  <c r="P336" i="13"/>
  <c r="G343" i="13"/>
  <c r="I343" i="13"/>
  <c r="N343" i="13"/>
  <c r="P343" i="13"/>
  <c r="E349" i="13"/>
  <c r="F349" i="13"/>
  <c r="G349" i="13"/>
  <c r="I349" i="13"/>
  <c r="J349" i="13"/>
  <c r="K349" i="13"/>
  <c r="M349" i="13"/>
  <c r="E350" i="13"/>
  <c r="F350" i="13"/>
  <c r="G350" i="13"/>
  <c r="I350" i="13"/>
  <c r="J350" i="13"/>
  <c r="K350" i="13"/>
  <c r="M350" i="13"/>
  <c r="E351" i="13"/>
  <c r="F351" i="13"/>
  <c r="G351" i="13"/>
  <c r="I351" i="13"/>
  <c r="J351" i="13"/>
  <c r="K351" i="13"/>
  <c r="M351" i="13"/>
  <c r="G353" i="13"/>
  <c r="K353" i="13"/>
  <c r="M353" i="13"/>
  <c r="G354" i="13"/>
  <c r="K354" i="13"/>
  <c r="M354" i="13"/>
  <c r="G355" i="13"/>
  <c r="K355" i="13"/>
  <c r="M355" i="13"/>
  <c r="G356" i="13"/>
  <c r="K356" i="13"/>
  <c r="M356" i="13"/>
  <c r="I281" i="20"/>
  <c r="N281" i="20"/>
  <c r="I282" i="20"/>
  <c r="L282" i="20"/>
  <c r="N282" i="20"/>
  <c r="I283" i="20"/>
  <c r="L283" i="20"/>
  <c r="N283" i="20"/>
  <c r="I284" i="20"/>
  <c r="L284" i="20"/>
  <c r="N284" i="20"/>
  <c r="I285" i="20"/>
  <c r="L285" i="20"/>
  <c r="N285" i="20"/>
  <c r="I286" i="20"/>
  <c r="L286" i="20"/>
  <c r="N286" i="20"/>
  <c r="I288" i="20"/>
  <c r="L288" i="20"/>
  <c r="N288" i="20"/>
  <c r="E293" i="20"/>
  <c r="F293" i="20"/>
  <c r="G293" i="20"/>
  <c r="O293" i="20"/>
  <c r="P293" i="20"/>
  <c r="Q293" i="20"/>
  <c r="F294" i="20"/>
  <c r="G294" i="20"/>
  <c r="P294" i="20"/>
  <c r="Q294" i="20"/>
  <c r="F295" i="20"/>
  <c r="P295" i="20"/>
  <c r="E296" i="20"/>
  <c r="F296" i="20"/>
  <c r="G296" i="20"/>
  <c r="O296" i="20"/>
  <c r="P296" i="20"/>
  <c r="Q296" i="20"/>
  <c r="E297" i="20"/>
  <c r="F297" i="20"/>
  <c r="O297" i="20"/>
  <c r="P297" i="20"/>
  <c r="E298" i="20"/>
  <c r="F298" i="20"/>
  <c r="G298" i="20"/>
  <c r="O298" i="20"/>
  <c r="P298" i="20"/>
  <c r="Q298" i="20"/>
  <c r="G305" i="20"/>
  <c r="I305" i="20"/>
  <c r="L305" i="20"/>
  <c r="N305" i="20"/>
  <c r="G306" i="20"/>
  <c r="I306" i="20"/>
  <c r="L306" i="20"/>
  <c r="N306" i="20"/>
  <c r="G307" i="20"/>
  <c r="I307" i="20"/>
  <c r="L307" i="20"/>
  <c r="N307" i="20"/>
  <c r="G310" i="20"/>
  <c r="I310" i="20"/>
  <c r="L310" i="20"/>
  <c r="N310" i="20"/>
  <c r="E318" i="20"/>
  <c r="F318" i="20"/>
  <c r="G318" i="20"/>
  <c r="H318" i="20"/>
  <c r="I318" i="20"/>
  <c r="J318" i="20"/>
  <c r="L318" i="20"/>
  <c r="M318" i="20"/>
  <c r="N318" i="20"/>
  <c r="O318" i="20"/>
  <c r="P318" i="20"/>
  <c r="Q318" i="20"/>
  <c r="E319" i="20"/>
  <c r="F319" i="20"/>
  <c r="G319" i="20"/>
  <c r="H319" i="20"/>
  <c r="I319" i="20"/>
  <c r="J319" i="20"/>
  <c r="L319" i="20"/>
  <c r="M319" i="20"/>
  <c r="N319" i="20"/>
  <c r="O319" i="20"/>
  <c r="P319" i="20"/>
  <c r="Q319" i="20"/>
  <c r="E320" i="20"/>
  <c r="F320" i="20"/>
  <c r="G320" i="20"/>
  <c r="H320" i="20"/>
  <c r="I320" i="20"/>
  <c r="J320" i="20"/>
  <c r="L320" i="20"/>
  <c r="M320" i="20"/>
  <c r="N320" i="20"/>
  <c r="O320" i="20"/>
  <c r="P320" i="20"/>
  <c r="Q320" i="20"/>
  <c r="E324" i="20"/>
  <c r="F324" i="20"/>
  <c r="G324" i="20"/>
  <c r="H324" i="20"/>
  <c r="I324" i="20"/>
  <c r="J324" i="20"/>
  <c r="K324" i="20"/>
  <c r="L324" i="20"/>
  <c r="M324" i="20"/>
  <c r="N324" i="20"/>
  <c r="O324" i="20"/>
  <c r="P324" i="20"/>
  <c r="Q324" i="20"/>
  <c r="R324" i="20"/>
  <c r="E325" i="20"/>
  <c r="F325" i="20"/>
  <c r="G325" i="20"/>
  <c r="H325" i="20"/>
  <c r="I325" i="20"/>
  <c r="J325" i="20"/>
  <c r="K325" i="20"/>
  <c r="L325" i="20"/>
  <c r="M325" i="20"/>
  <c r="N325" i="20"/>
  <c r="O325" i="20"/>
  <c r="P325" i="20"/>
  <c r="Q325" i="20"/>
  <c r="R325" i="20"/>
  <c r="E326" i="20"/>
  <c r="F326" i="20"/>
  <c r="G326" i="20"/>
  <c r="H326" i="20"/>
  <c r="I326" i="20"/>
  <c r="J326" i="20"/>
  <c r="K326" i="20"/>
  <c r="L326" i="20"/>
  <c r="M326" i="20"/>
  <c r="N326" i="20"/>
  <c r="O326" i="20"/>
  <c r="P326" i="20"/>
  <c r="Q326" i="20"/>
  <c r="R326" i="20"/>
  <c r="E327" i="20"/>
  <c r="F327" i="20"/>
  <c r="G327" i="20"/>
  <c r="H327" i="20"/>
  <c r="I327" i="20"/>
  <c r="J327" i="20"/>
  <c r="L327" i="20"/>
  <c r="M327" i="20"/>
  <c r="N327" i="20"/>
  <c r="O327" i="20"/>
  <c r="P327" i="20"/>
  <c r="Q327" i="20"/>
  <c r="G330" i="20"/>
  <c r="J330" i="20"/>
  <c r="N330" i="20"/>
  <c r="Q330" i="20"/>
  <c r="G333" i="20"/>
  <c r="H333" i="20"/>
  <c r="I333" i="20"/>
  <c r="N333" i="20"/>
  <c r="O333" i="20"/>
  <c r="P333" i="20"/>
  <c r="G334" i="20"/>
  <c r="H334" i="20"/>
  <c r="I334" i="20"/>
  <c r="N334" i="20"/>
  <c r="O334" i="20"/>
  <c r="P334" i="20"/>
  <c r="G335" i="20"/>
  <c r="H335" i="20"/>
  <c r="I335" i="20"/>
  <c r="N335" i="20"/>
  <c r="O335" i="20"/>
  <c r="P335" i="20"/>
  <c r="G336" i="20"/>
  <c r="H336" i="20"/>
  <c r="I336" i="20"/>
  <c r="N336" i="20"/>
  <c r="O336" i="20"/>
  <c r="P336" i="20"/>
  <c r="G343" i="20"/>
  <c r="I343" i="20"/>
  <c r="N343" i="20"/>
  <c r="P343" i="20"/>
  <c r="E349" i="20"/>
  <c r="F349" i="20"/>
  <c r="G349" i="20"/>
  <c r="I349" i="20"/>
  <c r="J349" i="20"/>
  <c r="K349" i="20"/>
  <c r="M349" i="20"/>
  <c r="E350" i="20"/>
  <c r="F350" i="20"/>
  <c r="G350" i="20"/>
  <c r="I350" i="20"/>
  <c r="J350" i="20"/>
  <c r="K350" i="20"/>
  <c r="M350" i="20"/>
  <c r="E351" i="20"/>
  <c r="F351" i="20"/>
  <c r="G351" i="20"/>
  <c r="I351" i="20"/>
  <c r="J351" i="20"/>
  <c r="K351" i="20"/>
  <c r="M351" i="20"/>
  <c r="G353" i="20"/>
  <c r="K353" i="20"/>
  <c r="M353" i="20"/>
  <c r="G354" i="20"/>
  <c r="K354" i="20"/>
  <c r="M354" i="20"/>
  <c r="G355" i="20"/>
  <c r="K355" i="20"/>
  <c r="M355" i="20"/>
  <c r="G356" i="20"/>
  <c r="K356" i="20"/>
  <c r="M356" i="20"/>
</calcChain>
</file>

<file path=xl/sharedStrings.xml><?xml version="1.0" encoding="utf-8"?>
<sst xmlns="http://schemas.openxmlformats.org/spreadsheetml/2006/main" count="4219" uniqueCount="539">
  <si>
    <t xml:space="preserve">          Capital ($00)</t>
  </si>
  <si>
    <t xml:space="preserve">          Labour (hours), of which</t>
  </si>
  <si>
    <t xml:space="preserve">          Skill (hours)</t>
  </si>
  <si>
    <t xml:space="preserve">          Skill/Capital</t>
  </si>
  <si>
    <t xml:space="preserve">        Capital/Skill</t>
  </si>
  <si>
    <t xml:space="preserve">        Capital/Skill aggregation function </t>
  </si>
  <si>
    <t xml:space="preserve">        Capital/Skill aggregation function (Capital)</t>
  </si>
  <si>
    <t xml:space="preserve">        Production function </t>
  </si>
  <si>
    <t xml:space="preserve">        Production function (per $ gross output)</t>
  </si>
  <si>
    <t xml:space="preserve">     Distribution parameters</t>
  </si>
  <si>
    <t xml:space="preserve">     Efficiency parameters</t>
  </si>
  <si>
    <t xml:space="preserve">     Elasticities of substitution</t>
  </si>
  <si>
    <t xml:space="preserve">     Gross Profit</t>
  </si>
  <si>
    <t xml:space="preserve">     Input coefficient ratios</t>
  </si>
  <si>
    <t xml:space="preserve">     Input coefficients</t>
  </si>
  <si>
    <t xml:space="preserve">     Skill-intensive/labour-intensive input coefficient ratios</t>
  </si>
  <si>
    <t xml:space="preserve">     Substitution parameters</t>
  </si>
  <si>
    <t xml:space="preserve">     Unit cost of Capital + Skill ($)</t>
  </si>
  <si>
    <t xml:space="preserve">    Actual minus Counterfactual</t>
  </si>
  <si>
    <t xml:space="preserve">    Capital ($00 at dev'd country prices)</t>
  </si>
  <si>
    <t xml:space="preserve">    Capital Goods (price index)</t>
  </si>
  <si>
    <t xml:space="preserve">    Developed Countries</t>
  </si>
  <si>
    <t xml:space="preserve">    Gross Profit</t>
  </si>
  <si>
    <t xml:space="preserve">    Gross profit rate (%)</t>
  </si>
  <si>
    <t xml:space="preserve">    Labour (hours), of which</t>
  </si>
  <si>
    <t xml:space="preserve">    Rental (%) at dev'd country prices</t>
  </si>
  <si>
    <t xml:space="preserve">    Skill ($/hour) of developed country quality</t>
  </si>
  <si>
    <t xml:space="preserve">    Skill (hours of developed country quality)</t>
  </si>
  <si>
    <t xml:space="preserve">   Labour intensive</t>
  </si>
  <si>
    <t xml:space="preserve">  Capital ($ billion at dev'd prices)</t>
  </si>
  <si>
    <t xml:space="preserve">  Capital ($ billion at domestic prices)</t>
  </si>
  <si>
    <t xml:space="preserve">  Developing Countries</t>
  </si>
  <si>
    <t xml:space="preserve">  Difference (at domestic prices)</t>
  </si>
  <si>
    <t xml:space="preserve">  Manufactures, of which</t>
  </si>
  <si>
    <t xml:space="preserve">  Skill (billion hours of developed quality)</t>
  </si>
  <si>
    <t xml:space="preserve">  Sum (at domestic prices)</t>
  </si>
  <si>
    <t xml:space="preserve">  Total labour </t>
  </si>
  <si>
    <t xml:space="preserve">  Total labour (million years)</t>
  </si>
  <si>
    <t xml:space="preserve"> Delinked intermediate inputs:</t>
  </si>
  <si>
    <t xml:space="preserve"> Direct &amp; linked intermediate value added:</t>
  </si>
  <si>
    <t xml:space="preserve"> Total</t>
  </si>
  <si>
    <t>%</t>
  </si>
  <si>
    <t>::</t>
  </si>
  <si>
    <t>a. Supplementary Data</t>
  </si>
  <si>
    <t>Absolute Impact</t>
  </si>
  <si>
    <t>B.  COMPARATIVE CALCULATIONS</t>
  </si>
  <si>
    <t>b. Actual Input Prices</t>
  </si>
  <si>
    <t>B.1 Counterfactual Input Coefficients</t>
  </si>
  <si>
    <t>B.2  Counterfactual Production</t>
  </si>
  <si>
    <t>Balance</t>
  </si>
  <si>
    <t>c. Differences in Production (Actual minus Counterfactual:  $ billion at factor values)</t>
  </si>
  <si>
    <t>Counterfactual cost breakdown</t>
  </si>
  <si>
    <t>Countries</t>
  </si>
  <si>
    <t xml:space="preserve">Developed </t>
  </si>
  <si>
    <t>Developing</t>
  </si>
  <si>
    <t>e. Counterfactual costs and input coefficients</t>
  </si>
  <si>
    <t>Exports</t>
  </si>
  <si>
    <t>Imports</t>
  </si>
  <si>
    <t>Lab-int</t>
  </si>
  <si>
    <t>Manufacturing</t>
  </si>
  <si>
    <t>Net</t>
  </si>
  <si>
    <t>Skl-int</t>
  </si>
  <si>
    <t>Total</t>
  </si>
  <si>
    <t>check</t>
  </si>
  <si>
    <t>From OECD</t>
  </si>
  <si>
    <t>From non-OECD</t>
  </si>
  <si>
    <t>Balance (+ =</t>
  </si>
  <si>
    <t>to non-OECD</t>
  </si>
  <si>
    <t>to OECD</t>
  </si>
  <si>
    <t>non-OECD surplus)</t>
  </si>
  <si>
    <t>Primary</t>
  </si>
  <si>
    <t>Manufactures</t>
  </si>
  <si>
    <t>Services</t>
  </si>
  <si>
    <t>Skill-intensive items in North</t>
  </si>
  <si>
    <t>Manufs</t>
  </si>
  <si>
    <t>Labour-intensive items in South</t>
  </si>
  <si>
    <t>Own region</t>
  </si>
  <si>
    <t>Total, of which:</t>
  </si>
  <si>
    <t xml:space="preserve">  Intra-country</t>
  </si>
  <si>
    <t xml:space="preserve">  Rest of region</t>
  </si>
  <si>
    <t>Other region</t>
  </si>
  <si>
    <t>Source: own calculations from TiVA database.</t>
  </si>
  <si>
    <t>Factoral composition of value added in production</t>
  </si>
  <si>
    <t>Capital (non-labour)</t>
  </si>
  <si>
    <t>High-skilled</t>
  </si>
  <si>
    <t>Medium-skilled</t>
  </si>
  <si>
    <t>H+M skilled</t>
  </si>
  <si>
    <t>M+L skilled</t>
  </si>
  <si>
    <t>Low-skilled</t>
  </si>
  <si>
    <t>Labour, of which</t>
  </si>
  <si>
    <t>Source: own calculations from WIOD SEA data for 2009</t>
  </si>
  <si>
    <t>Factor prices</t>
  </si>
  <si>
    <t>Gross profit rate</t>
  </si>
  <si>
    <t>Price of capital goods</t>
  </si>
  <si>
    <t>Wages of skill groups as ratio of average wage in manufacturing</t>
  </si>
  <si>
    <t>Wages of skill groups in US dollars per hour</t>
  </si>
  <si>
    <t>Average wage per hour in manufacturing 2011 (US dollars)</t>
  </si>
  <si>
    <t>Source: Conference Board</t>
  </si>
  <si>
    <t>Source: WIOD</t>
  </si>
  <si>
    <t>Rental (%) at North prices</t>
  </si>
  <si>
    <t>From 1992 calcs</t>
  </si>
  <si>
    <t xml:space="preserve">  Intra-regional primary</t>
  </si>
  <si>
    <t xml:space="preserve">  Foreign (extra-regional)</t>
  </si>
  <si>
    <t xml:space="preserve">  Services, of which</t>
  </si>
  <si>
    <t>Labour-intensive items in North</t>
  </si>
  <si>
    <t>Skill-intensive items in South</t>
  </si>
  <si>
    <t>a. Actual Cost Breakdown ($ per $000 of total value added in exports)</t>
  </si>
  <si>
    <t xml:space="preserve">  Foreign (extra-regional), of which</t>
  </si>
  <si>
    <t xml:space="preserve">    Primary</t>
  </si>
  <si>
    <t xml:space="preserve">    Manufactures</t>
  </si>
  <si>
    <t xml:space="preserve">    Services</t>
  </si>
  <si>
    <t xml:space="preserve">    intermediates, per $000 of exports)</t>
  </si>
  <si>
    <t xml:space="preserve">            ($00 at domestic prices)</t>
  </si>
  <si>
    <t xml:space="preserve">     Unit value added ($)</t>
  </si>
  <si>
    <t xml:space="preserve">     Other sector</t>
  </si>
  <si>
    <t xml:space="preserve">  Own sector, of which</t>
  </si>
  <si>
    <t xml:space="preserve">     Price elasticity of demand for labour-intensive items</t>
  </si>
  <si>
    <t>Gross exports of labour-intensive items, of which</t>
  </si>
  <si>
    <t>Primary intermediate inputs imported from North</t>
  </si>
  <si>
    <t>Manufactured intermediate inputs imported from North</t>
  </si>
  <si>
    <t>Service intermediate inputs imported from North</t>
  </si>
  <si>
    <t>Net foreign exchange earnings from exports</t>
  </si>
  <si>
    <t>Additional net imports from North</t>
  </si>
  <si>
    <t>Overall trade balance [eg actual surplus larger than CF]</t>
  </si>
  <si>
    <t>Actual minus counterfactual</t>
  </si>
  <si>
    <t xml:space="preserve">  Gross Output</t>
  </si>
  <si>
    <t xml:space="preserve">  Value Added </t>
  </si>
  <si>
    <t>Manufactures, of which</t>
  </si>
  <si>
    <t>Services, of which</t>
  </si>
  <si>
    <t>Hours per worker per year</t>
  </si>
  <si>
    <t xml:space="preserve"> Hours per year</t>
  </si>
  <si>
    <t xml:space="preserve">  Labour-int. (at developing country prices)</t>
  </si>
  <si>
    <t xml:space="preserve">  Skill-int. (at developed country prices)</t>
  </si>
  <si>
    <t>High skill</t>
  </si>
  <si>
    <t>Low skill</t>
  </si>
  <si>
    <t>skill</t>
  </si>
  <si>
    <t>Medium</t>
  </si>
  <si>
    <t>High</t>
  </si>
  <si>
    <t>Manufacturing empt</t>
  </si>
  <si>
    <t>Mfg</t>
  </si>
  <si>
    <t>Svs</t>
  </si>
  <si>
    <t>Mfg+svs</t>
  </si>
  <si>
    <t>M+S</t>
  </si>
  <si>
    <t>B.3 Impact on Demand for Labour and Capital (Actual minus Counterfactual)</t>
  </si>
  <si>
    <t xml:space="preserve">    Skilled (H) Wages</t>
  </si>
  <si>
    <t xml:space="preserve">    Unskilled (M+L) Wages</t>
  </si>
  <si>
    <t xml:space="preserve">    Skilled (H) labour ($/hour)</t>
  </si>
  <si>
    <t xml:space="preserve">    Unskilled (M+L) labour ($/hour)</t>
  </si>
  <si>
    <t>H/(M+L)</t>
  </si>
  <si>
    <t>A. Actual '2011' trade and employment data</t>
  </si>
  <si>
    <t xml:space="preserve">    Skill Quality Index</t>
  </si>
  <si>
    <t xml:space="preserve">        (K+Skill)/Unskilled Labour</t>
  </si>
  <si>
    <t xml:space="preserve">        Production function (Unskilled Labour)</t>
  </si>
  <si>
    <t xml:space="preserve">     Skilled Wages</t>
  </si>
  <si>
    <t xml:space="preserve">     Unskilled Wages</t>
  </si>
  <si>
    <t xml:space="preserve">          (K + Skill)/Unskilled Labour</t>
  </si>
  <si>
    <t xml:space="preserve">            Skilled </t>
  </si>
  <si>
    <t xml:space="preserve">            Unskilled</t>
  </si>
  <si>
    <t xml:space="preserve">          Capital/Unskilled labour</t>
  </si>
  <si>
    <t xml:space="preserve">          Skill/Unskilled labour</t>
  </si>
  <si>
    <t xml:space="preserve">    Flows (with developed countries only)</t>
  </si>
  <si>
    <t>Counterfactual</t>
  </si>
  <si>
    <t>Actual (copied from above)</t>
  </si>
  <si>
    <t>b. Developing Country Trade with Developed Countries ($ billion f.o.b.)</t>
  </si>
  <si>
    <t xml:space="preserve">     Total labour </t>
  </si>
  <si>
    <t xml:space="preserve">     Skilled/unskilled</t>
  </si>
  <si>
    <t>Summary for sensitivity analysis table</t>
  </si>
  <si>
    <t>Impact on</t>
  </si>
  <si>
    <t>manufacturing</t>
  </si>
  <si>
    <t>(million</t>
  </si>
  <si>
    <t>person-years)</t>
  </si>
  <si>
    <t>economy-wide</t>
  </si>
  <si>
    <t>skilled/unskilled</t>
  </si>
  <si>
    <t>labour (%)</t>
  </si>
  <si>
    <t>d. Production Function Parameters (value added: two-level CES)</t>
  </si>
  <si>
    <t>Sources of value added in exports (sums to total exports in table above)</t>
  </si>
  <si>
    <t>Total, of which</t>
  </si>
  <si>
    <t>Scaling down of domestic value added content of service exports</t>
  </si>
  <si>
    <t>Total DVA of S service exports to N ($ billion), of which</t>
  </si>
  <si>
    <t>Southern primary content</t>
  </si>
  <si>
    <t>Adjusted domestic value added of S service exports</t>
  </si>
  <si>
    <t>Generated by manufactured exports</t>
  </si>
  <si>
    <r>
      <t xml:space="preserve">Generated by </t>
    </r>
    <r>
      <rPr>
        <b/>
        <sz val="12"/>
        <rFont val="Times New Roman"/>
        <family val="1"/>
      </rPr>
      <t>adjusted</t>
    </r>
    <r>
      <rPr>
        <sz val="12"/>
        <rFont val="Times New Roman"/>
        <family val="1"/>
      </rPr>
      <t xml:space="preserve"> service exports</t>
    </r>
  </si>
  <si>
    <t>Payments to labour, of which</t>
  </si>
  <si>
    <t>DVA of S non-primary exports to North by source sector ($ billion)</t>
  </si>
  <si>
    <t>Employment generated by S non-primary exports: billion person-hours</t>
  </si>
  <si>
    <t>TOTAL (H + M + L) of which</t>
  </si>
  <si>
    <t>Weighted averages across WIOD countries in each region</t>
  </si>
  <si>
    <t>US all-mfg</t>
  </si>
  <si>
    <t>US all-svs</t>
  </si>
  <si>
    <t>China all-mfg</t>
  </si>
  <si>
    <t>China all-svs</t>
  </si>
  <si>
    <t xml:space="preserve">From China </t>
  </si>
  <si>
    <t>From other non-OECD</t>
  </si>
  <si>
    <t>China only</t>
  </si>
  <si>
    <t>Refers to exports to all destinations</t>
  </si>
  <si>
    <t>(to OECD only is not available)</t>
  </si>
  <si>
    <t>Merchandise exports to N, of which</t>
  </si>
  <si>
    <t xml:space="preserve">Reason is that a large part of the South's recorded service exports to the North are for transport and trade costs related to N-S merchandise trade (both exports and imports).  The </t>
  </si>
  <si>
    <t>South's exports of manufactures thus generate a large part of these T&amp;T service exports, but some would have existed anyway as a result of the South's exports of primary products</t>
  </si>
  <si>
    <t>and corresponding merchandise imports from the North, and so need to be subtracted in calculating how much employment is attributable to the South's non-primary exports.  It is</t>
  </si>
  <si>
    <t xml:space="preserve">assumed that the primary content of S manufactured exports would otherwise have been exported directly (and that these primary exports would have generated an equal value of </t>
  </si>
  <si>
    <t>merchandise - mainly manufactured - imports from the North).</t>
  </si>
  <si>
    <t>China broad-sector values</t>
  </si>
  <si>
    <t>Weighted averages of broad mfg and svs sectors across WIOD countries in each region</t>
  </si>
  <si>
    <t>Skill breakdown in each sector based on US data for North and China data for South, exactly how being specified below the numbers for each sector.</t>
  </si>
  <si>
    <t>US data</t>
  </si>
  <si>
    <t>China data</t>
  </si>
  <si>
    <t>`</t>
  </si>
  <si>
    <t>Broad svs</t>
  </si>
  <si>
    <t>Chems weight</t>
  </si>
  <si>
    <t>is share of direct</t>
  </si>
  <si>
    <t>DVA content of</t>
  </si>
  <si>
    <t>N mfd X to S</t>
  </si>
  <si>
    <t>(including mfd</t>
  </si>
  <si>
    <t>inputs to svs).</t>
  </si>
  <si>
    <t>Bus svs weight</t>
  </si>
  <si>
    <t>N svs X to S</t>
  </si>
  <si>
    <t>(including svs</t>
  </si>
  <si>
    <t>inputs to mfs).</t>
  </si>
  <si>
    <t>Leather weight</t>
  </si>
  <si>
    <t>S mfd X to N</t>
  </si>
  <si>
    <t>China mfd X to N</t>
  </si>
  <si>
    <t>Weighted avg of</t>
  </si>
  <si>
    <t>Chemicals and</t>
  </si>
  <si>
    <t>Business svs and</t>
  </si>
  <si>
    <t>Leather and</t>
  </si>
  <si>
    <t>Broad mfg.</t>
  </si>
  <si>
    <t>Broad svs.</t>
  </si>
  <si>
    <t>US mfg</t>
  </si>
  <si>
    <t>US svs</t>
  </si>
  <si>
    <t>China mfg</t>
  </si>
  <si>
    <t>China svs</t>
  </si>
  <si>
    <t>Direct share of DVA added in exports</t>
  </si>
  <si>
    <t>Calculation of weights</t>
  </si>
  <si>
    <t>(estimated from TiVA)</t>
  </si>
  <si>
    <t>DVA in region's exports to other region:</t>
  </si>
  <si>
    <t>In own sector</t>
  </si>
  <si>
    <t>In inputs to other sector</t>
  </si>
  <si>
    <t>Direct share of total (= weight)</t>
  </si>
  <si>
    <t>[US chemicals and business services are proxies for all skill-intensive N mfd and svs exports to South, and China leather for all labour-intensive S mfd exports to N,</t>
  </si>
  <si>
    <t>these being respectively the most and least skill intensive sectors in the countries concerned in WIOD data for 2009]</t>
  </si>
  <si>
    <t>very close to all S</t>
  </si>
  <si>
    <t>Weighted averages across WIOD countries in each region (used in counterfactual calculations but not in actual mployment calculation)</t>
  </si>
  <si>
    <t xml:space="preserve">  Unskilled labour (billion hours)</t>
  </si>
  <si>
    <t>for N prodn of:</t>
  </si>
  <si>
    <t>Domestic primary value added that S would otherwise have exported</t>
  </si>
  <si>
    <t>for S prodn of:</t>
  </si>
  <si>
    <t xml:space="preserve">     Proportion of S's imports from N that it would be technically feasible to replace by S production</t>
  </si>
  <si>
    <t xml:space="preserve">     Southern relative to Northern efficiency</t>
  </si>
  <si>
    <t xml:space="preserve">        Production function</t>
  </si>
  <si>
    <t xml:space="preserve">     Sectoral shares of South's marginal imports from North</t>
  </si>
  <si>
    <t xml:space="preserve">     Internal transport and trade margin for exports</t>
  </si>
  <si>
    <t xml:space="preserve">     Tariff equivalent on actual S imports from N</t>
  </si>
  <si>
    <t xml:space="preserve">     Tariff equivalent on actual N imports from S</t>
  </si>
  <si>
    <t>Trade and transport content of primary exports (based on twice the cif/fob margin)</t>
  </si>
  <si>
    <t>Direct and indirect S primary exports</t>
  </si>
  <si>
    <r>
      <t xml:space="preserve">Estimated employment in South generated by non-primary exports to North </t>
    </r>
    <r>
      <rPr>
        <sz val="12"/>
        <rFont val="Times New Roman"/>
        <family val="1"/>
      </rPr>
      <t>(an alternative to, and check on, the counterfactual calculation below)</t>
    </r>
  </si>
  <si>
    <t xml:space="preserve">  Skilled labour (million years)</t>
  </si>
  <si>
    <t xml:space="preserve">  Unskilled labour (million years)</t>
  </si>
  <si>
    <t xml:space="preserve">     Skilled labour</t>
  </si>
  <si>
    <t xml:space="preserve">     Unskilled labour</t>
  </si>
  <si>
    <t xml:space="preserve">    Skilled (H+M) Wages</t>
  </si>
  <si>
    <t xml:space="preserve">    Unskilled (L) Wages</t>
  </si>
  <si>
    <t xml:space="preserve">    Skilled (H+M) labour ($/hour)</t>
  </si>
  <si>
    <t xml:space="preserve">    Unskilled (L) labour ($/hour)</t>
  </si>
  <si>
    <t>Changes in blue cells</t>
  </si>
  <si>
    <t>to implement different</t>
  </si>
  <si>
    <t xml:space="preserve">definitions of skilled </t>
  </si>
  <si>
    <t>and unskilled.</t>
  </si>
  <si>
    <t xml:space="preserve">     Skilled</t>
  </si>
  <si>
    <t xml:space="preserve">     Unskilled</t>
  </si>
  <si>
    <t>Combined</t>
  </si>
  <si>
    <t>More</t>
  </si>
  <si>
    <t>Less imp</t>
  </si>
  <si>
    <t>exports</t>
  </si>
  <si>
    <t>substitn</t>
  </si>
  <si>
    <t>effect</t>
  </si>
  <si>
    <t>Absolute (million person-years)</t>
  </si>
  <si>
    <t xml:space="preserve">  Skilled labour</t>
  </si>
  <si>
    <t xml:space="preserve">  Unskilled labour</t>
  </si>
  <si>
    <t xml:space="preserve">  Total labour</t>
  </si>
  <si>
    <t>Proportionate (%)</t>
  </si>
  <si>
    <t xml:space="preserve">  Skilled relative to economy wide supply</t>
  </si>
  <si>
    <t xml:space="preserve">  Unskilled relative to economy-wide supply</t>
  </si>
  <si>
    <t xml:space="preserve">  Skilled/unskilled economy-wide</t>
  </si>
  <si>
    <t xml:space="preserve">  Total relative to actual employment</t>
  </si>
  <si>
    <t>Base case table data</t>
  </si>
  <si>
    <t>Services employment</t>
  </si>
  <si>
    <t>Proportionate Impact (% of actual sectoral employment)</t>
  </si>
  <si>
    <t xml:space="preserve">     CIF/FOB Margin</t>
  </si>
  <si>
    <t xml:space="preserve">     Purchaser price ratio (allowing for cif/fob and tariffs)</t>
  </si>
  <si>
    <t xml:space="preserve">     Counterfactual/actual producer price</t>
  </si>
  <si>
    <t>c. Actual Input Coefficients (direct plus linked own-sector</t>
  </si>
  <si>
    <t>Formulae in blue cells altered to implement different definitions of skilled and unskilled</t>
  </si>
  <si>
    <t>* relative to whole economy incl primary employment</t>
  </si>
  <si>
    <t>South (non-OECD)</t>
  </si>
  <si>
    <t xml:space="preserve"> </t>
  </si>
  <si>
    <t>North (OECD as constituted in 2017)</t>
  </si>
  <si>
    <t>Educational shares of adult population</t>
  </si>
  <si>
    <t>Omitting NO-Eds</t>
  </si>
  <si>
    <t>BAS-ED</t>
  </si>
  <si>
    <t>NO-ED</t>
  </si>
  <si>
    <t>Low skill, of which</t>
  </si>
  <si>
    <t>Source: dataset for Wood (2017) WIDER working paper, drawing on Haraguchi for manufacturing employment and Barro and Lee for skill categories.   Assumes education shares of total employment are same as those</t>
  </si>
  <si>
    <t>Employment and educational composition (million person-years) in 2014 or closest available year</t>
  </si>
  <si>
    <t>WIOD skill categories</t>
  </si>
  <si>
    <t>Implied employment</t>
  </si>
  <si>
    <t>in primary sector</t>
  </si>
  <si>
    <t>Proportionate Impact (% of actual economy-wide employment)</t>
  </si>
  <si>
    <t>In the South, in these calculations 'unskilled' labour excludes NO-Eds</t>
  </si>
  <si>
    <r>
      <rPr>
        <i/>
        <sz val="12"/>
        <rFont val="Times New Roman"/>
        <family val="1"/>
      </rPr>
      <t>including</t>
    </r>
    <r>
      <rPr>
        <sz val="12"/>
        <rFont val="Times New Roman"/>
        <family val="1"/>
      </rPr>
      <t xml:space="preserve"> NO-Eds</t>
    </r>
  </si>
  <si>
    <t>Low, of which NO-ED</t>
  </si>
  <si>
    <t>of adult population, except in the North, where the few NO-Eds are omitted on the grounds that they are mainly too old to be in employment.  In the South, NO-Eds are separated in the Low skill category because they</t>
  </si>
  <si>
    <t>are not usually employed in production of exports for Northern markets, though many of them are also old.  (NO-Eds are people with no or incomplete primary schooling.)</t>
  </si>
  <si>
    <t xml:space="preserve">     Lost labour-intensive exports (share of counterfactual primary-export-financed Southern imports)</t>
  </si>
  <si>
    <t>Broad mfg</t>
  </si>
  <si>
    <t>Employment generated in S by non-primary exports: million person-years</t>
  </si>
  <si>
    <t>From old North</t>
  </si>
  <si>
    <t>From old South</t>
  </si>
  <si>
    <t>to old South</t>
  </si>
  <si>
    <t>to old North</t>
  </si>
  <si>
    <t>old South surplus)</t>
  </si>
  <si>
    <t>Old North</t>
  </si>
  <si>
    <t>Old South</t>
  </si>
  <si>
    <t>North-South gross exports 2011 (billion US dollars)</t>
  </si>
  <si>
    <t>North</t>
  </si>
  <si>
    <t>actual</t>
  </si>
  <si>
    <t>counterfactual</t>
  </si>
  <si>
    <t>Profit share of mfd DVA</t>
  </si>
  <si>
    <t>Profit share of gross mfg output</t>
  </si>
  <si>
    <t>Skilled wage share of mfd DVA</t>
  </si>
  <si>
    <t>Skilled wage share of gross mfg output</t>
  </si>
  <si>
    <t>Profit plus skilled wage share of mfd DVA</t>
  </si>
  <si>
    <t>Profit plus skilled wage share of gross mfg output</t>
  </si>
  <si>
    <t>Unskilled wage share of mfd DVA</t>
  </si>
  <si>
    <t>Unskilled wage share of gross mfg output</t>
  </si>
  <si>
    <t xml:space="preserve">     Fraction of (actual minus counterfactual) S exports that are 'dissimilar' to N exports</t>
  </si>
  <si>
    <t xml:space="preserve">     Export/import L/VA ratio</t>
  </si>
  <si>
    <t xml:space="preserve">     Export/import Unskilled/VA ratio</t>
  </si>
  <si>
    <t xml:space="preserve">     Export/import L/Gross Output ratio</t>
  </si>
  <si>
    <t xml:space="preserve">     Export/import L/Capital (dev'd or dom prices) ratio</t>
  </si>
  <si>
    <t>Description and explanation of the contents of this workbook</t>
  </si>
  <si>
    <t>Variant of base case with skill intensities of exports simply those of broad sectors concerned</t>
  </si>
  <si>
    <t>Variant of base case with broader definition of skilled workers</t>
  </si>
  <si>
    <t>To understand contents of this sheet, please read its label and refer to the explanations in the 'Read me' sheet</t>
  </si>
  <si>
    <t>Version 10X - SEPT 1992 - CHANGE IN EMPLOYMENT DENOMINATORS (NO OTHER CHANGES)</t>
  </si>
  <si>
    <t>IMPACT OF DEVELOPED-DEVELOPING COUNTRY TRADE ON DEMAND FOR LABOUR IN MANUFACTURING:  COMPARATIVE APPROACH</t>
  </si>
  <si>
    <t>A. Actual 1985 Trade, Production and Employment</t>
  </si>
  <si>
    <t>A.1  Merchandise Trade between Developed (OECD) and Developing Countries (ISIC basis: $ billion f.o.b.)</t>
  </si>
  <si>
    <t>From Developed</t>
  </si>
  <si>
    <t>From Developing</t>
  </si>
  <si>
    <t xml:space="preserve">Balance (+ = </t>
  </si>
  <si>
    <t>to Developing</t>
  </si>
  <si>
    <t>to Developed</t>
  </si>
  <si>
    <t>Developing Surplus)</t>
  </si>
  <si>
    <t xml:space="preserve">Primary </t>
  </si>
  <si>
    <t>Processed Primary *</t>
  </si>
  <si>
    <t>Other Manufactures</t>
  </si>
  <si>
    <t>* Food, beverages, tobacco; lumber; leather; cement; nonferrous metals; refined petroleum products.</t>
  </si>
  <si>
    <t>A.2  Manufacturing Production ($ billion at official exchange rates)</t>
  </si>
  <si>
    <t>China</t>
  </si>
  <si>
    <t>excl China</t>
  </si>
  <si>
    <t>Value Added</t>
  </si>
  <si>
    <t>Gross Output</t>
  </si>
  <si>
    <t>(Gross Domestic Product</t>
  </si>
  <si>
    <t>)</t>
  </si>
  <si>
    <t>(Mfg gross/VA ratio</t>
  </si>
  <si>
    <t>A.3  Employment (including Self-Employment) and Fixed Capital Stocks</t>
  </si>
  <si>
    <t xml:space="preserve">        Developed Countries</t>
  </si>
  <si>
    <t xml:space="preserve">        Developing Countries</t>
  </si>
  <si>
    <t xml:space="preserve">        Labour (million)</t>
  </si>
  <si>
    <t>Capital</t>
  </si>
  <si>
    <t>SKILD</t>
  </si>
  <si>
    <t>($ billion)</t>
  </si>
  <si>
    <t>Other</t>
  </si>
  <si>
    <t>Total Employment</t>
  </si>
  <si>
    <t xml:space="preserve"> Developing Countries excl China</t>
  </si>
  <si>
    <t xml:space="preserve">        China</t>
  </si>
  <si>
    <t xml:space="preserve">A.4  Memorandum Items </t>
  </si>
  <si>
    <t>1.  Educational Attainment of the Labour Force (%)</t>
  </si>
  <si>
    <t xml:space="preserve">Mean </t>
  </si>
  <si>
    <t>No</t>
  </si>
  <si>
    <t xml:space="preserve">     Primary</t>
  </si>
  <si>
    <t xml:space="preserve">     Secondary</t>
  </si>
  <si>
    <t>Higher</t>
  </si>
  <si>
    <t>Years of</t>
  </si>
  <si>
    <t xml:space="preserve">  Region</t>
  </si>
  <si>
    <t>Educ.</t>
  </si>
  <si>
    <t>Incomp</t>
  </si>
  <si>
    <t>Comp</t>
  </si>
  <si>
    <t>Schooling</t>
  </si>
  <si>
    <t xml:space="preserve">  LDCs excl China</t>
  </si>
  <si>
    <t xml:space="preserve">  China</t>
  </si>
  <si>
    <t xml:space="preserve">  Developed</t>
  </si>
  <si>
    <t xml:space="preserve">  Source: Pscharopoulos &amp; Arriagada</t>
  </si>
  <si>
    <t>2.  Proportion of Complete Secondary allocated to economy-wide SKILD (also includes all Higher) =</t>
  </si>
  <si>
    <t>3.  Factor shares in Manufacturing VA %</t>
  </si>
  <si>
    <t>Skill-intensive manufs</t>
  </si>
  <si>
    <t>Labour-intensive manufs</t>
  </si>
  <si>
    <t xml:space="preserve">    (adjusted for self-employment)</t>
  </si>
  <si>
    <t>in developed countries</t>
  </si>
  <si>
    <t>in developing countries</t>
  </si>
  <si>
    <t xml:space="preserve">     Compensation of Employees</t>
  </si>
  <si>
    <t xml:space="preserve">     Capital Consumption</t>
  </si>
  <si>
    <t xml:space="preserve">     Net Operating Surplus</t>
  </si>
  <si>
    <t>4.  Wage and Skill Ratios</t>
  </si>
  <si>
    <t xml:space="preserve">     Blue collar hourly compensation ($)</t>
  </si>
  <si>
    <t xml:space="preserve">     White collar proportion of labour force </t>
  </si>
  <si>
    <t xml:space="preserve">     White collar wage/blue collar wage</t>
  </si>
  <si>
    <t xml:space="preserve">     Average employee hourly compensation ($)</t>
  </si>
  <si>
    <t xml:space="preserve">     SKILD proportion of labour force</t>
  </si>
  <si>
    <t xml:space="preserve">     SKILD wage/BAS-ED wage</t>
  </si>
  <si>
    <t xml:space="preserve">     SKILD hourly compensation ($)</t>
  </si>
  <si>
    <t xml:space="preserve">     BAS-ED hourly compensation ($)</t>
  </si>
  <si>
    <t xml:space="preserve">     SKILD share of wage (comp.) bill</t>
  </si>
  <si>
    <t>5.  Manufacturing Value Added per Worker-Year ($)</t>
  </si>
  <si>
    <t xml:space="preserve">     (Hours per year</t>
  </si>
  <si>
    <t xml:space="preserve">     Implied by cost breakdown in B1a</t>
  </si>
  <si>
    <t xml:space="preserve">     Implied by Tables A.2 and A.3 (all mfg)</t>
  </si>
  <si>
    <t>6.  Manufacturing Capital per Worker-Year at domestic prices ($000)</t>
  </si>
  <si>
    <t>a. Actual 1985 Cost Breakdown ($ per $000 of gross output at factor values)</t>
  </si>
  <si>
    <t xml:space="preserve">  Primary (including Processed)</t>
  </si>
  <si>
    <t xml:space="preserve">  Other Manufactures</t>
  </si>
  <si>
    <t xml:space="preserve">  Services</t>
  </si>
  <si>
    <t xml:space="preserve">    SKILD Wages</t>
  </si>
  <si>
    <t xml:space="preserve">    BAS-ED Wages</t>
  </si>
  <si>
    <t xml:space="preserve">    SKILD labour ($/hour)</t>
  </si>
  <si>
    <t xml:space="preserve">    SKILD Quality Index</t>
  </si>
  <si>
    <t xml:space="preserve">    BAS-ED labour ($/hour)</t>
  </si>
  <si>
    <t>c. Actual Manufactured Input Coefficients (direct plus linked</t>
  </si>
  <si>
    <t xml:space="preserve">    intermediates, per $000 of output)</t>
  </si>
  <si>
    <t xml:space="preserve">     SKILD</t>
  </si>
  <si>
    <t xml:space="preserve">     BAS-ED</t>
  </si>
  <si>
    <t xml:space="preserve">            ($00 at domestic prices</t>
  </si>
  <si>
    <t>d. Production Function Parameters (manufacturing value added: two-level CES)</t>
  </si>
  <si>
    <t xml:space="preserve">        (K+Skill)/BAS-ED Labour</t>
  </si>
  <si>
    <t xml:space="preserve">        Production function (BAS-ED Labour)</t>
  </si>
  <si>
    <t xml:space="preserve">     Unit manufacturing value added ($)</t>
  </si>
  <si>
    <t xml:space="preserve">     Counterfactual/actual product price</t>
  </si>
  <si>
    <t xml:space="preserve">     Primary (including Processed)</t>
  </si>
  <si>
    <t xml:space="preserve">     Other Manufactures</t>
  </si>
  <si>
    <t xml:space="preserve">     Services</t>
  </si>
  <si>
    <t xml:space="preserve">     SKILD Wages</t>
  </si>
  <si>
    <t xml:space="preserve">     BAS-ED Wages</t>
  </si>
  <si>
    <t xml:space="preserve">          (K + Skill)/BAS-ED Labour</t>
  </si>
  <si>
    <t xml:space="preserve">            SKILD </t>
  </si>
  <si>
    <t xml:space="preserve">            BAS-ED</t>
  </si>
  <si>
    <t xml:space="preserve">     Export/imports L/VA ratio</t>
  </si>
  <si>
    <t xml:space="preserve">     Export/imports BAS-ED/VA ratio</t>
  </si>
  <si>
    <t xml:space="preserve">     Export/imports L/Gross Output ratio</t>
  </si>
  <si>
    <t xml:space="preserve">     Export/imports L/Capital (dev'd or dom prices) ratio</t>
  </si>
  <si>
    <t xml:space="preserve">          Capital/BAS-ED labour</t>
  </si>
  <si>
    <t xml:space="preserve">          Skill/BAS-ED labour</t>
  </si>
  <si>
    <t xml:space="preserve">     Price elasticity of demand for labour-intensive mfs</t>
  </si>
  <si>
    <t xml:space="preserve">     Labour-intensive share of counterfactual developing country manufactured imports</t>
  </si>
  <si>
    <t xml:space="preserve">     Transport and Trade Margins</t>
  </si>
  <si>
    <t xml:space="preserve">     CIF/FOB Margin-Developed countries</t>
  </si>
  <si>
    <t xml:space="preserve">     CIF/FOB Margin-Developing countries</t>
  </si>
  <si>
    <t xml:space="preserve">     Tariff equivalent on counterfactual dev'g lab-int imports</t>
  </si>
  <si>
    <t xml:space="preserve">     Tariff equivalent on actual developed country lab-int imports</t>
  </si>
  <si>
    <t xml:space="preserve">     Skill-intensive import substitution parameter</t>
  </si>
  <si>
    <t>b. Developing Country Trade Flows ($ billion f.o.b.)</t>
  </si>
  <si>
    <t>Exports of labour-intensive manufactures</t>
  </si>
  <si>
    <t>Imports of labour-intensive manufactures</t>
  </si>
  <si>
    <t>Exports of primary and processed primary products</t>
  </si>
  <si>
    <t>Imports of skill-int intermediates for lab-int prodn</t>
  </si>
  <si>
    <t>Other imports of skill-intensive manufactures</t>
  </si>
  <si>
    <t>Merchandise Trade Balance</t>
  </si>
  <si>
    <t xml:space="preserve">    Counterfactual Flows (with developed countries only)</t>
  </si>
  <si>
    <t/>
  </si>
  <si>
    <t>Primary &amp; Processed</t>
  </si>
  <si>
    <t>Other Manufactures:</t>
  </si>
  <si>
    <t xml:space="preserve">   Skill intensive</t>
  </si>
  <si>
    <t>Total merchandise</t>
  </si>
  <si>
    <t xml:space="preserve">  Gross Manufacturing Output</t>
  </si>
  <si>
    <t xml:space="preserve">  Labour-int. mfs (at developing country prices)</t>
  </si>
  <si>
    <t xml:space="preserve">  Skill-int. mfs (at developed country prices)</t>
  </si>
  <si>
    <t xml:space="preserve">  Sum as % of total actual gross manuf output</t>
  </si>
  <si>
    <t xml:space="preserve">  Manufacturing Value Added </t>
  </si>
  <si>
    <t xml:space="preserve">  Difference as % of total actual mfg VA</t>
  </si>
  <si>
    <t xml:space="preserve">  BAS-ED labour (billion hours)</t>
  </si>
  <si>
    <t xml:space="preserve"> (Hours per year</t>
  </si>
  <si>
    <t xml:space="preserve">  SKILD labour (million years)</t>
  </si>
  <si>
    <t xml:space="preserve">  BAS-ED labour (million years)</t>
  </si>
  <si>
    <t>Proportionate Impact (% of actual manufacturing employment)</t>
  </si>
  <si>
    <t xml:space="preserve">  Capital (at domestic prices)</t>
  </si>
  <si>
    <t xml:space="preserve">  SKILD labour </t>
  </si>
  <si>
    <t xml:space="preserve">  BAS-ED labour </t>
  </si>
  <si>
    <t xml:space="preserve">2.  Proportion of Complete Secondary allocated to economy-wide SKILD (also includes all Higher) = </t>
  </si>
  <si>
    <t>CORRECTION OF 1990 FORMULAE</t>
  </si>
  <si>
    <t xml:space="preserve">Here and in the shaded cells </t>
  </si>
  <si>
    <t xml:space="preserve">five lines below, I changed the </t>
  </si>
  <si>
    <t xml:space="preserve">sign of the cif/fob  adjustment </t>
  </si>
  <si>
    <t>from - to +, because this term</t>
  </si>
  <si>
    <t>refers to North-source inputs</t>
  </si>
  <si>
    <t>of primary products.</t>
  </si>
  <si>
    <t>Here and in the counterfactual/actual price line above</t>
  </si>
  <si>
    <t>is where I switched to delinked intermediate service inputs</t>
  </si>
  <si>
    <t>No 'delinking' modification of terms in these equations because no</t>
  </si>
  <si>
    <t>terms to modify!  Unlike 2011 calcs, no services sector to generate</t>
  </si>
  <si>
    <t>additional demand for manufactured intermediates.</t>
  </si>
  <si>
    <t>CORRECTION Developing-country formula revised to include ALL actual minus counterfactual skill-intensive imports, symmetrically with the developed-country formulae, rather than only the excess above the imports of intermediate inputs required for labour-intensive production, on the grounds that with less labour intensive production in the S there would also have been less need to produce skill-intensive intermediate inputs into labour intensive production.</t>
  </si>
  <si>
    <t>Export-weighted wage from Table A1.3 of Wood (1994)</t>
  </si>
  <si>
    <t>Lost labour-intensive exports restored</t>
  </si>
  <si>
    <t>Increased Southern trade surplus restored</t>
  </si>
  <si>
    <t>This sheet is an Excel conversion of the Quattro spreadsheet that was the source of the numbers in Wood (1994)</t>
  </si>
  <si>
    <t>This sheet is a revised version of the calculations in Wood (1994), with two minor formula corrections, as noted and highlighted below.  The only revision in this sheet</t>
  </si>
  <si>
    <t>This sheet further revises the Wood (1994) calculations by assuming no change in the Southern trade surplus and no lost labour-intensive exports.</t>
  </si>
  <si>
    <t>It corresponds with row 1 of Table A.3 in the 2018 paper.</t>
  </si>
  <si>
    <t>(for consistency with the assumptions of the new 2011 base case) is that intermediate inputs of services into manufacturing in the new calculations are 'delinked' in the sense of being of the same factor intensity for import-substituting production as for export production.  It corresponds with row 2 of Table A.3 in the 2018 paper.</t>
  </si>
  <si>
    <t>the base case in Wood (1994), namely an increased overall Southern trade surplus and the existence of lost labour-intensive exports.  It corresponds with row 3 of Table A.3 in the 2018 paper.</t>
  </si>
  <si>
    <t xml:space="preserve">This sheet combines the revised assumption about intermediate services in the previous sheet with the higher (export-weighted) Southern wage in Table A1.3 of Wood (1994), but retains two other assumptions of </t>
  </si>
  <si>
    <t>Its assumptions thus match, so far as is possible, those of the 2011 base case, and corresponds with row 4 of Table A.3 in the 2018 paper.</t>
  </si>
  <si>
    <t>This workbook contains the spreadsheets used to calculate the numbers in the tables of 'The 1990s trade and wages debate in retrospect' (for short, 'the 2018 paper').  Its first six sheets refer to the calculations for 2011, and</t>
  </si>
  <si>
    <t>are the source of the numbers in Tables 1, A.2, and rows 5-8 of Table A.3 of the 2018 paper.  Its last four sheets refer to the calculations for 1990 in Wood (1994), revised to match the assumptions of the 2011 base case</t>
  </si>
  <si>
    <t>in the 2018 paper, and are the source of the numbers in rows 1-4 of Table A.3 of the 2018 paper.  However, the 1990 calculations cover only manufacturing, whereas those for 2011 also cover traded services.</t>
  </si>
  <si>
    <t>The first six (2011) sheets of the workbook contain the base case and some of the variants reported in the 2018 paper (the other variants reported in the paper were derived by changing data or parameters in the base case).</t>
  </si>
  <si>
    <t>Except where otherwise noted, 'skilled' workers are college graduates, but in the H+M sheets and in the 1990s sheets they are college plus upper secondary graduates.</t>
  </si>
  <si>
    <t>Except where otherwise noted, manufactures are defined broadly to include processed primary products, but the sheets labelled NM (narrow manufactures) adjust roughly to exclude processed primary products, as is the</t>
  </si>
  <si>
    <t>the case also in the 1990s sheets.</t>
  </si>
  <si>
    <t>Except where otherwise noted, in the first six (2011) sheets the skill intensity of exporting sectors is a weighted average of the broad sectors concerned and of the most (for the North) or least (for the South) skill-intensive</t>
  </si>
  <si>
    <t>subsector in that broad sector, but in sheets labelled 'broad sectors' the skill intensity of the exporting sectors is just that of the broad sectors concerned.  In the 1990s, the skill intensities of sectors are as in Tables 4.1 and</t>
  </si>
  <si>
    <t>A1.4 of Wood (1994).</t>
  </si>
  <si>
    <t xml:space="preserve">Many of the assumptions of these calculations can be altered, and alternative results derived, by changing data or parameter values. In the first six (2011) sheets, the cells that can be altered are shaded pink or red (the latter </t>
  </si>
  <si>
    <t>being where values from the 1990 calculations were re-used).  In other cells, the numbers are calculated by formulae.  The data entry cells are not shaded in the 1990s sheets.</t>
  </si>
  <si>
    <t>For the sheets to calculate properly, the 'enable iterative calculation' box in the File/Options/Formula tab must be ticked.</t>
  </si>
  <si>
    <t>Base case for 2011 results in 2018 paper</t>
  </si>
  <si>
    <t>If you need help in understanding or using this workbook, please feel free to contact me at adrian.wood@qeh.ox.ac.uk</t>
  </si>
  <si>
    <t>Adjustment factor from broad to narrow manufactures in shaded cells below:</t>
  </si>
  <si>
    <t>Based on (a) share of NM in BM of 0.86 (based on Wood (2017)) and (b) assumption that the labour content of processed primary exports is half that of narrow manufactures.  No adjustment of trade flows in earlier rows.</t>
  </si>
  <si>
    <t>The principles and sequence of the calculations in this workbook are outlined in the appendix of the 2018 paper and explained in much more detail (though for manufacturing only) in chapter 4 of Wood (1994).</t>
  </si>
  <si>
    <t>Except where otherwise noted, the North is all OECD countries as of 2011 and the South is all non-OECD countries, but in the 'narrow N' sheets the North is all OECD countries as of 1990 (except Turkey) and the South</t>
  </si>
  <si>
    <t>Old South + FSS</t>
  </si>
  <si>
    <t>From old S + FSS</t>
  </si>
  <si>
    <t>to old S + FSS</t>
  </si>
  <si>
    <t>old S + FSS surplus)</t>
  </si>
  <si>
    <t>Variant of base case with North more narrowly (and South more broadly) defined</t>
  </si>
  <si>
    <t>is the rest of the world, while in the 'old N old S' sheets and the 1990s sheets the North is the narrow North and the South is all developing countries excluding the USSR and Eastern Europe, as in Wood (1994).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</si>
</sst>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0000"/>
    <numFmt numFmtId="167" formatCode="0.00000"/>
    <numFmt numFmtId="168" formatCode="\_x0007_;;;"/>
    <numFmt numFmtId="169" formatCode="#,##0.0"/>
    <numFmt numFmtId="170" formatCode="#,##0.000"/>
  </numFmts>
  <fonts count="47"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i/>
      <sz val="10"/>
      <name val="Arial"/>
      <family val="2"/>
    </font>
    <font>
      <sz val="11"/>
      <name val="Calibri"/>
      <family val="2"/>
    </font>
    <font>
      <sz val="10"/>
      <name val="Arial"/>
      <family val="2"/>
    </font>
    <font>
      <sz val="10"/>
      <name val="MS Sans Serif"/>
      <family val="2"/>
    </font>
    <font>
      <i/>
      <sz val="12"/>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2"/>
      <name val="Times New Roman"/>
      <family val="1"/>
    </font>
    <font>
      <b/>
      <i/>
      <sz val="11"/>
      <name val="Calibri"/>
      <family val="2"/>
    </font>
    <font>
      <sz val="11"/>
      <name val="Times New Roman"/>
      <family val="1"/>
    </font>
    <font>
      <sz val="11"/>
      <color theme="1"/>
      <name val="Times New Roman"/>
      <family val="1"/>
    </font>
    <font>
      <sz val="12"/>
      <name val="Times New Roman"/>
      <family val="1"/>
    </font>
    <font>
      <b/>
      <sz val="12"/>
      <name val="Times New Roman"/>
      <family val="1"/>
    </font>
    <font>
      <i/>
      <sz val="12"/>
      <name val="Times New Roman"/>
      <family val="1"/>
    </font>
    <font>
      <b/>
      <i/>
      <sz val="10"/>
      <name val="Arial"/>
      <family val="2"/>
    </font>
    <font>
      <sz val="11"/>
      <name val="Calibri"/>
      <family val="2"/>
    </font>
    <font>
      <sz val="11"/>
      <color theme="1"/>
      <name val="Calibri"/>
      <family val="2"/>
      <scheme val="minor"/>
    </font>
    <font>
      <b/>
      <i/>
      <sz val="11"/>
      <name val="Calibri"/>
      <family val="2"/>
    </font>
    <font>
      <sz val="11"/>
      <name val="Times New Roman"/>
      <family val="1"/>
    </font>
    <font>
      <b/>
      <i/>
      <sz val="12"/>
      <name val="Times New Roman"/>
      <family val="1"/>
    </font>
    <font>
      <sz val="11"/>
      <color theme="1"/>
      <name val="Times New Roman"/>
      <family val="1"/>
    </font>
    <font>
      <strike/>
      <sz val="12"/>
      <name val="Times New Roman"/>
      <family val="1"/>
    </font>
  </fonts>
  <fills count="4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6"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s>
  <cellStyleXfs count="176">
    <xf numFmtId="0" fontId="0"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13" fillId="0" borderId="0"/>
    <xf numFmtId="0" fontId="13" fillId="0" borderId="0"/>
    <xf numFmtId="0" fontId="14" fillId="0" borderId="0"/>
    <xf numFmtId="0" fontId="14" fillId="0" borderId="0"/>
    <xf numFmtId="0" fontId="14" fillId="0" borderId="0"/>
    <xf numFmtId="0" fontId="13" fillId="0" borderId="0">
      <alignment vertical="top"/>
    </xf>
    <xf numFmtId="9" fontId="8" fillId="0" borderId="0" applyFont="0" applyFill="0" applyBorder="0" applyAlignment="0" applyProtection="0"/>
    <xf numFmtId="0" fontId="8" fillId="0" borderId="0"/>
    <xf numFmtId="0" fontId="13"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4" applyNumberFormat="0" applyAlignment="0" applyProtection="0"/>
    <xf numFmtId="0" fontId="24" fillId="9" borderId="5" applyNumberFormat="0" applyAlignment="0" applyProtection="0"/>
    <xf numFmtId="0" fontId="25" fillId="9" borderId="4" applyNumberFormat="0" applyAlignment="0" applyProtection="0"/>
    <xf numFmtId="0" fontId="26" fillId="0" borderId="6" applyNumberFormat="0" applyFill="0" applyAlignment="0" applyProtection="0"/>
    <xf numFmtId="0" fontId="27" fillId="10"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31"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31"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31"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31"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31"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11" borderId="8" applyNumberFormat="0" applyFont="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9" fillId="0" borderId="0"/>
    <xf numFmtId="0" fontId="9"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11" borderId="8" applyNumberFormat="0" applyFont="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3" fillId="0" borderId="0"/>
    <xf numFmtId="0" fontId="3" fillId="0" borderId="0"/>
    <xf numFmtId="0" fontId="2" fillId="0" borderId="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1" borderId="8"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11" borderId="8"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46">
    <xf numFmtId="0" fontId="0" fillId="0" borderId="0" xfId="0"/>
    <xf numFmtId="2" fontId="0" fillId="0" borderId="0" xfId="0" applyNumberFormat="1"/>
    <xf numFmtId="164" fontId="0" fillId="0" borderId="0" xfId="0" applyNumberFormat="1"/>
    <xf numFmtId="0" fontId="0" fillId="2" borderId="0" xfId="0" applyFill="1"/>
    <xf numFmtId="0" fontId="9" fillId="0" borderId="0" xfId="0" applyFont="1"/>
    <xf numFmtId="0" fontId="10" fillId="0" borderId="0" xfId="0" applyFont="1"/>
    <xf numFmtId="0" fontId="0" fillId="0" borderId="0" xfId="0" applyFont="1" applyFill="1"/>
    <xf numFmtId="0" fontId="0" fillId="0" borderId="0" xfId="0" applyFill="1"/>
    <xf numFmtId="0" fontId="10" fillId="0" borderId="0" xfId="0" applyFont="1" applyFill="1"/>
    <xf numFmtId="0" fontId="0" fillId="0" borderId="0" xfId="0" applyFont="1"/>
    <xf numFmtId="3" fontId="0" fillId="0" borderId="0" xfId="0" applyNumberFormat="1" applyFont="1"/>
    <xf numFmtId="169" fontId="0" fillId="0" borderId="0" xfId="0" applyNumberFormat="1"/>
    <xf numFmtId="0" fontId="11" fillId="0" borderId="0" xfId="0" applyFont="1"/>
    <xf numFmtId="3" fontId="12" fillId="0" borderId="0" xfId="0" applyNumberFormat="1" applyFont="1" applyFill="1"/>
    <xf numFmtId="2" fontId="0" fillId="0" borderId="0" xfId="0" applyNumberFormat="1" applyFill="1"/>
    <xf numFmtId="0" fontId="9" fillId="0" borderId="0" xfId="0" applyFont="1" applyFill="1"/>
    <xf numFmtId="164" fontId="0" fillId="0" borderId="0" xfId="0" applyNumberFormat="1" applyFill="1"/>
    <xf numFmtId="167" fontId="0" fillId="0" borderId="0" xfId="0" applyNumberFormat="1" applyFill="1"/>
    <xf numFmtId="166" fontId="0" fillId="0" borderId="0" xfId="0" applyNumberFormat="1" applyFill="1"/>
    <xf numFmtId="1" fontId="0" fillId="0" borderId="0" xfId="0" applyNumberFormat="1" applyFill="1"/>
    <xf numFmtId="2" fontId="9" fillId="0" borderId="0" xfId="0" applyNumberFormat="1" applyFont="1" applyFill="1" applyAlignment="1">
      <alignment horizontal="right"/>
    </xf>
    <xf numFmtId="11" fontId="0" fillId="0" borderId="0" xfId="0" applyNumberFormat="1" applyFill="1"/>
    <xf numFmtId="165" fontId="0" fillId="0" borderId="0" xfId="0" applyNumberFormat="1" applyFill="1"/>
    <xf numFmtId="3" fontId="0" fillId="0" borderId="0" xfId="0" applyNumberFormat="1"/>
    <xf numFmtId="1" fontId="9" fillId="0" borderId="0" xfId="0" applyNumberFormat="1" applyFont="1" applyFill="1"/>
    <xf numFmtId="3" fontId="0" fillId="0" borderId="0" xfId="0" applyNumberFormat="1" applyFill="1"/>
    <xf numFmtId="3" fontId="9" fillId="0" borderId="0" xfId="0" applyNumberFormat="1" applyFont="1" applyFill="1"/>
    <xf numFmtId="169" fontId="0" fillId="0" borderId="0" xfId="0" applyNumberFormat="1" applyFill="1"/>
    <xf numFmtId="169" fontId="10" fillId="0" borderId="0" xfId="0" applyNumberFormat="1" applyFont="1" applyFill="1"/>
    <xf numFmtId="169" fontId="9" fillId="0" borderId="0" xfId="0" applyNumberFormat="1" applyFont="1" applyFill="1"/>
    <xf numFmtId="168" fontId="0" fillId="0" borderId="0" xfId="0" applyNumberFormat="1" applyFill="1"/>
    <xf numFmtId="0" fontId="9" fillId="0" borderId="0" xfId="0" applyFont="1" applyFill="1" applyAlignment="1">
      <alignment horizontal="right"/>
    </xf>
    <xf numFmtId="0" fontId="0" fillId="0" borderId="0" xfId="0" applyFill="1" applyAlignment="1">
      <alignment horizontal="right"/>
    </xf>
    <xf numFmtId="169" fontId="9" fillId="0" borderId="0" xfId="0" applyNumberFormat="1" applyFont="1" applyFill="1" applyAlignment="1">
      <alignment horizontal="right"/>
    </xf>
    <xf numFmtId="3" fontId="0" fillId="3" borderId="0" xfId="0" applyNumberFormat="1" applyFont="1" applyFill="1"/>
    <xf numFmtId="164" fontId="0" fillId="3" borderId="0" xfId="0" applyNumberFormat="1" applyFill="1"/>
    <xf numFmtId="2" fontId="0" fillId="3" borderId="0" xfId="0" applyNumberFormat="1" applyFill="1"/>
    <xf numFmtId="0" fontId="0" fillId="3" borderId="0" xfId="0" applyFill="1"/>
    <xf numFmtId="0" fontId="15" fillId="0" borderId="0" xfId="0" applyFont="1" applyFill="1"/>
    <xf numFmtId="0" fontId="15" fillId="0" borderId="0" xfId="0" applyFont="1"/>
    <xf numFmtId="0" fontId="9" fillId="0" borderId="0" xfId="0" quotePrefix="1" applyFont="1"/>
    <xf numFmtId="2" fontId="0" fillId="0" borderId="0" xfId="0" applyNumberFormat="1" applyFill="1" applyAlignment="1">
      <alignment horizontal="right"/>
    </xf>
    <xf numFmtId="0" fontId="10" fillId="0" borderId="0" xfId="0" applyFont="1" applyFill="1" applyAlignment="1">
      <alignment horizontal="right"/>
    </xf>
    <xf numFmtId="3" fontId="0" fillId="0" borderId="0" xfId="0" applyNumberFormat="1" applyFont="1" applyFill="1"/>
    <xf numFmtId="1" fontId="0" fillId="3" borderId="0" xfId="0" applyNumberFormat="1" applyFill="1"/>
    <xf numFmtId="3" fontId="15" fillId="0" borderId="0" xfId="0" applyNumberFormat="1" applyFont="1" applyFill="1"/>
    <xf numFmtId="169" fontId="15" fillId="0" borderId="0" xfId="0" applyNumberFormat="1" applyFont="1" applyFill="1"/>
    <xf numFmtId="2" fontId="0" fillId="4" borderId="0" xfId="0" applyNumberFormat="1" applyFill="1"/>
    <xf numFmtId="0" fontId="0" fillId="0" borderId="0" xfId="0" applyAlignment="1">
      <alignment horizontal="center"/>
    </xf>
    <xf numFmtId="0" fontId="32" fillId="0" borderId="0" xfId="0" applyFont="1" applyFill="1"/>
    <xf numFmtId="3" fontId="33" fillId="0" borderId="0" xfId="0" applyNumberFormat="1" applyFont="1" applyFill="1"/>
    <xf numFmtId="2" fontId="32" fillId="0" borderId="0" xfId="0" applyNumberFormat="1" applyFont="1" applyFill="1"/>
    <xf numFmtId="0" fontId="0" fillId="0" borderId="0" xfId="0" applyAlignment="1">
      <alignment horizontal="right"/>
    </xf>
    <xf numFmtId="0" fontId="9" fillId="0" borderId="0" xfId="0" applyFont="1" applyAlignment="1">
      <alignment horizontal="right"/>
    </xf>
    <xf numFmtId="1" fontId="0" fillId="0" borderId="0" xfId="0" applyNumberFormat="1"/>
    <xf numFmtId="2" fontId="9" fillId="0" borderId="0" xfId="0" applyNumberFormat="1" applyFont="1" applyFill="1"/>
    <xf numFmtId="2" fontId="9" fillId="0" borderId="0" xfId="0" applyNumberFormat="1" applyFont="1"/>
    <xf numFmtId="3" fontId="34" fillId="0" borderId="0" xfId="0" applyNumberFormat="1" applyFont="1" applyFill="1"/>
    <xf numFmtId="0" fontId="9" fillId="36" borderId="0" xfId="0" applyFont="1" applyFill="1"/>
    <xf numFmtId="2" fontId="0" fillId="36" borderId="0" xfId="0" applyNumberFormat="1" applyFill="1"/>
    <xf numFmtId="2" fontId="9" fillId="3" borderId="0" xfId="0" applyNumberFormat="1" applyFont="1" applyFill="1"/>
    <xf numFmtId="2" fontId="8" fillId="3" borderId="0" xfId="11" applyNumberFormat="1" applyFill="1"/>
    <xf numFmtId="2" fontId="7" fillId="3" borderId="0" xfId="58" applyNumberFormat="1" applyFill="1"/>
    <xf numFmtId="0" fontId="9" fillId="3" borderId="0" xfId="0" applyFont="1" applyFill="1"/>
    <xf numFmtId="165" fontId="9" fillId="0" borderId="0" xfId="0" applyNumberFormat="1" applyFont="1" applyFill="1"/>
    <xf numFmtId="0" fontId="0" fillId="36" borderId="0" xfId="0" applyFill="1"/>
    <xf numFmtId="3" fontId="0" fillId="3" borderId="0" xfId="0" applyNumberFormat="1" applyFill="1"/>
    <xf numFmtId="2" fontId="10" fillId="3" borderId="0" xfId="0" applyNumberFormat="1" applyFont="1" applyFill="1"/>
    <xf numFmtId="0" fontId="10" fillId="3" borderId="0" xfId="0" applyFont="1" applyFill="1"/>
    <xf numFmtId="165" fontId="0" fillId="3" borderId="0" xfId="0" applyNumberFormat="1" applyFill="1"/>
    <xf numFmtId="2" fontId="9" fillId="2" borderId="10" xfId="0" applyNumberFormat="1" applyFont="1" applyFill="1" applyBorder="1"/>
    <xf numFmtId="164" fontId="0" fillId="0" borderId="0" xfId="0" applyNumberFormat="1" applyFill="1" applyAlignment="1"/>
    <xf numFmtId="0" fontId="6" fillId="0" borderId="0" xfId="71"/>
    <xf numFmtId="164" fontId="6" fillId="0" borderId="0" xfId="71" applyNumberFormat="1" applyAlignment="1">
      <alignment horizontal="right"/>
    </xf>
    <xf numFmtId="164" fontId="6" fillId="0" borderId="0" xfId="71" applyNumberFormat="1"/>
    <xf numFmtId="0" fontId="35" fillId="0" borderId="0" xfId="71" applyFont="1"/>
    <xf numFmtId="164" fontId="34" fillId="0" borderId="0" xfId="61" applyNumberFormat="1" applyFont="1"/>
    <xf numFmtId="169" fontId="34" fillId="0" borderId="0" xfId="61" applyNumberFormat="1" applyFont="1" applyFill="1" applyAlignment="1">
      <alignment horizontal="right"/>
    </xf>
    <xf numFmtId="169" fontId="34" fillId="0" borderId="0" xfId="61" applyNumberFormat="1" applyFont="1" applyFill="1"/>
    <xf numFmtId="164" fontId="34" fillId="0" borderId="0" xfId="61" applyNumberFormat="1" applyFont="1" applyFill="1"/>
    <xf numFmtId="0" fontId="36" fillId="0" borderId="0" xfId="0" applyFont="1"/>
    <xf numFmtId="0" fontId="36" fillId="0" borderId="0" xfId="0" applyFont="1" applyFill="1"/>
    <xf numFmtId="0" fontId="36" fillId="3" borderId="0" xfId="0" applyFont="1" applyFill="1"/>
    <xf numFmtId="0" fontId="36" fillId="0" borderId="0" xfId="0" quotePrefix="1" applyFont="1"/>
    <xf numFmtId="0" fontId="36" fillId="4" borderId="0" xfId="0" applyFont="1" applyFill="1"/>
    <xf numFmtId="0" fontId="37" fillId="0" borderId="0" xfId="0" applyFont="1" applyFill="1"/>
    <xf numFmtId="0" fontId="38" fillId="0" borderId="0" xfId="0" applyFont="1" applyFill="1"/>
    <xf numFmtId="0" fontId="36" fillId="0" borderId="0" xfId="0" applyFont="1" applyFill="1" applyAlignment="1">
      <alignment horizontal="right"/>
    </xf>
    <xf numFmtId="164" fontId="36" fillId="0" borderId="0" xfId="0" applyNumberFormat="1" applyFont="1" applyFill="1"/>
    <xf numFmtId="164" fontId="36" fillId="3" borderId="0" xfId="0" applyNumberFormat="1" applyFont="1" applyFill="1"/>
    <xf numFmtId="3" fontId="36" fillId="0" borderId="0" xfId="0" applyNumberFormat="1" applyFont="1"/>
    <xf numFmtId="169" fontId="36" fillId="0" borderId="0" xfId="0" applyNumberFormat="1" applyFont="1"/>
    <xf numFmtId="3" fontId="36" fillId="3" borderId="0" xfId="0" applyNumberFormat="1" applyFont="1" applyFill="1"/>
    <xf numFmtId="1" fontId="36" fillId="3" borderId="0" xfId="0" applyNumberFormat="1" applyFont="1" applyFill="1"/>
    <xf numFmtId="1" fontId="36" fillId="0" borderId="0" xfId="0" applyNumberFormat="1" applyFont="1"/>
    <xf numFmtId="0" fontId="38" fillId="0" borderId="0" xfId="0" applyFont="1"/>
    <xf numFmtId="0" fontId="39" fillId="0" borderId="0" xfId="0" applyFont="1"/>
    <xf numFmtId="164" fontId="36" fillId="0" borderId="0" xfId="0" applyNumberFormat="1" applyFont="1"/>
    <xf numFmtId="3" fontId="40" fillId="0" borderId="0" xfId="0" applyNumberFormat="1" applyFont="1" applyFill="1"/>
    <xf numFmtId="2" fontId="36" fillId="3" borderId="0" xfId="0" applyNumberFormat="1" applyFont="1" applyFill="1"/>
    <xf numFmtId="2" fontId="36" fillId="0" borderId="0" xfId="0" applyNumberFormat="1" applyFont="1" applyFill="1"/>
    <xf numFmtId="2" fontId="41" fillId="3" borderId="0" xfId="11" applyNumberFormat="1" applyFont="1" applyFill="1"/>
    <xf numFmtId="2" fontId="41" fillId="3" borderId="0" xfId="58" applyNumberFormat="1" applyFont="1" applyFill="1"/>
    <xf numFmtId="3" fontId="36" fillId="0" borderId="0" xfId="0" applyNumberFormat="1" applyFont="1" applyFill="1"/>
    <xf numFmtId="165" fontId="36" fillId="0" borderId="0" xfId="0" applyNumberFormat="1" applyFont="1" applyFill="1"/>
    <xf numFmtId="2" fontId="36" fillId="0" borderId="0" xfId="0" applyNumberFormat="1" applyFont="1"/>
    <xf numFmtId="2" fontId="37" fillId="3" borderId="0" xfId="0" applyNumberFormat="1" applyFont="1" applyFill="1"/>
    <xf numFmtId="0" fontId="37" fillId="3" borderId="0" xfId="0" applyFont="1" applyFill="1"/>
    <xf numFmtId="0" fontId="37" fillId="0" borderId="0" xfId="0" applyFont="1"/>
    <xf numFmtId="3" fontId="42" fillId="0" borderId="0" xfId="0" applyNumberFormat="1" applyFont="1" applyFill="1"/>
    <xf numFmtId="1" fontId="36" fillId="0" borderId="0" xfId="0" applyNumberFormat="1" applyFont="1" applyFill="1"/>
    <xf numFmtId="3" fontId="43" fillId="0" borderId="0" xfId="0" applyNumberFormat="1" applyFont="1" applyFill="1"/>
    <xf numFmtId="0" fontId="37" fillId="0" borderId="0" xfId="0" applyFont="1" applyFill="1" applyAlignment="1">
      <alignment horizontal="right"/>
    </xf>
    <xf numFmtId="0" fontId="36" fillId="0" borderId="0" xfId="0" applyFont="1" applyAlignment="1">
      <alignment horizontal="right"/>
    </xf>
    <xf numFmtId="0" fontId="44" fillId="0" borderId="0" xfId="0" applyFont="1" applyFill="1"/>
    <xf numFmtId="2" fontId="44" fillId="0" borderId="0" xfId="0" applyNumberFormat="1" applyFont="1" applyFill="1"/>
    <xf numFmtId="2" fontId="36" fillId="0" borderId="0" xfId="0" applyNumberFormat="1" applyFont="1" applyFill="1" applyAlignment="1">
      <alignment horizontal="right"/>
    </xf>
    <xf numFmtId="2" fontId="36" fillId="4" borderId="0" xfId="0" applyNumberFormat="1" applyFont="1" applyFill="1"/>
    <xf numFmtId="166" fontId="36" fillId="0" borderId="0" xfId="0" applyNumberFormat="1" applyFont="1" applyFill="1"/>
    <xf numFmtId="11" fontId="36" fillId="0" borderId="0" xfId="0" applyNumberFormat="1" applyFont="1" applyFill="1"/>
    <xf numFmtId="167" fontId="36" fillId="0" borderId="0" xfId="0" applyNumberFormat="1" applyFont="1" applyFill="1"/>
    <xf numFmtId="164" fontId="36" fillId="0" borderId="0" xfId="0" applyNumberFormat="1" applyFont="1" applyFill="1" applyAlignment="1"/>
    <xf numFmtId="165" fontId="36" fillId="3" borderId="0" xfId="0" applyNumberFormat="1" applyFont="1" applyFill="1"/>
    <xf numFmtId="164" fontId="36" fillId="4" borderId="0" xfId="0" applyNumberFormat="1" applyFont="1" applyFill="1"/>
    <xf numFmtId="3" fontId="38" fillId="0" borderId="0" xfId="0" applyNumberFormat="1" applyFont="1" applyFill="1"/>
    <xf numFmtId="169" fontId="38" fillId="0" borderId="0" xfId="0" applyNumberFormat="1" applyFont="1" applyFill="1"/>
    <xf numFmtId="169" fontId="36" fillId="0" borderId="0" xfId="0" applyNumberFormat="1" applyFont="1" applyFill="1"/>
    <xf numFmtId="169" fontId="37" fillId="0" borderId="0" xfId="0" applyNumberFormat="1" applyFont="1" applyFill="1"/>
    <xf numFmtId="169" fontId="36" fillId="0" borderId="0" xfId="0" applyNumberFormat="1" applyFont="1" applyFill="1" applyAlignment="1">
      <alignment horizontal="right"/>
    </xf>
    <xf numFmtId="0" fontId="36" fillId="0" borderId="0" xfId="0" applyFont="1" applyAlignment="1">
      <alignment horizontal="center"/>
    </xf>
    <xf numFmtId="169" fontId="43" fillId="0" borderId="0" xfId="61" applyNumberFormat="1" applyFont="1" applyFill="1"/>
    <xf numFmtId="0" fontId="45" fillId="0" borderId="0" xfId="71" applyFont="1"/>
    <xf numFmtId="169" fontId="43" fillId="0" borderId="0" xfId="61" applyNumberFormat="1" applyFont="1" applyFill="1" applyAlignment="1">
      <alignment horizontal="right"/>
    </xf>
    <xf numFmtId="0" fontId="41" fillId="0" borderId="0" xfId="71" applyFont="1"/>
    <xf numFmtId="164" fontId="43" fillId="0" borderId="0" xfId="61" applyNumberFormat="1" applyFont="1" applyFill="1"/>
    <xf numFmtId="164" fontId="41" fillId="0" borderId="0" xfId="71" applyNumberFormat="1" applyFont="1" applyAlignment="1">
      <alignment horizontal="right"/>
    </xf>
    <xf numFmtId="164" fontId="41" fillId="0" borderId="0" xfId="71" applyNumberFormat="1" applyFont="1"/>
    <xf numFmtId="164" fontId="43" fillId="0" borderId="0" xfId="61" applyNumberFormat="1" applyFont="1"/>
    <xf numFmtId="165" fontId="0" fillId="0" borderId="0" xfId="0" applyNumberFormat="1"/>
    <xf numFmtId="164" fontId="9" fillId="0" borderId="0" xfId="0" applyNumberFormat="1" applyFont="1" applyFill="1"/>
    <xf numFmtId="165" fontId="9" fillId="0" borderId="0" xfId="0" applyNumberFormat="1" applyFont="1" applyFill="1" applyAlignment="1">
      <alignment horizontal="right"/>
    </xf>
    <xf numFmtId="0" fontId="36" fillId="37" borderId="0" xfId="0" applyFont="1" applyFill="1"/>
    <xf numFmtId="0" fontId="9" fillId="37" borderId="0" xfId="0" applyFont="1" applyFill="1"/>
    <xf numFmtId="2" fontId="46" fillId="0" borderId="0" xfId="0" applyNumberFormat="1" applyFont="1" applyFill="1"/>
    <xf numFmtId="2" fontId="36" fillId="37" borderId="0" xfId="0" applyNumberFormat="1" applyFont="1" applyFill="1"/>
    <xf numFmtId="2" fontId="41" fillId="37" borderId="0" xfId="11" applyNumberFormat="1" applyFont="1" applyFill="1"/>
    <xf numFmtId="2" fontId="41" fillId="37" borderId="0" xfId="58" applyNumberFormat="1" applyFont="1" applyFill="1"/>
    <xf numFmtId="0" fontId="46" fillId="0" borderId="0" xfId="0" applyFont="1"/>
    <xf numFmtId="3" fontId="9" fillId="38" borderId="0" xfId="0" applyNumberFormat="1" applyFont="1" applyFill="1"/>
    <xf numFmtId="169" fontId="9" fillId="38" borderId="0" xfId="0" applyNumberFormat="1" applyFont="1" applyFill="1"/>
    <xf numFmtId="0" fontId="9" fillId="38" borderId="0" xfId="0" applyFont="1" applyFill="1"/>
    <xf numFmtId="0" fontId="0" fillId="38" borderId="0" xfId="0" applyFill="1"/>
    <xf numFmtId="164" fontId="0" fillId="38" borderId="0" xfId="0" applyNumberFormat="1" applyFill="1"/>
    <xf numFmtId="165" fontId="0" fillId="38" borderId="0" xfId="0" applyNumberFormat="1" applyFill="1"/>
    <xf numFmtId="3" fontId="36" fillId="38" borderId="0" xfId="0" applyNumberFormat="1" applyFont="1" applyFill="1"/>
    <xf numFmtId="0" fontId="9" fillId="39" borderId="0" xfId="0" applyFont="1" applyFill="1"/>
    <xf numFmtId="0" fontId="0" fillId="39" borderId="0" xfId="0" applyFill="1"/>
    <xf numFmtId="0" fontId="34" fillId="0" borderId="0" xfId="0" applyFont="1" applyFill="1"/>
    <xf numFmtId="0" fontId="9" fillId="40" borderId="0" xfId="0" applyFont="1" applyFill="1"/>
    <xf numFmtId="0" fontId="0" fillId="40" borderId="0" xfId="0" applyFill="1"/>
    <xf numFmtId="2" fontId="36" fillId="0" borderId="0" xfId="0" applyNumberFormat="1" applyFont="1" applyFill="1" applyAlignment="1"/>
    <xf numFmtId="0" fontId="35" fillId="0" borderId="0" xfId="0" applyFont="1"/>
    <xf numFmtId="164" fontId="34" fillId="0" borderId="0" xfId="95" applyNumberFormat="1" applyFont="1" applyFill="1"/>
    <xf numFmtId="164" fontId="34" fillId="0" borderId="0" xfId="95" applyNumberFormat="1" applyFont="1" applyFill="1" applyAlignment="1">
      <alignment horizontal="right"/>
    </xf>
    <xf numFmtId="164" fontId="34" fillId="0" borderId="0" xfId="95" applyNumberFormat="1" applyFont="1" applyFill="1" applyAlignment="1">
      <alignment horizontal="left"/>
    </xf>
    <xf numFmtId="0" fontId="4" fillId="0" borderId="0" xfId="0" applyFont="1"/>
    <xf numFmtId="164" fontId="4" fillId="0" borderId="0" xfId="0" applyNumberFormat="1" applyFont="1"/>
    <xf numFmtId="2" fontId="4" fillId="0" borderId="0" xfId="0" applyNumberFormat="1" applyFont="1"/>
    <xf numFmtId="0" fontId="9" fillId="41" borderId="0" xfId="0" applyFont="1" applyFill="1"/>
    <xf numFmtId="169" fontId="9" fillId="42" borderId="0" xfId="0" applyNumberFormat="1" applyFont="1" applyFill="1"/>
    <xf numFmtId="169" fontId="0" fillId="42" borderId="0" xfId="0" applyNumberFormat="1" applyFill="1"/>
    <xf numFmtId="170" fontId="0" fillId="42" borderId="0" xfId="0" applyNumberFormat="1" applyFill="1"/>
    <xf numFmtId="0" fontId="0" fillId="42" borderId="0" xfId="0" applyFill="1"/>
    <xf numFmtId="0" fontId="36" fillId="39" borderId="0" xfId="0" applyFont="1" applyFill="1"/>
    <xf numFmtId="0" fontId="9" fillId="43" borderId="0" xfId="61" applyFill="1"/>
    <xf numFmtId="0" fontId="9" fillId="0" borderId="0" xfId="61"/>
    <xf numFmtId="2" fontId="9" fillId="0" borderId="0" xfId="61" applyNumberFormat="1"/>
    <xf numFmtId="164" fontId="9" fillId="0" borderId="0" xfId="61" applyNumberFormat="1"/>
    <xf numFmtId="168" fontId="9" fillId="0" borderId="0" xfId="61" applyNumberFormat="1"/>
    <xf numFmtId="0" fontId="9" fillId="0" borderId="0" xfId="61" applyFont="1"/>
    <xf numFmtId="1" fontId="9" fillId="0" borderId="0" xfId="61" applyNumberFormat="1"/>
    <xf numFmtId="165" fontId="9" fillId="0" borderId="0" xfId="61" applyNumberFormat="1"/>
    <xf numFmtId="166" fontId="9" fillId="0" borderId="0" xfId="61" applyNumberFormat="1"/>
    <xf numFmtId="11" fontId="9" fillId="0" borderId="0" xfId="61" applyNumberFormat="1"/>
    <xf numFmtId="167" fontId="9" fillId="0" borderId="0" xfId="61" applyNumberFormat="1"/>
    <xf numFmtId="0" fontId="9" fillId="43" borderId="0" xfId="0" applyFont="1" applyFill="1"/>
    <xf numFmtId="0" fontId="0" fillId="43" borderId="0" xfId="0" applyFill="1"/>
    <xf numFmtId="168" fontId="0" fillId="0" borderId="0" xfId="0" applyNumberFormat="1"/>
    <xf numFmtId="166" fontId="0" fillId="0" borderId="0" xfId="0" applyNumberFormat="1"/>
    <xf numFmtId="11" fontId="0" fillId="0" borderId="0" xfId="0" applyNumberFormat="1"/>
    <xf numFmtId="167" fontId="0" fillId="0" borderId="0" xfId="0" applyNumberFormat="1"/>
    <xf numFmtId="0" fontId="0" fillId="44" borderId="0" xfId="0" applyFill="1"/>
    <xf numFmtId="2" fontId="0" fillId="44" borderId="0" xfId="0" applyNumberFormat="1" applyFill="1"/>
    <xf numFmtId="2" fontId="0" fillId="45" borderId="0" xfId="0" applyNumberFormat="1" applyFill="1"/>
    <xf numFmtId="0" fontId="9" fillId="45" borderId="0" xfId="0" applyFont="1" applyFill="1"/>
    <xf numFmtId="0" fontId="0" fillId="45" borderId="0" xfId="0" applyFill="1"/>
    <xf numFmtId="0" fontId="9" fillId="44" borderId="0" xfId="0" applyFont="1" applyFill="1"/>
    <xf numFmtId="164" fontId="9" fillId="0" borderId="0" xfId="61" applyNumberFormat="1" applyFill="1"/>
    <xf numFmtId="2" fontId="9" fillId="44" borderId="0" xfId="0" applyNumberFormat="1" applyFont="1" applyFill="1"/>
    <xf numFmtId="164" fontId="0" fillId="44" borderId="0" xfId="0" applyNumberFormat="1" applyFill="1"/>
    <xf numFmtId="2" fontId="0" fillId="2" borderId="0" xfId="0" applyNumberFormat="1" applyFill="1"/>
    <xf numFmtId="164" fontId="0" fillId="41" borderId="0" xfId="0" applyNumberFormat="1" applyFill="1"/>
    <xf numFmtId="0" fontId="0" fillId="41" borderId="0" xfId="0" applyFill="1"/>
    <xf numFmtId="2" fontId="9" fillId="0" borderId="10" xfId="0" applyNumberFormat="1" applyFont="1" applyFill="1" applyBorder="1"/>
    <xf numFmtId="0" fontId="9" fillId="0" borderId="0" xfId="0" applyFont="1" applyFill="1" applyBorder="1"/>
    <xf numFmtId="2" fontId="9" fillId="0" borderId="0" xfId="0" applyNumberFormat="1" applyFont="1" applyFill="1" applyBorder="1"/>
    <xf numFmtId="0" fontId="36" fillId="0" borderId="0" xfId="0" applyFont="1" applyBorder="1"/>
    <xf numFmtId="169" fontId="9" fillId="42" borderId="0" xfId="61" applyNumberFormat="1" applyFont="1" applyFill="1"/>
    <xf numFmtId="169" fontId="9" fillId="42" borderId="0" xfId="61" applyNumberFormat="1" applyFill="1"/>
    <xf numFmtId="0" fontId="9" fillId="46" borderId="0" xfId="0" applyFont="1" applyFill="1"/>
    <xf numFmtId="0" fontId="0" fillId="46" borderId="0" xfId="0" applyFill="1"/>
    <xf numFmtId="164" fontId="0" fillId="39" borderId="0" xfId="0" applyNumberFormat="1" applyFill="1"/>
    <xf numFmtId="164" fontId="0" fillId="46" borderId="0" xfId="0" applyNumberFormat="1" applyFill="1"/>
    <xf numFmtId="165" fontId="0" fillId="39" borderId="0" xfId="0" applyNumberFormat="1" applyFill="1"/>
    <xf numFmtId="165" fontId="0" fillId="46" borderId="0" xfId="0" applyNumberFormat="1" applyFill="1"/>
    <xf numFmtId="3" fontId="9" fillId="46" borderId="0" xfId="0" applyNumberFormat="1" applyFont="1" applyFill="1"/>
    <xf numFmtId="169" fontId="9" fillId="46" borderId="0" xfId="0" applyNumberFormat="1" applyFont="1" applyFill="1"/>
    <xf numFmtId="3" fontId="9" fillId="0" borderId="0" xfId="0" applyNumberFormat="1" applyFont="1"/>
    <xf numFmtId="169" fontId="9" fillId="0" borderId="0" xfId="0" applyNumberFormat="1" applyFont="1"/>
    <xf numFmtId="1" fontId="9" fillId="3" borderId="0" xfId="0" applyNumberFormat="1" applyFont="1" applyFill="1"/>
    <xf numFmtId="1" fontId="9" fillId="0" borderId="0" xfId="0" applyNumberFormat="1" applyFont="1"/>
    <xf numFmtId="164" fontId="9" fillId="3" borderId="0" xfId="0" applyNumberFormat="1" applyFont="1" applyFill="1"/>
    <xf numFmtId="164" fontId="9" fillId="0" borderId="0" xfId="0" applyNumberFormat="1" applyFont="1"/>
    <xf numFmtId="2" fontId="1" fillId="3" borderId="0" xfId="173" applyNumberFormat="1" applyFont="1" applyFill="1"/>
    <xf numFmtId="2" fontId="1" fillId="3" borderId="0" xfId="174" applyNumberFormat="1" applyFont="1" applyFill="1"/>
    <xf numFmtId="3" fontId="9" fillId="3" borderId="0" xfId="0" applyNumberFormat="1" applyFont="1" applyFill="1"/>
    <xf numFmtId="2" fontId="9" fillId="4" borderId="0" xfId="0" applyNumberFormat="1" applyFont="1" applyFill="1"/>
    <xf numFmtId="166" fontId="9" fillId="0" borderId="0" xfId="0" applyNumberFormat="1" applyFont="1" applyFill="1"/>
    <xf numFmtId="0" fontId="9" fillId="4" borderId="0" xfId="0" applyFont="1" applyFill="1"/>
    <xf numFmtId="11" fontId="9" fillId="0" borderId="0" xfId="0" applyNumberFormat="1" applyFont="1" applyFill="1"/>
    <xf numFmtId="167" fontId="9" fillId="0" borderId="0" xfId="0" applyNumberFormat="1" applyFont="1" applyFill="1"/>
    <xf numFmtId="2" fontId="9" fillId="41" borderId="0" xfId="0" applyNumberFormat="1" applyFont="1" applyFill="1"/>
    <xf numFmtId="2" fontId="9" fillId="0" borderId="0" xfId="0" applyNumberFormat="1" applyFont="1" applyFill="1" applyAlignment="1"/>
    <xf numFmtId="164" fontId="9" fillId="0" borderId="0" xfId="0" applyNumberFormat="1" applyFont="1" applyFill="1" applyAlignment="1"/>
    <xf numFmtId="165" fontId="9" fillId="3" borderId="0" xfId="0" applyNumberFormat="1" applyFont="1" applyFill="1"/>
    <xf numFmtId="164" fontId="9" fillId="4" borderId="0" xfId="0" applyNumberFormat="1" applyFont="1" applyFill="1"/>
    <xf numFmtId="0" fontId="9" fillId="0" borderId="0" xfId="0" applyFont="1" applyAlignment="1">
      <alignment horizontal="center"/>
    </xf>
    <xf numFmtId="0" fontId="35" fillId="0" borderId="0" xfId="175" applyFont="1"/>
    <xf numFmtId="0" fontId="1" fillId="0" borderId="0" xfId="175" applyFont="1"/>
    <xf numFmtId="164" fontId="1" fillId="0" borderId="0" xfId="175" applyNumberFormat="1" applyFont="1" applyAlignment="1">
      <alignment horizontal="right"/>
    </xf>
    <xf numFmtId="164" fontId="1" fillId="0" borderId="0" xfId="175" applyNumberFormat="1" applyFont="1"/>
    <xf numFmtId="0" fontId="1" fillId="0" borderId="0" xfId="175"/>
    <xf numFmtId="0" fontId="15" fillId="0" borderId="0" xfId="0" applyFont="1" applyFill="1" applyAlignment="1">
      <alignment vertical="center"/>
    </xf>
    <xf numFmtId="0" fontId="15" fillId="0" borderId="0" xfId="0" applyFont="1" applyAlignment="1">
      <alignment vertical="center"/>
    </xf>
    <xf numFmtId="0" fontId="9" fillId="0" borderId="0" xfId="0" applyFont="1" applyFill="1" applyAlignment="1">
      <alignment vertical="center"/>
    </xf>
    <xf numFmtId="0" fontId="9" fillId="43" borderId="0" xfId="0" applyFont="1" applyFill="1" applyAlignment="1">
      <alignment horizontal="justify" vertical="top" wrapText="1"/>
    </xf>
  </cellXfs>
  <cellStyles count="176">
    <cellStyle name="20% - Accent1" xfId="30" builtinId="30" customBuiltin="1"/>
    <cellStyle name="20% - Accent1 2" xfId="72"/>
    <cellStyle name="20% - Accent1 2 2" xfId="142"/>
    <cellStyle name="20% - Accent1 3" xfId="109"/>
    <cellStyle name="20% - Accent2" xfId="34" builtinId="34" customBuiltin="1"/>
    <cellStyle name="20% - Accent2 2" xfId="75"/>
    <cellStyle name="20% - Accent2 2 2" xfId="145"/>
    <cellStyle name="20% - Accent2 3" xfId="112"/>
    <cellStyle name="20% - Accent3" xfId="38" builtinId="38" customBuiltin="1"/>
    <cellStyle name="20% - Accent3 2" xfId="78"/>
    <cellStyle name="20% - Accent3 2 2" xfId="148"/>
    <cellStyle name="20% - Accent3 3" xfId="115"/>
    <cellStyle name="20% - Accent4" xfId="42" builtinId="42" customBuiltin="1"/>
    <cellStyle name="20% - Accent4 2" xfId="81"/>
    <cellStyle name="20% - Accent4 2 2" xfId="151"/>
    <cellStyle name="20% - Accent4 3" xfId="118"/>
    <cellStyle name="20% - Accent5" xfId="46" builtinId="46" customBuiltin="1"/>
    <cellStyle name="20% - Accent5 2" xfId="84"/>
    <cellStyle name="20% - Accent5 2 2" xfId="154"/>
    <cellStyle name="20% - Accent5 3" xfId="121"/>
    <cellStyle name="20% - Accent6" xfId="50" builtinId="50" customBuiltin="1"/>
    <cellStyle name="20% - Accent6 2" xfId="87"/>
    <cellStyle name="20% - Accent6 2 2" xfId="157"/>
    <cellStyle name="20% - Accent6 3" xfId="124"/>
    <cellStyle name="40% - Accent1" xfId="31" builtinId="31" customBuiltin="1"/>
    <cellStyle name="40% - Accent1 2" xfId="73"/>
    <cellStyle name="40% - Accent1 2 2" xfId="143"/>
    <cellStyle name="40% - Accent1 3" xfId="110"/>
    <cellStyle name="40% - Accent2" xfId="35" builtinId="35" customBuiltin="1"/>
    <cellStyle name="40% - Accent2 2" xfId="76"/>
    <cellStyle name="40% - Accent2 2 2" xfId="146"/>
    <cellStyle name="40% - Accent2 3" xfId="113"/>
    <cellStyle name="40% - Accent3" xfId="39" builtinId="39" customBuiltin="1"/>
    <cellStyle name="40% - Accent3 2" xfId="79"/>
    <cellStyle name="40% - Accent3 2 2" xfId="149"/>
    <cellStyle name="40% - Accent3 3" xfId="116"/>
    <cellStyle name="40% - Accent4" xfId="43" builtinId="43" customBuiltin="1"/>
    <cellStyle name="40% - Accent4 2" xfId="82"/>
    <cellStyle name="40% - Accent4 2 2" xfId="152"/>
    <cellStyle name="40% - Accent4 3" xfId="119"/>
    <cellStyle name="40% - Accent5" xfId="47" builtinId="47" customBuiltin="1"/>
    <cellStyle name="40% - Accent5 2" xfId="85"/>
    <cellStyle name="40% - Accent5 2 2" xfId="155"/>
    <cellStyle name="40% - Accent5 3" xfId="122"/>
    <cellStyle name="40% - Accent6" xfId="51" builtinId="51" customBuiltin="1"/>
    <cellStyle name="40% - Accent6 2" xfId="88"/>
    <cellStyle name="40% - Accent6 2 2" xfId="158"/>
    <cellStyle name="40% - Accent6 3" xfId="125"/>
    <cellStyle name="60% - Accent1" xfId="32" builtinId="32" customBuiltin="1"/>
    <cellStyle name="60% - Accent1 2" xfId="74"/>
    <cellStyle name="60% - Accent1 2 2" xfId="144"/>
    <cellStyle name="60% - Accent1 3" xfId="111"/>
    <cellStyle name="60% - Accent2" xfId="36" builtinId="36" customBuiltin="1"/>
    <cellStyle name="60% - Accent2 2" xfId="77"/>
    <cellStyle name="60% - Accent2 2 2" xfId="147"/>
    <cellStyle name="60% - Accent2 3" xfId="114"/>
    <cellStyle name="60% - Accent3" xfId="40" builtinId="40" customBuiltin="1"/>
    <cellStyle name="60% - Accent3 2" xfId="80"/>
    <cellStyle name="60% - Accent3 2 2" xfId="150"/>
    <cellStyle name="60% - Accent3 3" xfId="117"/>
    <cellStyle name="60% - Accent4" xfId="44" builtinId="44" customBuiltin="1"/>
    <cellStyle name="60% - Accent4 2" xfId="83"/>
    <cellStyle name="60% - Accent4 2 2" xfId="153"/>
    <cellStyle name="60% - Accent4 3" xfId="120"/>
    <cellStyle name="60% - Accent5" xfId="48" builtinId="48" customBuiltin="1"/>
    <cellStyle name="60% - Accent5 2" xfId="86"/>
    <cellStyle name="60% - Accent5 2 2" xfId="156"/>
    <cellStyle name="60% - Accent5 3" xfId="123"/>
    <cellStyle name="60% - Accent6" xfId="52" builtinId="52" customBuiltin="1"/>
    <cellStyle name="60% - Accent6 2" xfId="89"/>
    <cellStyle name="60% - Accent6 2 2" xfId="159"/>
    <cellStyle name="60% - Accent6 3" xfId="126"/>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9" builtinId="27" customBuiltin="1"/>
    <cellStyle name="Calculation" xfId="23" builtinId="22" customBuiltin="1"/>
    <cellStyle name="Check Cell" xfId="25" builtinId="23" customBuiltin="1"/>
    <cellStyle name="Comma 2" xfId="2"/>
    <cellStyle name="Comma 2 2" xfId="68"/>
    <cellStyle name="Comma 2 2 2" xfId="139"/>
    <cellStyle name="Comma 2 3" xfId="90"/>
    <cellStyle name="Comma 2 3 2" xfId="160"/>
    <cellStyle name="Comma 2 4" xfId="63"/>
    <cellStyle name="Comma 2 4 2" xfId="134"/>
    <cellStyle name="Comma 2 5" xfId="106"/>
    <cellStyle name="Comma 3" xfId="55"/>
    <cellStyle name="Comma 3 2" xfId="93"/>
    <cellStyle name="Comma 3 2 2" xfId="163"/>
    <cellStyle name="Comma 3 3" xfId="129"/>
    <cellStyle name="Comma 4" xfId="96"/>
    <cellStyle name="Comma 4 2" xfId="166"/>
    <cellStyle name="Explanatory Text" xfId="27"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1" builtinId="20" customBuiltin="1"/>
    <cellStyle name="Linked Cell" xfId="24" builtinId="24" customBuiltin="1"/>
    <cellStyle name="Neutral" xfId="20" builtinId="28" customBuiltin="1"/>
    <cellStyle name="Normal" xfId="0" builtinId="0"/>
    <cellStyle name="Normal 10" xfId="12"/>
    <cellStyle name="Normal 14" xfId="9"/>
    <cellStyle name="Normal 15 2" xfId="11"/>
    <cellStyle name="Normal 15 2 2" xfId="58"/>
    <cellStyle name="Normal 15 2 2 2" xfId="71"/>
    <cellStyle name="Normal 15 2 2 2 2" xfId="102"/>
    <cellStyle name="Normal 15 2 2 2 2 2" xfId="172"/>
    <cellStyle name="Normal 15 2 2 2 3" xfId="103"/>
    <cellStyle name="Normal 15 2 2 2 4" xfId="175"/>
    <cellStyle name="Normal 15 2 2 3" xfId="101"/>
    <cellStyle name="Normal 15 2 2 3 2" xfId="171"/>
    <cellStyle name="Normal 15 2 2 4" xfId="174"/>
    <cellStyle name="Normal 15 2 3" xfId="66"/>
    <cellStyle name="Normal 15 2 3 2" xfId="137"/>
    <cellStyle name="Normal 15 2 4" xfId="99"/>
    <cellStyle name="Normal 15 2 4 2" xfId="169"/>
    <cellStyle name="Normal 15 2 5" xfId="100"/>
    <cellStyle name="Normal 15 2 5 2" xfId="170"/>
    <cellStyle name="Normal 15 2 6" xfId="173"/>
    <cellStyle name="Normal 2" xfId="1"/>
    <cellStyle name="Normal 2 2" xfId="7"/>
    <cellStyle name="Normal 2 2 2" xfId="8"/>
    <cellStyle name="Normal 2 2 6" xfId="4"/>
    <cellStyle name="Normal 2 3" xfId="5"/>
    <cellStyle name="Normal 2 4" xfId="67"/>
    <cellStyle name="Normal 2 4 2" xfId="138"/>
    <cellStyle name="Normal 2 5" xfId="62"/>
    <cellStyle name="Normal 2 5 2" xfId="133"/>
    <cellStyle name="Normal 2 6" xfId="105"/>
    <cellStyle name="Normal 3" xfId="6"/>
    <cellStyle name="Normal 4" xfId="54"/>
    <cellStyle name="Normal 4 2" xfId="92"/>
    <cellStyle name="Normal 4 2 2" xfId="162"/>
    <cellStyle name="Normal 4 3" xfId="61"/>
    <cellStyle name="Normal 4 4" xfId="128"/>
    <cellStyle name="Normal 5" xfId="60"/>
    <cellStyle name="Normal 6" xfId="59"/>
    <cellStyle name="Normal 6 2" xfId="132"/>
    <cellStyle name="Normal 7" xfId="95"/>
    <cellStyle name="Normal 7 2" xfId="104"/>
    <cellStyle name="Normal 7 3" xfId="165"/>
    <cellStyle name="Note 2" xfId="53"/>
    <cellStyle name="Note 2 2" xfId="91"/>
    <cellStyle name="Note 2 2 2" xfId="161"/>
    <cellStyle name="Note 2 3" xfId="127"/>
    <cellStyle name="Output" xfId="22" builtinId="21" customBuiltin="1"/>
    <cellStyle name="Percent 2" xfId="10"/>
    <cellStyle name="Percent 2 2" xfId="57"/>
    <cellStyle name="Percent 2 2 2" xfId="70"/>
    <cellStyle name="Percent 2 2 2 2" xfId="141"/>
    <cellStyle name="Percent 2 2 3" xfId="131"/>
    <cellStyle name="Percent 2 3" xfId="65"/>
    <cellStyle name="Percent 2 3 2" xfId="136"/>
    <cellStyle name="Percent 2 4" xfId="98"/>
    <cellStyle name="Percent 2 4 2" xfId="168"/>
    <cellStyle name="Percent 2 5" xfId="108"/>
    <cellStyle name="Percent 3" xfId="3"/>
    <cellStyle name="Percent 3 2" xfId="69"/>
    <cellStyle name="Percent 3 2 2" xfId="140"/>
    <cellStyle name="Percent 3 3" xfId="64"/>
    <cellStyle name="Percent 3 3 2" xfId="135"/>
    <cellStyle name="Percent 3 4" xfId="107"/>
    <cellStyle name="Percent 4" xfId="56"/>
    <cellStyle name="Percent 4 2" xfId="94"/>
    <cellStyle name="Percent 4 2 2" xfId="164"/>
    <cellStyle name="Percent 4 3" xfId="130"/>
    <cellStyle name="Percent 5" xfId="97"/>
    <cellStyle name="Percent 5 2" xfId="167"/>
    <cellStyle name="Title" xfId="13" builtinId="15" customBuiltin="1"/>
    <cellStyle name="Total" xfId="28" builtinId="25" customBuiltin="1"/>
    <cellStyle name="Warning Text" xfId="2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808080"/>
      <rgbColor rgb="00000000"/>
      <rgbColor rgb="00FF0000"/>
      <rgbColor rgb="0000FF00"/>
      <rgbColor rgb="000000FF"/>
      <rgbColor rgb="0000FF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tabSelected="1" zoomScaleNormal="100" workbookViewId="0">
      <selection activeCell="M29" sqref="M29"/>
    </sheetView>
  </sheetViews>
  <sheetFormatPr defaultRowHeight="15.5" x14ac:dyDescent="0.35"/>
  <cols>
    <col min="1" max="1" width="3.6640625" customWidth="1"/>
    <col min="2" max="2" width="2.6640625" customWidth="1"/>
  </cols>
  <sheetData>
    <row r="1" spans="1:3" x14ac:dyDescent="0.35">
      <c r="A1" s="5" t="s">
        <v>342</v>
      </c>
    </row>
    <row r="3" spans="1:3" x14ac:dyDescent="0.35">
      <c r="A3" s="4" t="s">
        <v>514</v>
      </c>
    </row>
    <row r="4" spans="1:3" x14ac:dyDescent="0.35">
      <c r="A4" s="4"/>
      <c r="B4" t="s">
        <v>515</v>
      </c>
    </row>
    <row r="5" spans="1:3" x14ac:dyDescent="0.35">
      <c r="A5" s="4"/>
      <c r="B5" t="s">
        <v>516</v>
      </c>
    </row>
    <row r="6" spans="1:3" x14ac:dyDescent="0.35">
      <c r="A6" s="4"/>
    </row>
    <row r="7" spans="1:3" x14ac:dyDescent="0.35">
      <c r="A7" s="4" t="s">
        <v>517</v>
      </c>
    </row>
    <row r="8" spans="1:3" x14ac:dyDescent="0.35">
      <c r="A8" s="4"/>
    </row>
    <row r="9" spans="1:3" x14ac:dyDescent="0.35">
      <c r="B9" s="4" t="s">
        <v>518</v>
      </c>
    </row>
    <row r="10" spans="1:3" x14ac:dyDescent="0.35">
      <c r="B10" s="4" t="s">
        <v>532</v>
      </c>
    </row>
    <row r="11" spans="1:3" x14ac:dyDescent="0.35">
      <c r="B11" s="4"/>
      <c r="C11" s="4" t="s">
        <v>538</v>
      </c>
    </row>
    <row r="12" spans="1:3" x14ac:dyDescent="0.35">
      <c r="B12" s="4" t="s">
        <v>519</v>
      </c>
    </row>
    <row r="13" spans="1:3" x14ac:dyDescent="0.35">
      <c r="B13" s="4"/>
      <c r="C13" t="s">
        <v>520</v>
      </c>
    </row>
    <row r="14" spans="1:3" x14ac:dyDescent="0.35">
      <c r="B14" s="4" t="s">
        <v>521</v>
      </c>
    </row>
    <row r="15" spans="1:3" x14ac:dyDescent="0.35">
      <c r="C15" s="4" t="s">
        <v>522</v>
      </c>
    </row>
    <row r="16" spans="1:3" x14ac:dyDescent="0.35">
      <c r="C16" s="4" t="s">
        <v>523</v>
      </c>
    </row>
    <row r="17" spans="1:3" x14ac:dyDescent="0.35">
      <c r="C17" s="4"/>
    </row>
    <row r="18" spans="1:3" x14ac:dyDescent="0.35">
      <c r="A18" t="s">
        <v>524</v>
      </c>
      <c r="C18" s="4"/>
    </row>
    <row r="19" spans="1:3" x14ac:dyDescent="0.35">
      <c r="B19" t="s">
        <v>525</v>
      </c>
      <c r="C19" s="4"/>
    </row>
    <row r="20" spans="1:3" x14ac:dyDescent="0.35">
      <c r="C20" s="4"/>
    </row>
    <row r="21" spans="1:3" x14ac:dyDescent="0.35">
      <c r="B21" s="4" t="s">
        <v>526</v>
      </c>
    </row>
    <row r="22" spans="1:3" x14ac:dyDescent="0.35">
      <c r="B22" s="4"/>
    </row>
    <row r="23" spans="1:3" x14ac:dyDescent="0.35">
      <c r="A23" s="4" t="s">
        <v>531</v>
      </c>
    </row>
    <row r="24" spans="1:3" x14ac:dyDescent="0.35">
      <c r="B24" s="4" t="s">
        <v>528</v>
      </c>
    </row>
  </sheetData>
  <pageMargins left="0.7" right="0.7" top="0.75" bottom="0.75" header="0.3" footer="0.3"/>
  <pageSetup paperSize="9"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7"/>
  <sheetViews>
    <sheetView topLeftCell="A265" zoomScaleNormal="100" workbookViewId="0">
      <selection activeCell="A280" sqref="A280:XFD335"/>
    </sheetView>
  </sheetViews>
  <sheetFormatPr defaultColWidth="8" defaultRowHeight="15.5" x14ac:dyDescent="0.35"/>
  <cols>
    <col min="1" max="1" width="14.33203125" customWidth="1"/>
    <col min="3" max="6" width="7.9140625" customWidth="1"/>
    <col min="7" max="7" width="8.6640625" customWidth="1"/>
    <col min="8" max="8" width="7.9140625" customWidth="1"/>
    <col min="9" max="9" width="7.08203125" customWidth="1"/>
    <col min="10" max="10" width="8.6640625" customWidth="1"/>
    <col min="11" max="11" width="6.33203125" customWidth="1"/>
  </cols>
  <sheetData>
    <row r="1" spans="1:21" x14ac:dyDescent="0.35">
      <c r="A1" s="185" t="s">
        <v>512</v>
      </c>
      <c r="B1" s="186"/>
      <c r="C1" s="186"/>
      <c r="D1" s="186"/>
      <c r="E1" s="186"/>
      <c r="F1" s="186"/>
      <c r="G1" s="186"/>
      <c r="H1" s="186"/>
      <c r="I1" s="186"/>
      <c r="J1" s="186"/>
      <c r="K1" s="186"/>
      <c r="L1" s="186"/>
      <c r="M1" s="186"/>
      <c r="N1" s="186"/>
      <c r="O1" s="186"/>
      <c r="P1" s="186"/>
      <c r="Q1" s="186"/>
      <c r="R1" s="186"/>
      <c r="S1" s="186"/>
      <c r="T1" s="186"/>
      <c r="U1" s="186"/>
    </row>
    <row r="2" spans="1:21" x14ac:dyDescent="0.35">
      <c r="A2" s="185" t="s">
        <v>511</v>
      </c>
      <c r="B2" s="186"/>
      <c r="C2" s="186"/>
      <c r="D2" s="186"/>
      <c r="E2" s="186"/>
      <c r="F2" s="186"/>
      <c r="G2" s="186"/>
      <c r="H2" s="186"/>
      <c r="I2" s="186"/>
      <c r="J2" s="186"/>
      <c r="K2" s="186"/>
      <c r="L2" s="186"/>
      <c r="M2" s="186"/>
      <c r="N2" s="186"/>
      <c r="O2" s="186"/>
      <c r="P2" s="186"/>
      <c r="Q2" s="186"/>
      <c r="R2" s="186"/>
      <c r="S2" s="186"/>
      <c r="T2" s="186"/>
      <c r="U2" s="186"/>
    </row>
    <row r="3" spans="1:21" x14ac:dyDescent="0.35">
      <c r="A3" t="s">
        <v>346</v>
      </c>
    </row>
    <row r="5" spans="1:21" x14ac:dyDescent="0.35">
      <c r="A5" t="s">
        <v>347</v>
      </c>
    </row>
    <row r="7" spans="1:21" x14ac:dyDescent="0.35">
      <c r="A7" t="s">
        <v>348</v>
      </c>
    </row>
    <row r="9" spans="1:21" x14ac:dyDescent="0.35">
      <c r="A9" t="s">
        <v>349</v>
      </c>
    </row>
    <row r="11" spans="1:21" x14ac:dyDescent="0.35">
      <c r="C11" t="s">
        <v>350</v>
      </c>
      <c r="E11" t="s">
        <v>351</v>
      </c>
      <c r="G11" t="s">
        <v>352</v>
      </c>
    </row>
    <row r="12" spans="1:21" x14ac:dyDescent="0.35">
      <c r="C12" t="s">
        <v>353</v>
      </c>
      <c r="E12" t="s">
        <v>354</v>
      </c>
      <c r="G12" t="s">
        <v>355</v>
      </c>
    </row>
    <row r="14" spans="1:21" x14ac:dyDescent="0.35">
      <c r="A14" t="s">
        <v>356</v>
      </c>
      <c r="C14" s="1">
        <v>17.388003000000026</v>
      </c>
      <c r="D14" s="2"/>
      <c r="E14" s="1">
        <v>161.3755388212947</v>
      </c>
      <c r="F14" s="1"/>
      <c r="G14" s="2">
        <f>E14-C14</f>
        <v>143.98753582129467</v>
      </c>
      <c r="H14" s="2"/>
    </row>
    <row r="15" spans="1:21" x14ac:dyDescent="0.35">
      <c r="A15" t="s">
        <v>357</v>
      </c>
      <c r="C15" s="1">
        <v>40.525934999999997</v>
      </c>
      <c r="E15" s="1">
        <v>68.592305389772093</v>
      </c>
      <c r="G15" s="2">
        <f>E15-C15</f>
        <v>28.066370389772096</v>
      </c>
    </row>
    <row r="16" spans="1:21" x14ac:dyDescent="0.35">
      <c r="A16" t="s">
        <v>358</v>
      </c>
      <c r="C16" s="1">
        <f>276.659997-C15</f>
        <v>236.13406199999997</v>
      </c>
      <c r="D16" s="2"/>
      <c r="E16" s="1">
        <f>188.83077636-E15</f>
        <v>120.23847097022789</v>
      </c>
      <c r="F16" s="1"/>
      <c r="G16" s="2">
        <f>E16-C16</f>
        <v>-115.89559102977208</v>
      </c>
      <c r="H16" s="2"/>
    </row>
    <row r="17" spans="1:12" x14ac:dyDescent="0.35">
      <c r="A17" t="s">
        <v>62</v>
      </c>
      <c r="C17" s="1">
        <v>294.048</v>
      </c>
      <c r="D17" s="2"/>
      <c r="E17" s="1">
        <v>350.20631518624646</v>
      </c>
      <c r="F17" s="1"/>
      <c r="G17" s="2">
        <f>G14+G15+G16</f>
        <v>56.158315181294682</v>
      </c>
      <c r="H17" s="2"/>
    </row>
    <row r="19" spans="1:12" x14ac:dyDescent="0.35">
      <c r="A19" t="s">
        <v>359</v>
      </c>
    </row>
    <row r="21" spans="1:12" x14ac:dyDescent="0.35">
      <c r="A21" t="s">
        <v>360</v>
      </c>
    </row>
    <row r="23" spans="1:12" x14ac:dyDescent="0.35">
      <c r="E23" t="s">
        <v>53</v>
      </c>
      <c r="G23" t="s">
        <v>54</v>
      </c>
      <c r="I23" t="s">
        <v>54</v>
      </c>
      <c r="K23" t="s">
        <v>361</v>
      </c>
    </row>
    <row r="24" spans="1:12" x14ac:dyDescent="0.35">
      <c r="E24" t="s">
        <v>52</v>
      </c>
      <c r="G24" t="s">
        <v>52</v>
      </c>
      <c r="I24" t="s">
        <v>362</v>
      </c>
    </row>
    <row r="25" spans="1:12" x14ac:dyDescent="0.35">
      <c r="A25" t="s">
        <v>363</v>
      </c>
      <c r="E25" s="2">
        <v>2002.49</v>
      </c>
      <c r="F25" s="2"/>
      <c r="G25" s="2">
        <f>I25+K25</f>
        <v>350.09609999999998</v>
      </c>
      <c r="H25" s="2"/>
      <c r="I25" s="2">
        <v>251.85</v>
      </c>
      <c r="J25" s="2"/>
      <c r="K25" s="2">
        <f>0.37*K28</f>
        <v>98.246099999999984</v>
      </c>
    </row>
    <row r="26" spans="1:12" x14ac:dyDescent="0.35">
      <c r="A26" t="s">
        <v>364</v>
      </c>
      <c r="E26" s="2">
        <f>E25*E30</f>
        <v>4705.8514999999998</v>
      </c>
      <c r="F26" s="2"/>
      <c r="G26" s="2">
        <f>I26+K26</f>
        <v>906.05552699999987</v>
      </c>
      <c r="H26" s="2"/>
      <c r="I26" s="2">
        <f>I30*I25</f>
        <v>604.43999999999994</v>
      </c>
      <c r="J26" s="2"/>
      <c r="K26" s="2">
        <f>K30*K25</f>
        <v>301.61552699999993</v>
      </c>
    </row>
    <row r="27" spans="1:12" x14ac:dyDescent="0.35">
      <c r="E27" s="2"/>
      <c r="F27" s="2"/>
      <c r="G27" s="2"/>
      <c r="H27" s="2"/>
      <c r="I27" s="2"/>
      <c r="J27" s="2"/>
      <c r="K27" s="2"/>
    </row>
    <row r="28" spans="1:12" x14ac:dyDescent="0.35">
      <c r="A28" t="s">
        <v>365</v>
      </c>
      <c r="E28" s="2">
        <v>8706.48</v>
      </c>
      <c r="F28" s="2"/>
      <c r="G28" s="2">
        <f>I28+K28</f>
        <v>2079.98</v>
      </c>
      <c r="H28" s="2"/>
      <c r="I28" s="2">
        <v>1814.45</v>
      </c>
      <c r="J28" s="2"/>
      <c r="K28" s="2">
        <v>265.52999999999997</v>
      </c>
      <c r="L28" t="s">
        <v>366</v>
      </c>
    </row>
    <row r="30" spans="1:12" x14ac:dyDescent="0.35">
      <c r="A30" t="s">
        <v>367</v>
      </c>
      <c r="E30">
        <v>2.35</v>
      </c>
      <c r="I30" s="1">
        <v>2.4</v>
      </c>
      <c r="K30">
        <v>3.07</v>
      </c>
      <c r="L30" t="s">
        <v>366</v>
      </c>
    </row>
    <row r="32" spans="1:12" x14ac:dyDescent="0.35">
      <c r="A32" t="s">
        <v>368</v>
      </c>
    </row>
    <row r="34" spans="1:13" x14ac:dyDescent="0.35">
      <c r="D34" t="s">
        <v>369</v>
      </c>
      <c r="J34" t="s">
        <v>370</v>
      </c>
    </row>
    <row r="35" spans="1:13" x14ac:dyDescent="0.35">
      <c r="C35" t="s">
        <v>371</v>
      </c>
      <c r="G35" t="s">
        <v>372</v>
      </c>
      <c r="I35" t="s">
        <v>371</v>
      </c>
      <c r="M35" t="s">
        <v>372</v>
      </c>
    </row>
    <row r="36" spans="1:13" x14ac:dyDescent="0.35">
      <c r="C36" t="s">
        <v>373</v>
      </c>
      <c r="D36" t="s">
        <v>301</v>
      </c>
      <c r="E36" t="s">
        <v>302</v>
      </c>
      <c r="F36" t="s">
        <v>62</v>
      </c>
      <c r="G36" t="s">
        <v>374</v>
      </c>
      <c r="I36" t="s">
        <v>373</v>
      </c>
      <c r="J36" t="s">
        <v>301</v>
      </c>
      <c r="K36" t="s">
        <v>302</v>
      </c>
      <c r="L36" t="s">
        <v>62</v>
      </c>
      <c r="M36" t="s">
        <v>374</v>
      </c>
    </row>
    <row r="38" spans="1:13" x14ac:dyDescent="0.35">
      <c r="A38" t="s">
        <v>59</v>
      </c>
      <c r="C38" s="2"/>
      <c r="D38" s="2"/>
      <c r="E38" s="2"/>
      <c r="F38" s="2">
        <v>74.400000000000006</v>
      </c>
      <c r="G38" s="2">
        <v>2421</v>
      </c>
      <c r="H38" s="2"/>
      <c r="I38" s="187">
        <f t="shared" ref="I38:M40" si="0">I46+I54</f>
        <v>0</v>
      </c>
      <c r="J38" s="187">
        <f t="shared" si="0"/>
        <v>0</v>
      </c>
      <c r="K38" s="187">
        <f t="shared" si="0"/>
        <v>0</v>
      </c>
      <c r="L38" s="2">
        <f t="shared" si="0"/>
        <v>204.95</v>
      </c>
      <c r="M38" s="2">
        <f t="shared" si="0"/>
        <v>430.42</v>
      </c>
    </row>
    <row r="39" spans="1:13" x14ac:dyDescent="0.35">
      <c r="A39" t="s">
        <v>375</v>
      </c>
      <c r="C39" s="2"/>
      <c r="D39" s="2"/>
      <c r="E39" s="2"/>
      <c r="F39" s="2">
        <f>F40-F38</f>
        <v>276.20000000000005</v>
      </c>
      <c r="G39" s="2">
        <f>G40-G38</f>
        <v>10620</v>
      </c>
      <c r="H39" s="2"/>
      <c r="I39" s="187">
        <f t="shared" si="0"/>
        <v>0</v>
      </c>
      <c r="J39" s="187">
        <f t="shared" si="0"/>
        <v>0</v>
      </c>
      <c r="K39" s="187">
        <f t="shared" si="0"/>
        <v>0</v>
      </c>
      <c r="L39" s="2">
        <f t="shared" si="0"/>
        <v>1375.45</v>
      </c>
      <c r="M39" s="2">
        <f t="shared" si="0"/>
        <v>2810.34</v>
      </c>
    </row>
    <row r="40" spans="1:13" x14ac:dyDescent="0.35">
      <c r="A40" t="s">
        <v>376</v>
      </c>
      <c r="C40" s="2">
        <f>(F69*K73+G69)/100*F40</f>
        <v>173.52322523736507</v>
      </c>
      <c r="D40" s="2">
        <f>F40-E40-C40</f>
        <v>172.44332705757438</v>
      </c>
      <c r="E40" s="2">
        <f>B69/100*F40</f>
        <v>4.6334477050606022</v>
      </c>
      <c r="F40" s="2">
        <v>350.6</v>
      </c>
      <c r="G40" s="2">
        <v>13041</v>
      </c>
      <c r="H40" s="2"/>
      <c r="I40" s="2">
        <f t="shared" si="0"/>
        <v>153.67011840775754</v>
      </c>
      <c r="J40" s="2">
        <f t="shared" si="0"/>
        <v>750.54816937614703</v>
      </c>
      <c r="K40" s="2">
        <f t="shared" si="0"/>
        <v>676.18171221609543</v>
      </c>
      <c r="L40" s="2">
        <f t="shared" si="0"/>
        <v>1580.4</v>
      </c>
      <c r="M40" s="2">
        <f t="shared" si="0"/>
        <v>3240.76</v>
      </c>
    </row>
    <row r="42" spans="1:13" x14ac:dyDescent="0.35">
      <c r="J42" t="s">
        <v>377</v>
      </c>
    </row>
    <row r="43" spans="1:13" x14ac:dyDescent="0.35">
      <c r="I43" t="s">
        <v>371</v>
      </c>
      <c r="M43" t="s">
        <v>372</v>
      </c>
    </row>
    <row r="44" spans="1:13" x14ac:dyDescent="0.35">
      <c r="I44" t="s">
        <v>373</v>
      </c>
      <c r="J44" t="s">
        <v>301</v>
      </c>
      <c r="K44" t="s">
        <v>302</v>
      </c>
      <c r="L44" t="s">
        <v>62</v>
      </c>
      <c r="M44" t="s">
        <v>374</v>
      </c>
    </row>
    <row r="46" spans="1:13" x14ac:dyDescent="0.35">
      <c r="I46" s="2"/>
      <c r="J46" s="2"/>
      <c r="K46" s="2"/>
      <c r="L46" s="2">
        <v>121.4</v>
      </c>
      <c r="M46" s="2">
        <v>282.31</v>
      </c>
    </row>
    <row r="47" spans="1:13" x14ac:dyDescent="0.35">
      <c r="I47" s="2"/>
      <c r="J47" s="2"/>
      <c r="K47" s="2"/>
      <c r="L47" s="2">
        <f>L48-L46</f>
        <v>891.6</v>
      </c>
      <c r="M47" s="2">
        <f>M48-M46</f>
        <v>2516.09</v>
      </c>
    </row>
    <row r="48" spans="1:13" x14ac:dyDescent="0.35">
      <c r="I48" s="2">
        <f>(F66*K73+G66)/100*L48</f>
        <v>87.851718407757545</v>
      </c>
      <c r="J48" s="2">
        <f>L48-I48-K48</f>
        <v>409.54076937614707</v>
      </c>
      <c r="K48" s="2">
        <f>B66/100*L48</f>
        <v>515.60751221609542</v>
      </c>
      <c r="L48" s="2">
        <v>1013</v>
      </c>
      <c r="M48" s="2">
        <v>2798.4</v>
      </c>
    </row>
    <row r="50" spans="1:13" x14ac:dyDescent="0.35">
      <c r="J50" t="s">
        <v>378</v>
      </c>
    </row>
    <row r="51" spans="1:13" x14ac:dyDescent="0.35">
      <c r="I51" t="s">
        <v>371</v>
      </c>
      <c r="M51" t="s">
        <v>372</v>
      </c>
    </row>
    <row r="52" spans="1:13" x14ac:dyDescent="0.35">
      <c r="I52" t="s">
        <v>373</v>
      </c>
      <c r="J52" t="s">
        <v>301</v>
      </c>
      <c r="K52" t="s">
        <v>302</v>
      </c>
      <c r="L52" t="s">
        <v>62</v>
      </c>
      <c r="M52" t="s">
        <v>374</v>
      </c>
    </row>
    <row r="54" spans="1:13" x14ac:dyDescent="0.35">
      <c r="I54" s="2"/>
      <c r="J54" s="2"/>
      <c r="K54" s="2"/>
      <c r="L54" s="2">
        <v>83.55</v>
      </c>
      <c r="M54" s="2">
        <v>148.11000000000001</v>
      </c>
    </row>
    <row r="55" spans="1:13" x14ac:dyDescent="0.35">
      <c r="I55" s="2"/>
      <c r="J55" s="2"/>
      <c r="K55" s="2"/>
      <c r="L55" s="2">
        <f>L56-L54</f>
        <v>483.84999999999997</v>
      </c>
      <c r="M55" s="2">
        <f>M56-M54</f>
        <v>294.25</v>
      </c>
    </row>
    <row r="56" spans="1:13" x14ac:dyDescent="0.35">
      <c r="I56" s="2">
        <f>(F67*K73+G67)/100*L56</f>
        <v>65.818399999999997</v>
      </c>
      <c r="J56" s="2">
        <f>L56-K56-I56</f>
        <v>341.00739999999996</v>
      </c>
      <c r="K56" s="2">
        <f>B67/100*L56</f>
        <v>160.57420000000002</v>
      </c>
      <c r="L56" s="2">
        <v>567.4</v>
      </c>
      <c r="M56" s="2">
        <v>442.36</v>
      </c>
    </row>
    <row r="57" spans="1:13" x14ac:dyDescent="0.35">
      <c r="A57" t="s">
        <v>42</v>
      </c>
    </row>
    <row r="59" spans="1:13" x14ac:dyDescent="0.35">
      <c r="A59" t="s">
        <v>379</v>
      </c>
    </row>
    <row r="61" spans="1:13" x14ac:dyDescent="0.35">
      <c r="A61" t="s">
        <v>380</v>
      </c>
    </row>
    <row r="62" spans="1:13" x14ac:dyDescent="0.35">
      <c r="H62" t="s">
        <v>381</v>
      </c>
    </row>
    <row r="63" spans="1:13" x14ac:dyDescent="0.35">
      <c r="B63" t="s">
        <v>382</v>
      </c>
      <c r="C63" t="s">
        <v>383</v>
      </c>
      <c r="E63" t="s">
        <v>384</v>
      </c>
      <c r="G63" t="s">
        <v>385</v>
      </c>
      <c r="H63" t="s">
        <v>386</v>
      </c>
    </row>
    <row r="64" spans="1:13" x14ac:dyDescent="0.35">
      <c r="A64" t="s">
        <v>387</v>
      </c>
      <c r="B64" t="s">
        <v>388</v>
      </c>
      <c r="C64" t="s">
        <v>389</v>
      </c>
      <c r="D64" t="s">
        <v>390</v>
      </c>
      <c r="E64" t="s">
        <v>389</v>
      </c>
      <c r="F64" t="s">
        <v>390</v>
      </c>
      <c r="H64" t="s">
        <v>391</v>
      </c>
    </row>
    <row r="66" spans="1:11" x14ac:dyDescent="0.35">
      <c r="A66" t="s">
        <v>392</v>
      </c>
      <c r="B66" s="2">
        <v>50.899063397442788</v>
      </c>
      <c r="C66" s="2">
        <v>18.707195941644247</v>
      </c>
      <c r="D66" s="2">
        <v>13.868882678249717</v>
      </c>
      <c r="E66" s="2">
        <v>7.8152801580126319</v>
      </c>
      <c r="F66" s="2">
        <v>5.2368396303841545</v>
      </c>
      <c r="G66" s="2">
        <v>3.4355906171733532</v>
      </c>
      <c r="H66" s="2">
        <v>3.1763521897506517</v>
      </c>
    </row>
    <row r="67" spans="1:11" x14ac:dyDescent="0.35">
      <c r="A67" t="s">
        <v>393</v>
      </c>
      <c r="B67" s="2">
        <v>28.3</v>
      </c>
      <c r="C67" s="2">
        <v>13.1</v>
      </c>
      <c r="D67" s="2">
        <v>21.3</v>
      </c>
      <c r="E67" s="2">
        <v>25.8</v>
      </c>
      <c r="F67" s="2">
        <v>10.7</v>
      </c>
      <c r="G67" s="2">
        <v>0.9</v>
      </c>
      <c r="H67" s="2">
        <v>4.5</v>
      </c>
    </row>
    <row r="69" spans="1:11" x14ac:dyDescent="0.35">
      <c r="A69" t="s">
        <v>394</v>
      </c>
      <c r="B69" s="2">
        <v>1.3215766414890477</v>
      </c>
      <c r="C69" s="2">
        <v>3.4292493147575436</v>
      </c>
      <c r="D69" s="2">
        <v>20.871008738264372</v>
      </c>
      <c r="E69" s="2">
        <v>24.854635631224976</v>
      </c>
      <c r="F69" s="2">
        <v>25.774646419625476</v>
      </c>
      <c r="G69" s="2">
        <v>23.718572415903626</v>
      </c>
      <c r="H69" s="2">
        <v>10.6432547260566</v>
      </c>
    </row>
    <row r="71" spans="1:11" x14ac:dyDescent="0.35">
      <c r="A71" t="s">
        <v>395</v>
      </c>
    </row>
    <row r="73" spans="1:11" x14ac:dyDescent="0.35">
      <c r="A73" s="4" t="s">
        <v>489</v>
      </c>
      <c r="K73">
        <v>1</v>
      </c>
    </row>
    <row r="75" spans="1:11" x14ac:dyDescent="0.35">
      <c r="A75" t="s">
        <v>397</v>
      </c>
      <c r="F75" t="s">
        <v>398</v>
      </c>
      <c r="I75" t="s">
        <v>399</v>
      </c>
    </row>
    <row r="76" spans="1:11" x14ac:dyDescent="0.35">
      <c r="A76" t="s">
        <v>400</v>
      </c>
      <c r="F76" t="s">
        <v>401</v>
      </c>
      <c r="I76" t="s">
        <v>402</v>
      </c>
    </row>
    <row r="78" spans="1:11" x14ac:dyDescent="0.35">
      <c r="A78" t="s">
        <v>403</v>
      </c>
      <c r="G78">
        <v>76.91</v>
      </c>
      <c r="J78">
        <v>61.83</v>
      </c>
    </row>
    <row r="79" spans="1:11" x14ac:dyDescent="0.35">
      <c r="A79" t="s">
        <v>404</v>
      </c>
      <c r="G79">
        <v>12.66</v>
      </c>
      <c r="J79">
        <v>14.73</v>
      </c>
    </row>
    <row r="80" spans="1:11" x14ac:dyDescent="0.35">
      <c r="A80" t="s">
        <v>405</v>
      </c>
      <c r="G80">
        <f>100-G79-G78</f>
        <v>10.430000000000007</v>
      </c>
      <c r="J80">
        <v>23.44</v>
      </c>
    </row>
    <row r="81" spans="1:16" x14ac:dyDescent="0.35">
      <c r="G81">
        <f>G78+G79+G80</f>
        <v>100</v>
      </c>
      <c r="J81">
        <f>J78+J79+J80</f>
        <v>100</v>
      </c>
    </row>
    <row r="83" spans="1:16" x14ac:dyDescent="0.35">
      <c r="A83" t="s">
        <v>406</v>
      </c>
    </row>
    <row r="86" spans="1:16" x14ac:dyDescent="0.35">
      <c r="A86" t="s">
        <v>407</v>
      </c>
      <c r="G86" s="1">
        <v>9.41</v>
      </c>
      <c r="H86" s="1"/>
      <c r="I86" s="1"/>
      <c r="J86" s="200">
        <v>1.24</v>
      </c>
      <c r="K86" s="3" t="s">
        <v>503</v>
      </c>
      <c r="L86" s="3"/>
      <c r="M86" s="3"/>
      <c r="N86" s="3"/>
      <c r="O86" s="3"/>
      <c r="P86" s="3"/>
    </row>
    <row r="87" spans="1:16" x14ac:dyDescent="0.35">
      <c r="A87" t="s">
        <v>408</v>
      </c>
      <c r="G87" s="1">
        <v>0.31280000000000002</v>
      </c>
      <c r="H87" s="1"/>
      <c r="I87" s="1"/>
      <c r="J87" s="1">
        <v>0.16120000000000001</v>
      </c>
    </row>
    <row r="88" spans="1:16" x14ac:dyDescent="0.35">
      <c r="A88" t="s">
        <v>409</v>
      </c>
      <c r="G88" s="1">
        <v>1.58</v>
      </c>
      <c r="H88" s="1"/>
      <c r="I88" s="1"/>
      <c r="J88" s="1">
        <v>1.7</v>
      </c>
    </row>
    <row r="89" spans="1:16" x14ac:dyDescent="0.35">
      <c r="A89" t="s">
        <v>410</v>
      </c>
      <c r="G89" s="1">
        <f>(1-G87)*G86+G87*G86*G88</f>
        <v>11.117199840000001</v>
      </c>
      <c r="H89" s="1"/>
      <c r="I89" s="1"/>
      <c r="J89" s="1">
        <f>(1-J87)*J86+J87*J86*J88</f>
        <v>1.3799215999999999</v>
      </c>
    </row>
    <row r="91" spans="1:16" x14ac:dyDescent="0.35">
      <c r="A91" t="s">
        <v>411</v>
      </c>
      <c r="G91" s="1">
        <v>0.50236000000000003</v>
      </c>
      <c r="H91" s="1"/>
      <c r="I91" s="1"/>
      <c r="J91" s="1">
        <v>0.13247999999999999</v>
      </c>
    </row>
    <row r="92" spans="1:16" x14ac:dyDescent="0.35">
      <c r="A92" t="s">
        <v>412</v>
      </c>
      <c r="G92" s="1">
        <v>2.0784458816</v>
      </c>
      <c r="H92" s="1"/>
      <c r="I92" s="1"/>
      <c r="J92" s="1">
        <v>3.1451103813999999</v>
      </c>
    </row>
    <row r="93" spans="1:16" x14ac:dyDescent="0.35">
      <c r="A93" t="s">
        <v>413</v>
      </c>
      <c r="G93" s="1">
        <f>G95*G89/G91</f>
        <v>14.987013044188641</v>
      </c>
      <c r="J93" s="1">
        <f>J95*J89/J91</f>
        <v>3.3795818939678934</v>
      </c>
    </row>
    <row r="94" spans="1:16" x14ac:dyDescent="0.35">
      <c r="A94" t="s">
        <v>414</v>
      </c>
      <c r="G94" s="1">
        <f>G93/G92</f>
        <v>7.2106823549581911</v>
      </c>
      <c r="J94" s="1">
        <f>J93/J92</f>
        <v>1.0745511235327525</v>
      </c>
    </row>
    <row r="95" spans="1:16" x14ac:dyDescent="0.35">
      <c r="A95" t="s">
        <v>415</v>
      </c>
      <c r="G95" s="1">
        <f>(G91*G92)/(G91*G92+(1-G91))</f>
        <v>0.67722771752195154</v>
      </c>
      <c r="J95" s="1">
        <f>(J91*J92)/(J91*J92+(1-J91))</f>
        <v>0.32445829481389848</v>
      </c>
    </row>
    <row r="97" spans="1:11" x14ac:dyDescent="0.35">
      <c r="A97" t="s">
        <v>416</v>
      </c>
    </row>
    <row r="99" spans="1:11" x14ac:dyDescent="0.35">
      <c r="A99" t="s">
        <v>417</v>
      </c>
      <c r="G99">
        <f>G262</f>
        <v>1900</v>
      </c>
      <c r="J99">
        <f>K262</f>
        <v>2400</v>
      </c>
      <c r="K99" t="s">
        <v>366</v>
      </c>
    </row>
    <row r="101" spans="1:11" x14ac:dyDescent="0.35">
      <c r="A101" t="s">
        <v>418</v>
      </c>
      <c r="G101" s="54">
        <f ca="1">G122/G140*G99</f>
        <v>27464.152510726821</v>
      </c>
      <c r="H101" s="54"/>
      <c r="I101" s="54"/>
      <c r="J101" s="54">
        <f ca="1">J122/J140*J99</f>
        <v>5356.3186802523041</v>
      </c>
    </row>
    <row r="102" spans="1:11" x14ac:dyDescent="0.35">
      <c r="A102" t="s">
        <v>419</v>
      </c>
      <c r="G102" s="54">
        <f>E25*1000/F38</f>
        <v>26915.18817204301</v>
      </c>
      <c r="H102" s="54"/>
      <c r="I102" s="54"/>
      <c r="J102" s="54">
        <f>G25*1000/L38</f>
        <v>1708.2024884118077</v>
      </c>
    </row>
    <row r="104" spans="1:11" x14ac:dyDescent="0.35">
      <c r="A104" t="s">
        <v>420</v>
      </c>
    </row>
    <row r="106" spans="1:11" x14ac:dyDescent="0.35">
      <c r="A106" t="s">
        <v>418</v>
      </c>
      <c r="G106" s="2">
        <f ca="1">(G145/10)/(G140/G99)</f>
        <v>26.533359057434403</v>
      </c>
      <c r="H106" s="2"/>
      <c r="I106" s="2"/>
      <c r="J106" s="2">
        <f ca="1">(J145/10)/(J140/J99)</f>
        <v>6.167441448724901</v>
      </c>
    </row>
    <row r="107" spans="1:11" x14ac:dyDescent="0.35">
      <c r="A107" t="s">
        <v>419</v>
      </c>
      <c r="G107" s="2">
        <f>G38/F38</f>
        <v>32.54032258064516</v>
      </c>
      <c r="H107" s="2"/>
      <c r="I107" s="2"/>
      <c r="J107" s="2">
        <f>M38/L38</f>
        <v>2.1001219809709686</v>
      </c>
    </row>
    <row r="108" spans="1:11" x14ac:dyDescent="0.35">
      <c r="A108" t="s">
        <v>42</v>
      </c>
    </row>
    <row r="109" spans="1:11" x14ac:dyDescent="0.35">
      <c r="A109" t="s">
        <v>45</v>
      </c>
    </row>
    <row r="111" spans="1:11" x14ac:dyDescent="0.35">
      <c r="A111" t="s">
        <v>47</v>
      </c>
    </row>
    <row r="113" spans="1:11" x14ac:dyDescent="0.35">
      <c r="A113" t="s">
        <v>421</v>
      </c>
    </row>
    <row r="115" spans="1:11" x14ac:dyDescent="0.35">
      <c r="F115" t="s">
        <v>398</v>
      </c>
      <c r="I115" t="s">
        <v>399</v>
      </c>
    </row>
    <row r="116" spans="1:11" x14ac:dyDescent="0.35">
      <c r="F116" t="s">
        <v>401</v>
      </c>
      <c r="I116" t="s">
        <v>402</v>
      </c>
    </row>
    <row r="117" spans="1:11" x14ac:dyDescent="0.35">
      <c r="A117" t="s">
        <v>38</v>
      </c>
    </row>
    <row r="118" spans="1:11" x14ac:dyDescent="0.35">
      <c r="A118" t="s">
        <v>422</v>
      </c>
      <c r="G118" s="1">
        <f>56.4+124.6</f>
        <v>181</v>
      </c>
      <c r="H118" s="1"/>
      <c r="I118" s="1"/>
      <c r="J118" s="1">
        <f>41.6+238.3</f>
        <v>279.90000000000003</v>
      </c>
    </row>
    <row r="119" spans="1:11" x14ac:dyDescent="0.35">
      <c r="A119" t="s">
        <v>423</v>
      </c>
      <c r="G119" s="1"/>
      <c r="H119" s="1"/>
      <c r="I119" s="1"/>
      <c r="J119" s="1">
        <v>196.3</v>
      </c>
    </row>
    <row r="120" spans="1:11" x14ac:dyDescent="0.35">
      <c r="A120" t="s">
        <v>39</v>
      </c>
      <c r="G120" s="1"/>
      <c r="H120" s="1"/>
      <c r="I120" s="1"/>
      <c r="J120" s="1"/>
    </row>
    <row r="121" spans="1:11" x14ac:dyDescent="0.35">
      <c r="A121" t="s">
        <v>424</v>
      </c>
      <c r="F121" s="138"/>
      <c r="G121" s="1">
        <v>216.1</v>
      </c>
      <c r="H121" s="1"/>
      <c r="I121" s="1"/>
      <c r="J121" s="1">
        <v>153.6</v>
      </c>
    </row>
    <row r="122" spans="1:11" x14ac:dyDescent="0.35">
      <c r="A122" t="s">
        <v>33</v>
      </c>
      <c r="F122" s="138"/>
      <c r="G122" s="1">
        <f ca="1">G126-G121-G118</f>
        <v>602.90000000001362</v>
      </c>
      <c r="H122" s="1"/>
      <c r="I122" s="1"/>
      <c r="J122" s="1">
        <f ca="1">J126-J121-J119-J118</f>
        <v>370.20000000000215</v>
      </c>
    </row>
    <row r="123" spans="1:11" x14ac:dyDescent="0.35">
      <c r="A123" t="s">
        <v>425</v>
      </c>
      <c r="F123" s="138"/>
      <c r="G123" s="1">
        <f ca="1">G78/100*G122*G95</f>
        <v>314.02398445657064</v>
      </c>
      <c r="H123" s="1"/>
      <c r="I123" s="1"/>
      <c r="J123" s="1">
        <f ca="1">J78/100*J122*J95</f>
        <v>74.26677107560748</v>
      </c>
    </row>
    <row r="124" spans="1:11" x14ac:dyDescent="0.35">
      <c r="A124" t="s">
        <v>426</v>
      </c>
      <c r="F124" s="138"/>
      <c r="G124" s="1">
        <f ca="1">G78/100*G122*(1-G95)</f>
        <v>149.66640554343985</v>
      </c>
      <c r="H124" s="1"/>
      <c r="I124" s="1"/>
      <c r="J124" s="1">
        <f ca="1">J78/100*J122*(1-J95)</f>
        <v>154.62788892439383</v>
      </c>
    </row>
    <row r="125" spans="1:11" x14ac:dyDescent="0.35">
      <c r="A125" t="s">
        <v>22</v>
      </c>
      <c r="F125" s="138"/>
      <c r="G125" s="1">
        <f ca="1">G122-G123-G124</f>
        <v>139.20961000000312</v>
      </c>
      <c r="H125" s="1"/>
      <c r="I125" s="1"/>
      <c r="J125" s="1">
        <f ca="1">J122-J123-J124</f>
        <v>141.30534000000083</v>
      </c>
      <c r="K125" s="2"/>
    </row>
    <row r="126" spans="1:11" x14ac:dyDescent="0.35">
      <c r="A126" t="s">
        <v>40</v>
      </c>
      <c r="G126" s="1">
        <f ca="1">G118+G119+G121+G122</f>
        <v>1000.0000000000136</v>
      </c>
      <c r="H126" s="1"/>
      <c r="I126" s="1"/>
      <c r="J126" s="1">
        <f ca="1">J118+J119+J121+J122</f>
        <v>1000.0000000000023</v>
      </c>
    </row>
    <row r="127" spans="1:11" x14ac:dyDescent="0.35">
      <c r="G127" s="1"/>
      <c r="H127" s="1"/>
      <c r="I127" s="1"/>
      <c r="J127" s="1"/>
    </row>
    <row r="128" spans="1:11" x14ac:dyDescent="0.35">
      <c r="G128" s="1"/>
      <c r="H128" s="1"/>
      <c r="I128" s="1"/>
      <c r="J128" s="1"/>
    </row>
    <row r="129" spans="1:11" x14ac:dyDescent="0.35">
      <c r="A129" t="s">
        <v>46</v>
      </c>
      <c r="G129" s="1"/>
      <c r="H129" s="1"/>
      <c r="I129" s="1"/>
      <c r="J129" s="1"/>
    </row>
    <row r="130" spans="1:11" x14ac:dyDescent="0.35">
      <c r="A130" t="s">
        <v>427</v>
      </c>
      <c r="G130" s="1">
        <f>G93</f>
        <v>14.987013044188641</v>
      </c>
      <c r="H130" s="1"/>
      <c r="I130" s="1"/>
      <c r="J130" s="1">
        <f>J93</f>
        <v>3.3795818939678934</v>
      </c>
    </row>
    <row r="131" spans="1:11" x14ac:dyDescent="0.35">
      <c r="A131" t="s">
        <v>428</v>
      </c>
      <c r="G131" s="1">
        <v>100</v>
      </c>
      <c r="H131" s="1"/>
      <c r="I131" s="1"/>
      <c r="J131" s="1">
        <v>50</v>
      </c>
    </row>
    <row r="132" spans="1:11" x14ac:dyDescent="0.35">
      <c r="A132" t="s">
        <v>26</v>
      </c>
      <c r="G132" s="1">
        <f>G130/G131*100</f>
        <v>14.987013044188641</v>
      </c>
      <c r="H132" s="1"/>
      <c r="I132" s="1"/>
      <c r="J132" s="1">
        <f>J130/J131*100</f>
        <v>6.7591637879357878</v>
      </c>
    </row>
    <row r="133" spans="1:11" x14ac:dyDescent="0.35">
      <c r="A133" t="s">
        <v>429</v>
      </c>
      <c r="G133" s="1">
        <f>G94</f>
        <v>7.2106823549581911</v>
      </c>
      <c r="H133" s="1"/>
      <c r="I133" s="1"/>
      <c r="J133" s="1">
        <f>J94</f>
        <v>1.0745511235327525</v>
      </c>
    </row>
    <row r="134" spans="1:11" x14ac:dyDescent="0.35">
      <c r="A134" t="s">
        <v>20</v>
      </c>
      <c r="G134" s="1">
        <v>100</v>
      </c>
      <c r="H134" s="1"/>
      <c r="I134" s="1"/>
      <c r="J134" s="1">
        <v>60.1</v>
      </c>
    </row>
    <row r="135" spans="1:11" x14ac:dyDescent="0.35">
      <c r="A135" t="s">
        <v>23</v>
      </c>
      <c r="G135" s="1">
        <v>23.9</v>
      </c>
      <c r="H135" s="1"/>
      <c r="I135" s="1"/>
      <c r="J135" s="1">
        <v>33.15</v>
      </c>
    </row>
    <row r="136" spans="1:11" x14ac:dyDescent="0.35">
      <c r="A136" t="s">
        <v>25</v>
      </c>
      <c r="G136" s="1">
        <f>G134*G135/100</f>
        <v>23.9</v>
      </c>
      <c r="H136" s="1"/>
      <c r="I136" s="1"/>
      <c r="J136" s="1">
        <f>J134*J135/100</f>
        <v>19.92315</v>
      </c>
    </row>
    <row r="137" spans="1:11" x14ac:dyDescent="0.35">
      <c r="G137" s="1"/>
      <c r="H137" s="1"/>
      <c r="I137" s="1"/>
      <c r="J137" s="1"/>
    </row>
    <row r="138" spans="1:11" x14ac:dyDescent="0.35">
      <c r="A138" t="s">
        <v>430</v>
      </c>
      <c r="G138" s="1"/>
      <c r="H138" s="1"/>
      <c r="I138" s="1"/>
      <c r="J138" s="1"/>
    </row>
    <row r="139" spans="1:11" x14ac:dyDescent="0.35">
      <c r="A139" t="s">
        <v>431</v>
      </c>
      <c r="G139" s="1"/>
      <c r="H139" s="1"/>
      <c r="I139" s="1"/>
      <c r="J139" s="1"/>
    </row>
    <row r="140" spans="1:11" x14ac:dyDescent="0.35">
      <c r="A140" t="s">
        <v>24</v>
      </c>
      <c r="G140" s="1">
        <f ca="1">G141+G142</f>
        <v>41.709279015713953</v>
      </c>
      <c r="H140" s="1"/>
      <c r="I140" s="1"/>
      <c r="J140" s="1">
        <f ca="1">J141+J142</f>
        <v>165.87511928213991</v>
      </c>
    </row>
    <row r="141" spans="1:11" x14ac:dyDescent="0.35">
      <c r="A141" t="s">
        <v>432</v>
      </c>
      <c r="G141" s="1">
        <f ca="1">G123/G130</f>
        <v>20.953073406334056</v>
      </c>
      <c r="H141" s="1"/>
      <c r="I141" s="1"/>
      <c r="J141" s="1">
        <f ca="1">J123/J130</f>
        <v>21.975135802497888</v>
      </c>
      <c r="K141" s="188"/>
    </row>
    <row r="142" spans="1:11" x14ac:dyDescent="0.35">
      <c r="A142" t="s">
        <v>433</v>
      </c>
      <c r="G142" s="1">
        <f ca="1">G124/G133</f>
        <v>20.756205609379897</v>
      </c>
      <c r="H142" s="1"/>
      <c r="I142" s="1"/>
      <c r="J142" s="1">
        <f ca="1">J124/J133</f>
        <v>143.899983479642</v>
      </c>
    </row>
    <row r="143" spans="1:11" x14ac:dyDescent="0.35">
      <c r="A143" t="s">
        <v>27</v>
      </c>
      <c r="G143" s="1">
        <f ca="1">(G123/G132)</f>
        <v>20.953073406334056</v>
      </c>
      <c r="H143" s="1"/>
      <c r="I143" s="1"/>
      <c r="J143" s="1">
        <f ca="1">J123/J132</f>
        <v>10.987567901248942</v>
      </c>
    </row>
    <row r="144" spans="1:11" x14ac:dyDescent="0.35">
      <c r="A144" t="s">
        <v>19</v>
      </c>
      <c r="G144" s="1">
        <f ca="1">G125/(G134*G135/100)</f>
        <v>5.8246698744771184</v>
      </c>
      <c r="H144" s="1"/>
      <c r="I144" s="1"/>
      <c r="J144" s="1">
        <f ca="1">J125/(J134*J135/100)</f>
        <v>7.0925200081312862</v>
      </c>
    </row>
    <row r="145" spans="1:12" x14ac:dyDescent="0.35">
      <c r="A145" t="s">
        <v>434</v>
      </c>
      <c r="G145" s="1">
        <f ca="1">G125/G135</f>
        <v>5.8246698744771184</v>
      </c>
      <c r="H145" s="1"/>
      <c r="I145" s="1"/>
      <c r="J145" s="1">
        <f ca="1">J125/J135</f>
        <v>4.2626045248869033</v>
      </c>
      <c r="K145" t="s">
        <v>366</v>
      </c>
    </row>
    <row r="147" spans="1:12" x14ac:dyDescent="0.35">
      <c r="A147" t="s">
        <v>435</v>
      </c>
    </row>
    <row r="148" spans="1:12" x14ac:dyDescent="0.35">
      <c r="A148" t="s">
        <v>11</v>
      </c>
    </row>
    <row r="149" spans="1:12" x14ac:dyDescent="0.35">
      <c r="A149" t="s">
        <v>4</v>
      </c>
      <c r="G149">
        <v>0.1</v>
      </c>
      <c r="J149">
        <v>0.1</v>
      </c>
    </row>
    <row r="150" spans="1:12" x14ac:dyDescent="0.35">
      <c r="A150" s="7" t="s">
        <v>436</v>
      </c>
      <c r="B150" s="7"/>
      <c r="C150" s="7"/>
      <c r="D150" s="7"/>
      <c r="E150" s="7"/>
      <c r="F150" s="7"/>
      <c r="G150" s="7">
        <v>0.5</v>
      </c>
      <c r="H150" s="7"/>
      <c r="I150" s="7"/>
      <c r="J150" s="7">
        <v>0.5</v>
      </c>
      <c r="K150" s="7"/>
      <c r="L150" s="7"/>
    </row>
    <row r="152" spans="1:12" x14ac:dyDescent="0.35">
      <c r="A152" t="s">
        <v>16</v>
      </c>
    </row>
    <row r="153" spans="1:12" x14ac:dyDescent="0.35">
      <c r="A153" t="s">
        <v>5</v>
      </c>
      <c r="G153" s="2">
        <f>(1/G149)-1</f>
        <v>9</v>
      </c>
      <c r="H153" s="2"/>
      <c r="I153" s="2"/>
      <c r="J153" s="2">
        <f>(1/J149)-1</f>
        <v>9</v>
      </c>
    </row>
    <row r="154" spans="1:12" x14ac:dyDescent="0.35">
      <c r="A154" t="s">
        <v>7</v>
      </c>
      <c r="G154" s="2">
        <f>(1/G150)-1</f>
        <v>1</v>
      </c>
      <c r="H154" s="2"/>
      <c r="I154" s="2"/>
      <c r="J154" s="2">
        <f>(1/J150)-1</f>
        <v>1</v>
      </c>
    </row>
    <row r="155" spans="1:12" x14ac:dyDescent="0.35">
      <c r="G155" s="188"/>
      <c r="H155" s="188"/>
      <c r="I155" s="188"/>
      <c r="J155" s="188"/>
    </row>
    <row r="156" spans="1:12" x14ac:dyDescent="0.35">
      <c r="A156" t="s">
        <v>9</v>
      </c>
      <c r="G156" s="188"/>
      <c r="H156" s="188"/>
      <c r="I156" s="188"/>
      <c r="J156" s="188"/>
    </row>
    <row r="157" spans="1:12" x14ac:dyDescent="0.35">
      <c r="A157" t="s">
        <v>6</v>
      </c>
      <c r="G157" s="189">
        <f ca="1">((G125/G123*(G144/G143)^G153))/(1+((G125/G123*(G144/G143)^G153)))</f>
        <v>4.3945733791587216E-6</v>
      </c>
      <c r="H157" s="189"/>
      <c r="I157" s="189"/>
      <c r="J157" s="189">
        <f ca="1">((J125/J123*(J144/J143)^J153))/(1+((J125/J123*(J144/J143)^J153)))</f>
        <v>3.5699917695617152E-2</v>
      </c>
    </row>
    <row r="158" spans="1:12" x14ac:dyDescent="0.35">
      <c r="A158" t="s">
        <v>437</v>
      </c>
      <c r="G158" s="188">
        <f ca="1">(G124/(G123+G125)*(G142/(G143+G144))^G154)/(1+(G124/(G123+G125)*(G142/(G143+G144))^G154))</f>
        <v>0.2037978402728417</v>
      </c>
      <c r="H158" s="188"/>
      <c r="I158" s="188"/>
      <c r="J158" s="188">
        <f ca="1">(J124/(J123+J125)*(J142/(J143+J144))^J154)/(1+(J124/(J123+J125)*(J142/(J143+J144))^J154))</f>
        <v>0.8509451507891832</v>
      </c>
    </row>
    <row r="159" spans="1:12" x14ac:dyDescent="0.35">
      <c r="G159" s="188"/>
      <c r="H159" s="188"/>
      <c r="I159" s="188"/>
      <c r="J159" s="188"/>
    </row>
    <row r="160" spans="1:12" x14ac:dyDescent="0.35">
      <c r="A160" t="s">
        <v>10</v>
      </c>
      <c r="G160" s="188"/>
      <c r="H160" s="188"/>
      <c r="I160" s="188"/>
      <c r="J160" s="188"/>
      <c r="L160" s="188"/>
    </row>
    <row r="161" spans="1:16" x14ac:dyDescent="0.35">
      <c r="A161" t="s">
        <v>5</v>
      </c>
      <c r="G161" s="188">
        <f ca="1">(G143+G144)/(((G157*(G144^(-1*G153)))+((1-G157)*(G143^(-1*G153))))^(-1/G153))</f>
        <v>1.3311672152260985</v>
      </c>
      <c r="H161" s="188"/>
      <c r="I161" s="188"/>
      <c r="J161" s="188">
        <f ca="1">(J143+J144)/(((J157*(J144^(-1*J153)))+((1-J157)*(J143^(-1*J153))))^(-1/J153))</f>
        <v>1.8448742527763269</v>
      </c>
      <c r="L161" s="188"/>
    </row>
    <row r="162" spans="1:16" x14ac:dyDescent="0.35">
      <c r="A162" t="s">
        <v>8</v>
      </c>
      <c r="G162" s="188">
        <f ca="1">1/(((G158*(G142^(-1*G154)))+((1-G158)*((G143+G144)^(-1*G154))))^(-1/G154))</f>
        <v>3.9552375162524883E-2</v>
      </c>
      <c r="H162" s="188"/>
      <c r="I162" s="188"/>
      <c r="J162" s="188">
        <f ca="1">1/(((J158*(J142^(-1*J154)))+((1-J158)*((J143+J144)^(-1*J154))))^(-1/J154))</f>
        <v>1.4157592617569404E-2</v>
      </c>
      <c r="L162" s="188"/>
    </row>
    <row r="163" spans="1:16" x14ac:dyDescent="0.35">
      <c r="A163" t="s">
        <v>42</v>
      </c>
    </row>
    <row r="164" spans="1:16" x14ac:dyDescent="0.35">
      <c r="A164" t="s">
        <v>55</v>
      </c>
    </row>
    <row r="165" spans="1:16" x14ac:dyDescent="0.35">
      <c r="F165" t="s">
        <v>399</v>
      </c>
      <c r="I165" t="s">
        <v>398</v>
      </c>
    </row>
    <row r="166" spans="1:16" x14ac:dyDescent="0.35">
      <c r="F166" t="s">
        <v>401</v>
      </c>
      <c r="I166" t="s">
        <v>402</v>
      </c>
    </row>
    <row r="167" spans="1:16" x14ac:dyDescent="0.35">
      <c r="A167" t="s">
        <v>17</v>
      </c>
      <c r="G167" s="2">
        <f ca="1">(1/J161)*(((G136/(J157^(-1/J153)))^(J153/(J153+1))+((G132/((1-J157)^(-1/J153)))^(J153/(J153+1))))^((J153+1)/J153))</f>
        <v>18.398218866923617</v>
      </c>
      <c r="H167" s="2"/>
      <c r="I167" s="2"/>
      <c r="J167" s="2">
        <f ca="1">(1/G161)*((((J136/(G157^(-1/G153)))^(G153/(G153+1)))+((J132/((1-G157)^(-1/G153)))^(G153/(G153+1))))^((G153+1)/G153))</f>
        <v>9.5794493502190434</v>
      </c>
    </row>
    <row r="168" spans="1:16" x14ac:dyDescent="0.35">
      <c r="A168" t="s">
        <v>438</v>
      </c>
      <c r="G168" s="2">
        <f ca="1">(1/J162)*((((G133/(J158^(-1/J154)))^(J154/(J154+1)))+((G167/((1-J158)^(-1/J154)))^(J154/(J154+1))))^((J154+1)/J154))</f>
        <v>1206.5836169380298</v>
      </c>
      <c r="H168" s="2"/>
      <c r="I168" s="2"/>
      <c r="J168" s="2">
        <f ca="1">(1/G162)*((((J133/(G158^(-1/G154)))^(G154/(G154+1)))+((J167/((1-G158)^(-1/G154)))^(G154/(G154+1))))^((G154+1)/G154))</f>
        <v>263.72523702309383</v>
      </c>
    </row>
    <row r="169" spans="1:16" x14ac:dyDescent="0.35">
      <c r="G169" s="190"/>
      <c r="H169" s="190"/>
      <c r="I169" s="190"/>
      <c r="J169" s="190"/>
    </row>
    <row r="170" spans="1:16" x14ac:dyDescent="0.35">
      <c r="A170" s="191" t="s">
        <v>439</v>
      </c>
      <c r="B170" s="191"/>
      <c r="C170" s="191"/>
      <c r="D170" s="191"/>
      <c r="E170" s="191"/>
      <c r="F170" s="191"/>
      <c r="G170" s="192">
        <f ca="1">((1+$J$211)*$J$118+(1-$J$212)*$J$119+$J$121+$G$168)/1000</f>
        <v>1.8425700169380297</v>
      </c>
      <c r="H170" s="192"/>
      <c r="I170" s="192"/>
      <c r="J170" s="193">
        <f ca="1">((1+J211)*G118+G121+J168)/1000</f>
        <v>0.67421923702309394</v>
      </c>
      <c r="K170" s="191"/>
      <c r="L170" s="15"/>
      <c r="M170" s="7"/>
      <c r="N170" s="7"/>
      <c r="O170" s="7"/>
      <c r="P170" s="7"/>
    </row>
    <row r="171" spans="1:16" x14ac:dyDescent="0.35">
      <c r="L171" s="15"/>
      <c r="M171" s="7"/>
      <c r="N171" s="7"/>
      <c r="O171" s="7"/>
      <c r="P171" s="7"/>
    </row>
    <row r="172" spans="1:16" x14ac:dyDescent="0.35">
      <c r="A172" t="s">
        <v>51</v>
      </c>
      <c r="L172" s="15"/>
      <c r="M172" s="7"/>
      <c r="N172" s="7"/>
      <c r="O172" s="7"/>
      <c r="P172" s="7"/>
    </row>
    <row r="173" spans="1:16" x14ac:dyDescent="0.35">
      <c r="G173" t="s">
        <v>41</v>
      </c>
      <c r="J173" t="s">
        <v>41</v>
      </c>
      <c r="L173" s="15"/>
      <c r="M173" s="7"/>
      <c r="N173" s="7"/>
      <c r="O173" s="7"/>
      <c r="P173" s="7"/>
    </row>
    <row r="174" spans="1:16" x14ac:dyDescent="0.35">
      <c r="A174" t="s">
        <v>38</v>
      </c>
      <c r="L174" s="15"/>
      <c r="M174" s="7"/>
      <c r="N174" s="7"/>
      <c r="O174" s="7"/>
      <c r="P174" s="7"/>
    </row>
    <row r="175" spans="1:16" x14ac:dyDescent="0.35">
      <c r="A175" t="s">
        <v>440</v>
      </c>
      <c r="F175" s="1">
        <f>(1+$J$211)*$J$118</f>
        <v>300.61260000000004</v>
      </c>
      <c r="G175" s="1">
        <f ca="1">(1+$J$211)*$J$118/(G170*1000)*100</f>
        <v>16.314853559787977</v>
      </c>
      <c r="H175" s="1"/>
      <c r="I175" s="193">
        <f>(1+$J$211)*$G$118</f>
        <v>194.39400000000001</v>
      </c>
      <c r="J175" s="193">
        <f ca="1">(1+$J$211)*$G$118/(J170*1000)*100</f>
        <v>28.832461212218639</v>
      </c>
      <c r="L175" s="15"/>
      <c r="M175" s="7"/>
      <c r="N175" s="7"/>
      <c r="O175" s="7"/>
      <c r="P175" s="7"/>
    </row>
    <row r="176" spans="1:16" x14ac:dyDescent="0.35">
      <c r="A176" t="s">
        <v>441</v>
      </c>
      <c r="F176" s="1">
        <f>((1-$J$212)*$J$119)</f>
        <v>181.77380000000002</v>
      </c>
      <c r="G176" s="1">
        <f ca="1">((1-$J$212)*$J$119)/(G170*1000)*100</f>
        <v>9.8652316237116722</v>
      </c>
      <c r="H176" s="1"/>
      <c r="I176" s="1">
        <f>((1-$J$212)*$G$119)</f>
        <v>0</v>
      </c>
      <c r="J176" s="1">
        <f ca="1">((1-$J$212)*$G$119)/(J170*1000)*100</f>
        <v>0</v>
      </c>
      <c r="L176" s="15"/>
      <c r="M176" s="7"/>
      <c r="N176" s="7"/>
      <c r="O176" s="7"/>
      <c r="P176" s="7"/>
    </row>
    <row r="177" spans="1:11" x14ac:dyDescent="0.35">
      <c r="A177" t="s">
        <v>39</v>
      </c>
      <c r="F177" s="1"/>
      <c r="G177" s="1"/>
      <c r="H177" s="1"/>
      <c r="I177" s="1"/>
      <c r="J177" s="1"/>
    </row>
    <row r="178" spans="1:11" x14ac:dyDescent="0.35">
      <c r="A178" t="s">
        <v>442</v>
      </c>
      <c r="F178" s="192">
        <f>$J$121</f>
        <v>153.6</v>
      </c>
      <c r="G178" s="192">
        <f ca="1">$J$121/(G170*1000)*100</f>
        <v>8.3361825378691137</v>
      </c>
      <c r="H178" s="192"/>
      <c r="I178" s="192">
        <f>$G$121</f>
        <v>216.1</v>
      </c>
      <c r="J178" s="192">
        <f ca="1">$G$121/(J170*1000)*100</f>
        <v>32.051888782372131</v>
      </c>
      <c r="K178" s="191"/>
    </row>
    <row r="179" spans="1:11" x14ac:dyDescent="0.35">
      <c r="A179" t="s">
        <v>33</v>
      </c>
      <c r="F179" s="1">
        <f ca="1">G168</f>
        <v>1206.5836169380298</v>
      </c>
      <c r="G179" s="1">
        <f ca="1">G168/(G170*1000)*100</f>
        <v>65.483732278631251</v>
      </c>
      <c r="H179" s="14"/>
      <c r="I179" s="14">
        <f ca="1">J168</f>
        <v>263.72523702309383</v>
      </c>
      <c r="J179" s="14">
        <f ca="1">J168/(J170*1000)*100</f>
        <v>39.115650005409222</v>
      </c>
      <c r="K179" s="7"/>
    </row>
    <row r="180" spans="1:11" x14ac:dyDescent="0.35">
      <c r="A180" t="s">
        <v>443</v>
      </c>
      <c r="F180" s="1">
        <f ca="1">G180*$G$170*10</f>
        <v>230.80300186536942</v>
      </c>
      <c r="G180" s="1">
        <f ca="1">G191*G130/(G170*1000)*100</f>
        <v>12.5261455327986</v>
      </c>
      <c r="I180" s="1">
        <f ca="1">J191*J130</f>
        <v>127.36765402586811</v>
      </c>
      <c r="J180" s="1">
        <f ca="1">J191*J130/(J170*1000)*100</f>
        <v>18.891133185140106</v>
      </c>
    </row>
    <row r="181" spans="1:11" x14ac:dyDescent="0.35">
      <c r="A181" t="s">
        <v>444</v>
      </c>
      <c r="F181" s="1">
        <f ca="1">G181*$G$170*10</f>
        <v>723.1409783294522</v>
      </c>
      <c r="G181" s="1">
        <f ca="1">G192*G133/(G170*1000)*100</f>
        <v>39.246322890413843</v>
      </c>
      <c r="H181" s="1"/>
      <c r="I181" s="1">
        <f ca="1">J192*J133</f>
        <v>38.212274721046718</v>
      </c>
      <c r="J181" s="1">
        <f ca="1">J192*J133/(J170*1000)*100</f>
        <v>5.6676334080538613</v>
      </c>
    </row>
    <row r="182" spans="1:11" x14ac:dyDescent="0.35">
      <c r="A182" t="s">
        <v>12</v>
      </c>
      <c r="F182" s="1">
        <f ca="1">G182*$G$170*10</f>
        <v>252.63963674320826</v>
      </c>
      <c r="G182" s="1">
        <f ca="1">G179-G181-G180</f>
        <v>13.711263855418808</v>
      </c>
      <c r="H182" s="1"/>
      <c r="I182" s="1">
        <f ca="1">J182*$J$170*10</f>
        <v>98.145308276179023</v>
      </c>
      <c r="J182" s="1">
        <f ca="1">J179-J181-J180</f>
        <v>14.556883412215257</v>
      </c>
    </row>
    <row r="183" spans="1:11" x14ac:dyDescent="0.35">
      <c r="A183" t="s">
        <v>40</v>
      </c>
      <c r="F183" s="1">
        <f ca="1">SUM(F175:F179)</f>
        <v>1842.5700169380298</v>
      </c>
      <c r="G183" s="1">
        <f ca="1">SUM(G175:G179)</f>
        <v>100.00000000000001</v>
      </c>
      <c r="H183" s="1"/>
      <c r="I183" s="1">
        <f ca="1">SUM(I175:I179)</f>
        <v>674.21923702309391</v>
      </c>
      <c r="J183" s="1">
        <f ca="1">SUM(J175:J179)</f>
        <v>100</v>
      </c>
    </row>
    <row r="184" spans="1:11" x14ac:dyDescent="0.35">
      <c r="F184" s="1"/>
      <c r="G184" s="1"/>
      <c r="H184" s="1"/>
      <c r="I184" s="1"/>
      <c r="J184" s="1"/>
    </row>
    <row r="185" spans="1:11" x14ac:dyDescent="0.35">
      <c r="A185" t="s">
        <v>13</v>
      </c>
      <c r="F185" s="1"/>
      <c r="G185" s="1"/>
      <c r="H185" s="1"/>
      <c r="I185" s="1"/>
      <c r="J185" s="1"/>
    </row>
    <row r="186" spans="1:11" x14ac:dyDescent="0.35">
      <c r="A186" t="s">
        <v>3</v>
      </c>
      <c r="F186" s="1"/>
      <c r="G186" s="1">
        <f ca="1">((G136/G132)*((1-J157)/J157))^(1/(1+J153))</f>
        <v>1.456876642388411</v>
      </c>
      <c r="H186" s="1"/>
      <c r="I186" s="1"/>
      <c r="J186" s="1">
        <f ca="1">(J136/J132*(1-G157)/G157)^(1/(1+G153))</f>
        <v>3.8252043459662124</v>
      </c>
    </row>
    <row r="187" spans="1:11" x14ac:dyDescent="0.35">
      <c r="A187" t="s">
        <v>445</v>
      </c>
      <c r="F187" s="1"/>
      <c r="G187" s="1">
        <f ca="1">(G133/(G167)*(1-J158)/J158)^(1/(1+J154))</f>
        <v>0.26201283281178767</v>
      </c>
      <c r="H187" s="1"/>
      <c r="I187" s="1"/>
      <c r="J187" s="1">
        <f ca="1">(J133/J167*(1-G158)/G158)^(1/(1+G154))</f>
        <v>0.66199568026340028</v>
      </c>
    </row>
    <row r="188" spans="1:11" x14ac:dyDescent="0.35">
      <c r="F188" s="1"/>
      <c r="G188" s="1"/>
      <c r="H188" s="1"/>
      <c r="I188" s="1"/>
      <c r="J188" s="1"/>
    </row>
    <row r="189" spans="1:11" x14ac:dyDescent="0.35">
      <c r="A189" t="s">
        <v>14</v>
      </c>
      <c r="F189" s="1"/>
      <c r="G189" s="1"/>
      <c r="H189" s="1"/>
      <c r="I189" s="1"/>
      <c r="J189" s="1"/>
    </row>
    <row r="190" spans="1:11" x14ac:dyDescent="0.35">
      <c r="A190" t="s">
        <v>1</v>
      </c>
      <c r="F190" s="1"/>
      <c r="G190" s="1">
        <f ca="1">G191+G192</f>
        <v>115.68765470333106</v>
      </c>
      <c r="H190" s="1"/>
      <c r="I190" s="1"/>
      <c r="J190" s="1">
        <f ca="1">J191+J192</f>
        <v>73.248550771852564</v>
      </c>
    </row>
    <row r="191" spans="1:11" x14ac:dyDescent="0.35">
      <c r="A191" t="s">
        <v>446</v>
      </c>
      <c r="F191" s="1"/>
      <c r="G191" s="1">
        <f ca="1">G193/G131*100</f>
        <v>15.400200239023979</v>
      </c>
      <c r="H191" s="1"/>
      <c r="I191" s="1"/>
      <c r="J191" s="1">
        <f ca="1">J193/J131*100</f>
        <v>37.687399809190161</v>
      </c>
    </row>
    <row r="192" spans="1:11" x14ac:dyDescent="0.35">
      <c r="A192" t="s">
        <v>447</v>
      </c>
      <c r="F192" s="1"/>
      <c r="G192" s="1">
        <f ca="1">G168/(G133+G167*G187)</f>
        <v>100.28745446430709</v>
      </c>
      <c r="H192" s="1"/>
      <c r="I192" s="1"/>
      <c r="J192" s="1">
        <f ca="1">J168/(J133+J167*J187)</f>
        <v>35.56115096266241</v>
      </c>
    </row>
    <row r="193" spans="1:12" x14ac:dyDescent="0.35">
      <c r="A193" t="s">
        <v>2</v>
      </c>
      <c r="F193" s="1"/>
      <c r="G193" s="1">
        <f ca="1">G194*G186</f>
        <v>15.400200239023979</v>
      </c>
      <c r="H193" s="1"/>
      <c r="I193" s="1"/>
      <c r="J193" s="1">
        <f ca="1">J194*J186</f>
        <v>18.843699904595081</v>
      </c>
    </row>
    <row r="194" spans="1:12" x14ac:dyDescent="0.35">
      <c r="A194" t="s">
        <v>0</v>
      </c>
      <c r="F194" s="1"/>
      <c r="G194" s="1">
        <f ca="1">G167/(G136+G132*G186)*(G192*G187)</f>
        <v>10.570696098042188</v>
      </c>
      <c r="H194" s="1"/>
      <c r="I194" s="1"/>
      <c r="J194" s="1">
        <f ca="1">J167/(J136+J132*J186)*(J192*J187)</f>
        <v>4.9261943154661276</v>
      </c>
    </row>
    <row r="196" spans="1:12" x14ac:dyDescent="0.35">
      <c r="A196" t="s">
        <v>448</v>
      </c>
      <c r="G196" s="1">
        <f ca="1">(G$140/G$122)/(G$190/G$168)</f>
        <v>0.7215356705018332</v>
      </c>
      <c r="J196" s="1">
        <f ca="1">(J140/J122)/(J190/J168)</f>
        <v>1.6132344533283527</v>
      </c>
    </row>
    <row r="197" spans="1:12" x14ac:dyDescent="0.35">
      <c r="A197" t="s">
        <v>449</v>
      </c>
      <c r="G197" s="1">
        <f ca="1">(G$142/G$122)/(G$192/G$168)</f>
        <v>0.41420324444797074</v>
      </c>
      <c r="J197" s="1">
        <f ca="1">(J$142/J$122)/(J$192/J$168)</f>
        <v>2.8827050718203764</v>
      </c>
    </row>
    <row r="198" spans="1:12" x14ac:dyDescent="0.35">
      <c r="A198" t="s">
        <v>450</v>
      </c>
      <c r="G198" s="1">
        <f ca="1">G$140/(G$190/$G$170)</f>
        <v>0.66430828025286448</v>
      </c>
      <c r="J198" s="1">
        <f ca="1">J$140/(J$190/J170)</f>
        <v>1.5268042191285878</v>
      </c>
    </row>
    <row r="199" spans="1:12" x14ac:dyDescent="0.35">
      <c r="A199" t="s">
        <v>451</v>
      </c>
      <c r="G199" s="1">
        <f ca="1">(G$140/$G$144)/($G$190/$G194)</f>
        <v>0.65430153219208964</v>
      </c>
      <c r="J199" s="1">
        <f ca="1">(J$140/$J144)/($J$190/$J$194)</f>
        <v>1.5728712737348118</v>
      </c>
    </row>
    <row r="201" spans="1:12" x14ac:dyDescent="0.35">
      <c r="A201" t="s">
        <v>15</v>
      </c>
    </row>
    <row r="202" spans="1:12" x14ac:dyDescent="0.35">
      <c r="A202" t="s">
        <v>452</v>
      </c>
      <c r="G202" s="1">
        <f ca="1">(G192/G194)/(G142/G144)</f>
        <v>2.6623575034205555</v>
      </c>
      <c r="J202" s="1">
        <f ca="1">1/((J192/J194)/(J142/J144))</f>
        <v>2.8105796951963904</v>
      </c>
    </row>
    <row r="203" spans="1:12" x14ac:dyDescent="0.35">
      <c r="A203" t="s">
        <v>453</v>
      </c>
      <c r="G203" s="1">
        <f ca="1">1/((G142/G143)/(G192/G193))</f>
        <v>6.5738533358319406</v>
      </c>
      <c r="J203" s="1">
        <f ca="1">(J142/J143)/(J192/J193)</f>
        <v>6.9398413553214411</v>
      </c>
    </row>
    <row r="205" spans="1:12" x14ac:dyDescent="0.35">
      <c r="A205" t="s">
        <v>48</v>
      </c>
    </row>
    <row r="207" spans="1:12" x14ac:dyDescent="0.35">
      <c r="A207" t="s">
        <v>43</v>
      </c>
    </row>
    <row r="208" spans="1:12" x14ac:dyDescent="0.35">
      <c r="A208" s="7" t="s">
        <v>454</v>
      </c>
      <c r="B208" s="7"/>
      <c r="C208" s="7"/>
      <c r="D208" s="7"/>
      <c r="E208" s="7"/>
      <c r="F208" s="7"/>
      <c r="G208" s="7"/>
      <c r="H208" s="7"/>
      <c r="I208" s="7"/>
      <c r="J208" s="16">
        <v>0.5</v>
      </c>
      <c r="K208" s="7"/>
      <c r="L208" s="7"/>
    </row>
    <row r="209" spans="1:15" x14ac:dyDescent="0.35">
      <c r="A209" s="191" t="s">
        <v>455</v>
      </c>
      <c r="B209" s="191"/>
      <c r="C209" s="191"/>
      <c r="D209" s="191"/>
      <c r="E209" s="191"/>
      <c r="F209" s="191"/>
      <c r="G209" s="191"/>
      <c r="H209" s="191"/>
      <c r="I209" s="191"/>
      <c r="J209" s="201">
        <v>0.5</v>
      </c>
      <c r="K209" s="191"/>
      <c r="L209" s="168" t="s">
        <v>504</v>
      </c>
      <c r="M209" s="202"/>
      <c r="N209" s="202"/>
      <c r="O209" s="202"/>
    </row>
    <row r="210" spans="1:15" x14ac:dyDescent="0.35">
      <c r="A210" t="s">
        <v>456</v>
      </c>
      <c r="J210" s="138">
        <v>0.09</v>
      </c>
    </row>
    <row r="211" spans="1:15" x14ac:dyDescent="0.35">
      <c r="A211" t="s">
        <v>457</v>
      </c>
      <c r="J211">
        <v>7.3999999999999996E-2</v>
      </c>
    </row>
    <row r="212" spans="1:15" x14ac:dyDescent="0.35">
      <c r="A212" t="s">
        <v>458</v>
      </c>
      <c r="J212">
        <v>7.3999999999999996E-2</v>
      </c>
    </row>
    <row r="213" spans="1:15" x14ac:dyDescent="0.35">
      <c r="A213" t="s">
        <v>459</v>
      </c>
      <c r="J213" s="1">
        <v>1</v>
      </c>
    </row>
    <row r="214" spans="1:15" x14ac:dyDescent="0.35">
      <c r="A214" t="s">
        <v>460</v>
      </c>
      <c r="J214">
        <v>0.14000000000000001</v>
      </c>
    </row>
    <row r="215" spans="1:15" x14ac:dyDescent="0.35">
      <c r="A215" t="s">
        <v>461</v>
      </c>
      <c r="J215" s="2">
        <v>0.5</v>
      </c>
    </row>
    <row r="217" spans="1:15" x14ac:dyDescent="0.35">
      <c r="A217" t="s">
        <v>462</v>
      </c>
    </row>
    <row r="219" spans="1:15" x14ac:dyDescent="0.35">
      <c r="A219" t="s">
        <v>18</v>
      </c>
    </row>
    <row r="220" spans="1:15" x14ac:dyDescent="0.35">
      <c r="B220" t="s">
        <v>463</v>
      </c>
      <c r="J220" s="2">
        <v>200</v>
      </c>
    </row>
    <row r="221" spans="1:15" x14ac:dyDescent="0.35">
      <c r="B221" t="s">
        <v>464</v>
      </c>
      <c r="J221" s="2">
        <f ca="1">-F233</f>
        <v>-99.999143632574828</v>
      </c>
    </row>
    <row r="222" spans="1:15" x14ac:dyDescent="0.35">
      <c r="B222" t="s">
        <v>465</v>
      </c>
      <c r="J222" s="2">
        <f ca="1">G241*J118/1000+G242*G118/1000*(1-J211)</f>
        <v>-27.902696235377569</v>
      </c>
    </row>
    <row r="223" spans="1:15" x14ac:dyDescent="0.35">
      <c r="B223" t="s">
        <v>466</v>
      </c>
      <c r="J223" s="2">
        <f ca="1">I241/1000*J119*(1-J212)</f>
        <v>50.942529070943841</v>
      </c>
    </row>
    <row r="224" spans="1:15" x14ac:dyDescent="0.35">
      <c r="B224" t="s">
        <v>467</v>
      </c>
      <c r="J224" s="2">
        <f ca="1">J220-J221+J222-J223-J225</f>
        <v>164.95391832625342</v>
      </c>
    </row>
    <row r="225" spans="1:21" x14ac:dyDescent="0.35">
      <c r="A225" s="191"/>
      <c r="B225" s="191" t="s">
        <v>468</v>
      </c>
      <c r="C225" s="191"/>
      <c r="D225" s="191"/>
      <c r="E225" s="191"/>
      <c r="F225" s="191"/>
      <c r="G225" s="191"/>
      <c r="H225" s="191"/>
      <c r="I225" s="191"/>
      <c r="J225" s="201">
        <v>56.2</v>
      </c>
      <c r="K225" s="191"/>
      <c r="L225" s="168" t="s">
        <v>505</v>
      </c>
      <c r="M225" s="202"/>
      <c r="N225" s="202"/>
      <c r="O225" s="202"/>
    </row>
    <row r="227" spans="1:21" x14ac:dyDescent="0.35">
      <c r="A227" t="s">
        <v>469</v>
      </c>
    </row>
    <row r="229" spans="1:21" x14ac:dyDescent="0.35">
      <c r="B229" t="s">
        <v>470</v>
      </c>
      <c r="E229" t="s">
        <v>56</v>
      </c>
      <c r="F229" t="s">
        <v>57</v>
      </c>
      <c r="G229" t="s">
        <v>49</v>
      </c>
    </row>
    <row r="230" spans="1:21" x14ac:dyDescent="0.35">
      <c r="B230" t="s">
        <v>471</v>
      </c>
      <c r="E230" s="1">
        <f ca="1">E14+E15-J222</f>
        <v>257.87054044644435</v>
      </c>
      <c r="F230" s="1">
        <f>C14+C15</f>
        <v>57.913938000000023</v>
      </c>
      <c r="G230" s="1">
        <f ca="1">E230-F230</f>
        <v>199.95660244644432</v>
      </c>
    </row>
    <row r="231" spans="1:21" x14ac:dyDescent="0.35">
      <c r="B231" t="s">
        <v>472</v>
      </c>
      <c r="E231" s="1">
        <v>0</v>
      </c>
      <c r="F231" s="1">
        <f ca="1">F234-F230</f>
        <v>199.99828726514966</v>
      </c>
      <c r="G231" s="1">
        <f ca="1">E231-F231</f>
        <v>-199.99828726514966</v>
      </c>
    </row>
    <row r="232" spans="1:21" x14ac:dyDescent="0.35">
      <c r="B232" t="s">
        <v>473</v>
      </c>
      <c r="E232" s="1"/>
      <c r="F232" s="1">
        <f ca="1">F231-F233</f>
        <v>99.999143632574828</v>
      </c>
      <c r="G232" s="1"/>
    </row>
    <row r="233" spans="1:21" x14ac:dyDescent="0.35">
      <c r="B233" t="s">
        <v>28</v>
      </c>
      <c r="E233" s="1"/>
      <c r="F233" s="1">
        <f ca="1">F231*J209</f>
        <v>99.999143632574828</v>
      </c>
      <c r="G233" s="1"/>
    </row>
    <row r="234" spans="1:21" x14ac:dyDescent="0.35">
      <c r="B234" t="s">
        <v>474</v>
      </c>
      <c r="E234" s="1">
        <f ca="1">E230+E231</f>
        <v>257.87054044644435</v>
      </c>
      <c r="F234" s="1">
        <f ca="1">E234-G234</f>
        <v>257.91222526514969</v>
      </c>
      <c r="G234" s="1">
        <f>G17-J225</f>
        <v>-4.1684818705320481E-2</v>
      </c>
    </row>
    <row r="237" spans="1:21" x14ac:dyDescent="0.35">
      <c r="A237" t="s">
        <v>50</v>
      </c>
    </row>
    <row r="238" spans="1:21" x14ac:dyDescent="0.35">
      <c r="K238" s="55"/>
      <c r="L238" s="14"/>
      <c r="M238" s="7"/>
      <c r="N238" s="7"/>
      <c r="O238" s="7"/>
      <c r="P238" s="7"/>
      <c r="Q238" s="7"/>
      <c r="R238" s="7"/>
      <c r="S238" s="7"/>
      <c r="T238" s="7"/>
      <c r="U238" s="7"/>
    </row>
    <row r="239" spans="1:21" x14ac:dyDescent="0.35">
      <c r="A239" t="s">
        <v>475</v>
      </c>
      <c r="G239" t="s">
        <v>53</v>
      </c>
      <c r="I239" t="s">
        <v>54</v>
      </c>
      <c r="K239" s="15"/>
      <c r="L239" s="7"/>
      <c r="M239" s="7"/>
      <c r="N239" s="7"/>
      <c r="O239" s="7"/>
      <c r="P239" s="7"/>
      <c r="Q239" s="7"/>
      <c r="R239" s="7"/>
      <c r="S239" s="7"/>
      <c r="T239" s="7"/>
      <c r="U239" s="7"/>
    </row>
    <row r="240" spans="1:21" x14ac:dyDescent="0.35">
      <c r="G240" t="s">
        <v>52</v>
      </c>
      <c r="I240" t="s">
        <v>52</v>
      </c>
      <c r="K240" s="15"/>
      <c r="L240" s="7"/>
      <c r="M240" s="7"/>
      <c r="N240" s="7"/>
      <c r="O240" s="7"/>
      <c r="P240" s="7"/>
      <c r="Q240" s="7"/>
      <c r="R240" s="7"/>
      <c r="S240" s="7"/>
      <c r="T240" s="7"/>
      <c r="U240" s="7"/>
    </row>
    <row r="241" spans="1:21" x14ac:dyDescent="0.35">
      <c r="A241" t="s">
        <v>476</v>
      </c>
      <c r="G241" s="199">
        <f ca="1">(-F233/G170-J220*(EXP(-J208*LN(G170/((1+J211)*(1+J214))))))*(1-J210)</f>
        <v>-197.74613632779244</v>
      </c>
      <c r="H241" s="199"/>
      <c r="I241" s="199">
        <f ca="1">((F233/G170*EXP(-J208*LN(1/(G170*(1+J211)*(1+J213)))))+J220)*(1-J210)</f>
        <v>280.2523194813765</v>
      </c>
      <c r="J241" s="1"/>
      <c r="K241" s="7"/>
      <c r="L241" s="7"/>
      <c r="M241" s="7"/>
      <c r="N241" s="7"/>
      <c r="O241" s="7"/>
      <c r="P241" s="7"/>
      <c r="Q241" s="7"/>
      <c r="R241" s="7"/>
      <c r="S241" s="7"/>
      <c r="T241" s="7"/>
      <c r="U241" s="7"/>
    </row>
    <row r="242" spans="1:21" x14ac:dyDescent="0.35">
      <c r="A242" t="s">
        <v>477</v>
      </c>
      <c r="G242" s="199">
        <f ca="1">(J224+(1-J212)*J119/1000*(G241+I241))*(1-J210)</f>
        <v>163.75575649303451</v>
      </c>
      <c r="H242" s="199"/>
      <c r="I242" s="199">
        <f ca="1">-(1-J210)*J215*(J224+J223)</f>
        <v>-98.232883565724748</v>
      </c>
      <c r="J242" s="1"/>
      <c r="K242" s="203"/>
      <c r="L242" s="7"/>
      <c r="M242" s="7"/>
      <c r="N242" s="7"/>
      <c r="O242" s="7"/>
      <c r="P242" s="7"/>
      <c r="Q242" s="7"/>
      <c r="R242" s="7"/>
      <c r="S242" s="7"/>
      <c r="T242" s="7"/>
      <c r="U242" s="7"/>
    </row>
    <row r="243" spans="1:21" x14ac:dyDescent="0.35">
      <c r="A243" t="s">
        <v>35</v>
      </c>
      <c r="G243" s="2">
        <f ca="1">G241*G170+G242</f>
        <v>-200.60534526989593</v>
      </c>
      <c r="I243" s="2">
        <f ca="1">I241+I242*J170</f>
        <v>214.02181967311515</v>
      </c>
      <c r="K243" s="7"/>
      <c r="L243" s="7"/>
      <c r="M243" s="7"/>
      <c r="N243" s="7"/>
      <c r="O243" s="7"/>
      <c r="P243" s="7"/>
      <c r="Q243" s="7"/>
      <c r="R243" s="7"/>
      <c r="S243" s="7"/>
      <c r="T243" s="7"/>
      <c r="U243" s="7"/>
    </row>
    <row r="244" spans="1:21" x14ac:dyDescent="0.35">
      <c r="A244" t="s">
        <v>478</v>
      </c>
      <c r="G244" s="2">
        <f ca="1">G243/E26*100</f>
        <v>-4.2628915355679187</v>
      </c>
      <c r="I244" s="2">
        <f ca="1">I243/G26*100</f>
        <v>23.621269700958976</v>
      </c>
    </row>
    <row r="245" spans="1:21" x14ac:dyDescent="0.35">
      <c r="L245" s="7"/>
      <c r="M245" s="7"/>
      <c r="N245" s="7"/>
      <c r="O245" s="7"/>
      <c r="P245" s="7"/>
      <c r="Q245" s="7"/>
      <c r="R245" s="7"/>
      <c r="S245" s="7"/>
    </row>
    <row r="247" spans="1:21" x14ac:dyDescent="0.35">
      <c r="A247" t="s">
        <v>479</v>
      </c>
    </row>
    <row r="249" spans="1:21" x14ac:dyDescent="0.35">
      <c r="A249" t="s">
        <v>32</v>
      </c>
      <c r="F249" s="2"/>
      <c r="G249" s="2">
        <f ca="1">(G241*G168+G242*G122)/1000</f>
        <v>-139.8689028162558</v>
      </c>
      <c r="H249" s="2"/>
      <c r="I249" s="2">
        <f ca="1">(I241*J122+I242*J168)/1000</f>
        <v>77.842918170173448</v>
      </c>
    </row>
    <row r="250" spans="1:21" x14ac:dyDescent="0.35">
      <c r="A250" t="s">
        <v>480</v>
      </c>
      <c r="G250" s="2">
        <f ca="1">G249/E25*100</f>
        <v>-6.9847491281482448</v>
      </c>
      <c r="H250" s="2"/>
      <c r="I250" s="2">
        <f ca="1">I249/G25*100</f>
        <v>22.234728741672203</v>
      </c>
    </row>
    <row r="253" spans="1:21" x14ac:dyDescent="0.35">
      <c r="A253" t="s">
        <v>143</v>
      </c>
      <c r="F253" s="2"/>
      <c r="G253" s="2"/>
      <c r="H253" s="2"/>
      <c r="I253" s="2"/>
    </row>
    <row r="254" spans="1:21" x14ac:dyDescent="0.35">
      <c r="F254" s="2"/>
      <c r="G254" s="2"/>
      <c r="H254" s="2"/>
      <c r="I254" s="2"/>
    </row>
    <row r="255" spans="1:21" x14ac:dyDescent="0.35">
      <c r="F255" s="2"/>
      <c r="G255" s="2"/>
      <c r="J255" s="2"/>
    </row>
    <row r="256" spans="1:21" x14ac:dyDescent="0.35">
      <c r="E256" s="2" t="s">
        <v>21</v>
      </c>
      <c r="F256" s="2"/>
      <c r="G256" s="2"/>
      <c r="I256" s="2" t="s">
        <v>31</v>
      </c>
      <c r="J256" s="2"/>
    </row>
    <row r="257" spans="1:12" x14ac:dyDescent="0.35">
      <c r="A257" t="s">
        <v>44</v>
      </c>
      <c r="E257" t="s">
        <v>61</v>
      </c>
      <c r="F257" s="2" t="s">
        <v>58</v>
      </c>
      <c r="G257" s="2" t="s">
        <v>60</v>
      </c>
      <c r="I257" t="s">
        <v>61</v>
      </c>
      <c r="J257" s="2" t="s">
        <v>58</v>
      </c>
      <c r="K257" s="2" t="s">
        <v>60</v>
      </c>
    </row>
    <row r="258" spans="1:12" x14ac:dyDescent="0.35">
      <c r="A258" t="s">
        <v>34</v>
      </c>
      <c r="E258" s="1">
        <f ca="1">G242*G143/1000</f>
        <v>3.4311863865083168</v>
      </c>
      <c r="F258" s="1">
        <f ca="1">G241*G193/1000</f>
        <v>-3.0453300959413379</v>
      </c>
      <c r="G258" s="1">
        <f ca="1">(G241*G193+G242*G143)/1000</f>
        <v>0.38585629056697918</v>
      </c>
      <c r="H258" s="1"/>
      <c r="I258" s="1">
        <f ca="1">I242*J193/1000</f>
        <v>-1.8510709786755473</v>
      </c>
      <c r="J258" s="1">
        <f ca="1">I241*J143/1000</f>
        <v>3.0792913897841361</v>
      </c>
      <c r="K258" s="1">
        <f ca="1">(I241*J143+I242*J193)/1000</f>
        <v>1.228220411108589</v>
      </c>
    </row>
    <row r="259" spans="1:12" x14ac:dyDescent="0.35">
      <c r="A259" t="s">
        <v>481</v>
      </c>
      <c r="E259" s="1">
        <f ca="1">G242*G142/1000</f>
        <v>3.3989481514889714</v>
      </c>
      <c r="F259" s="1">
        <f ca="1">G241*G192/1000</f>
        <v>-19.831456642466147</v>
      </c>
      <c r="G259" s="1">
        <f ca="1">(G241*G192+G242*G142)/1000</f>
        <v>-16.432508490977177</v>
      </c>
      <c r="I259" s="1">
        <f ca="1">I242*J192/1000</f>
        <v>-3.4932744019783772</v>
      </c>
      <c r="J259" s="1">
        <f ca="1">I241*J142/1000</f>
        <v>40.328304143501434</v>
      </c>
      <c r="K259" s="1">
        <f ca="1">(I241*J142+I242*J192)/1000</f>
        <v>36.835029741523051</v>
      </c>
    </row>
    <row r="260" spans="1:12" x14ac:dyDescent="0.35">
      <c r="A260" t="s">
        <v>29</v>
      </c>
      <c r="E260" s="1">
        <f ca="1">G242*G144/10</f>
        <v>95.382322161718889</v>
      </c>
      <c r="F260" s="1">
        <f ca="1">G241*G194/10</f>
        <v>-209.03143116831137</v>
      </c>
      <c r="G260" s="1">
        <f ca="1">G241/10*G194+G242/10*G144</f>
        <v>-113.64910900659252</v>
      </c>
      <c r="I260" s="1">
        <f ca="1">I242*J194/10*J134/100</f>
        <v>-29.083247784060489</v>
      </c>
      <c r="J260" s="1">
        <f ca="1">I241*J144/10*J134/100</f>
        <v>119.46048051313656</v>
      </c>
      <c r="K260" s="1">
        <f ca="1">(I241*J144+I242*J194)/10*J134/100</f>
        <v>90.377232729076056</v>
      </c>
    </row>
    <row r="261" spans="1:12" x14ac:dyDescent="0.35">
      <c r="G261" s="190"/>
      <c r="K261" s="190"/>
    </row>
    <row r="262" spans="1:12" x14ac:dyDescent="0.35">
      <c r="A262" t="s">
        <v>482</v>
      </c>
      <c r="G262" s="54">
        <v>1900</v>
      </c>
      <c r="H262" s="54"/>
      <c r="I262" s="54"/>
      <c r="J262" s="54"/>
      <c r="K262" s="54">
        <v>2400</v>
      </c>
      <c r="L262" t="s">
        <v>366</v>
      </c>
    </row>
    <row r="264" spans="1:12" x14ac:dyDescent="0.35">
      <c r="A264" t="s">
        <v>483</v>
      </c>
      <c r="E264" s="1">
        <f ca="1">E258*1000/$G$262*100/G131</f>
        <v>1.8058875718464826</v>
      </c>
      <c r="F264" s="1">
        <f ca="1">F258*1000/$G$262*100/G131</f>
        <v>-1.6028053136533356</v>
      </c>
      <c r="G264" s="1">
        <f ca="1">G258*1000/$G$262*100/G131</f>
        <v>0.20308225819314693</v>
      </c>
      <c r="I264" s="1">
        <f ca="1">I258*1000/$K$262*100/J131</f>
        <v>-1.5425591488962893</v>
      </c>
      <c r="J264" s="1">
        <f ca="1">J258*1000/$K$262*100/J131</f>
        <v>2.5660761581534475</v>
      </c>
      <c r="K264" s="1">
        <f ca="1">K258*1000/$K$262*100/J131</f>
        <v>1.0235170092571577</v>
      </c>
    </row>
    <row r="265" spans="1:12" x14ac:dyDescent="0.35">
      <c r="A265" t="s">
        <v>484</v>
      </c>
      <c r="E265" s="1">
        <f ca="1">E259*1000/$G$262</f>
        <v>1.7889200797310374</v>
      </c>
      <c r="F265" s="1">
        <f ca="1">F259*1000/$G$262</f>
        <v>-10.437608759192708</v>
      </c>
      <c r="G265" s="1">
        <f ca="1">G259*1000/$G$262</f>
        <v>-8.6486886794616709</v>
      </c>
      <c r="I265" s="1">
        <f ca="1">I259*1000/$K$262</f>
        <v>-1.4555310008243239</v>
      </c>
      <c r="J265" s="1">
        <f ca="1">J259*1000/$K$262</f>
        <v>16.803460059792261</v>
      </c>
      <c r="K265" s="1">
        <f ca="1">K259*1000/$K$262</f>
        <v>15.347929058967939</v>
      </c>
    </row>
    <row r="266" spans="1:12" x14ac:dyDescent="0.35">
      <c r="A266" t="s">
        <v>37</v>
      </c>
      <c r="E266" s="1">
        <f ca="1">E264+E265</f>
        <v>3.5948076515775202</v>
      </c>
      <c r="F266" s="1">
        <f ca="1">F264+F265</f>
        <v>-12.040414072846044</v>
      </c>
      <c r="G266" s="1">
        <f ca="1">G264+G265</f>
        <v>-8.4456064212685238</v>
      </c>
      <c r="I266" s="1">
        <f ca="1">I264+I265</f>
        <v>-2.9980901497206132</v>
      </c>
      <c r="J266" s="1">
        <f ca="1">J264+J265</f>
        <v>19.369536217945708</v>
      </c>
      <c r="K266" s="1">
        <f ca="1">K264+K265</f>
        <v>16.371446068225097</v>
      </c>
    </row>
    <row r="267" spans="1:12" x14ac:dyDescent="0.35">
      <c r="A267" t="s">
        <v>30</v>
      </c>
      <c r="E267" s="1">
        <f ca="1">E260*$G$134/100</f>
        <v>95.382322161718889</v>
      </c>
      <c r="F267" s="1">
        <f ca="1">F260*$G$134/100</f>
        <v>-209.03143116831134</v>
      </c>
      <c r="G267" s="1">
        <f ca="1">G260*$G$134/100</f>
        <v>-113.64910900659251</v>
      </c>
      <c r="H267" s="1"/>
      <c r="I267" s="1">
        <f ca="1">I260*$J$134/100</f>
        <v>-17.479031918220354</v>
      </c>
      <c r="J267" s="1">
        <f ca="1">J260*$J$134/100</f>
        <v>71.795748788395073</v>
      </c>
      <c r="K267" s="1">
        <f ca="1">K260*$J$134/100</f>
        <v>54.316716870174716</v>
      </c>
    </row>
    <row r="269" spans="1:12" x14ac:dyDescent="0.35">
      <c r="A269" t="s">
        <v>485</v>
      </c>
    </row>
    <row r="270" spans="1:12" x14ac:dyDescent="0.35">
      <c r="A270" t="s">
        <v>36</v>
      </c>
      <c r="G270" s="1">
        <f ca="1">G266/F38*100</f>
        <v>-11.351621533963069</v>
      </c>
      <c r="K270" s="1">
        <f ca="1">K266/L38*100</f>
        <v>7.9880195502440108</v>
      </c>
    </row>
    <row r="271" spans="1:12" x14ac:dyDescent="0.35">
      <c r="A271" t="s">
        <v>486</v>
      </c>
      <c r="G271" s="1">
        <f ca="1">G267/G38*100</f>
        <v>-4.694304378628356</v>
      </c>
      <c r="K271" s="1">
        <f ca="1">K267/M38*100</f>
        <v>12.619468628357119</v>
      </c>
    </row>
    <row r="273" spans="1:11" x14ac:dyDescent="0.35">
      <c r="A273" t="s">
        <v>309</v>
      </c>
    </row>
    <row r="274" spans="1:11" x14ac:dyDescent="0.35">
      <c r="A274" t="s">
        <v>487</v>
      </c>
      <c r="G274" s="1">
        <f ca="1">G264/C40*100</f>
        <v>0.11703462629590225</v>
      </c>
      <c r="K274" s="1">
        <f ca="1">K264/I40*100</f>
        <v>0.66604816854588222</v>
      </c>
    </row>
    <row r="275" spans="1:11" x14ac:dyDescent="0.35">
      <c r="A275" t="s">
        <v>488</v>
      </c>
      <c r="G275" s="1">
        <f ca="1">G265/D40*100</f>
        <v>-5.0153803148173406</v>
      </c>
      <c r="K275" s="1">
        <f ca="1">K265/J40*100</f>
        <v>2.0448959420852475</v>
      </c>
    </row>
    <row r="276" spans="1:11" x14ac:dyDescent="0.35">
      <c r="A276" t="s">
        <v>36</v>
      </c>
      <c r="G276" s="1">
        <f ca="1">G266/F40*100</f>
        <v>-2.4089008617423056</v>
      </c>
      <c r="K276" s="1">
        <f ca="1">K266/L40*100</f>
        <v>1.0359052181868575</v>
      </c>
    </row>
    <row r="277" spans="1:11" x14ac:dyDescent="0.35">
      <c r="A277" t="s">
        <v>486</v>
      </c>
      <c r="G277" s="1">
        <f ca="1">G267/G40*100</f>
        <v>-0.87147541604625811</v>
      </c>
      <c r="K277" s="1">
        <f ca="1">K267/M40*100</f>
        <v>1.676048731475787</v>
      </c>
    </row>
  </sheetData>
  <pageMargins left="0.75" right="0.75" top="1" bottom="1" header="0.5" footer="0.5"/>
  <pageSetup paperSize="9" scale="17" orientation="portrait" r:id="rId1"/>
  <headerFooter>
    <oddHeader>&amp;L&amp;"Arial"&amp;10VERSN10X.WK1       printed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77"/>
  <sheetViews>
    <sheetView topLeftCell="A265" zoomScaleNormal="100" workbookViewId="0">
      <selection activeCell="S272" sqref="S272"/>
    </sheetView>
  </sheetViews>
  <sheetFormatPr defaultColWidth="8" defaultRowHeight="15.5" x14ac:dyDescent="0.35"/>
  <cols>
    <col min="1" max="1" width="14.33203125" customWidth="1"/>
    <col min="3" max="6" width="7.9140625" customWidth="1"/>
    <col min="7" max="7" width="8.6640625" customWidth="1"/>
    <col min="8" max="8" width="7.9140625" customWidth="1"/>
    <col min="9" max="9" width="7.08203125" customWidth="1"/>
    <col min="10" max="10" width="8.6640625" customWidth="1"/>
    <col min="11" max="11" width="6.33203125" customWidth="1"/>
  </cols>
  <sheetData>
    <row r="1" spans="1:15" x14ac:dyDescent="0.35">
      <c r="A1" s="185" t="s">
        <v>508</v>
      </c>
      <c r="B1" s="186"/>
      <c r="C1" s="186"/>
      <c r="D1" s="186"/>
      <c r="E1" s="186"/>
      <c r="F1" s="186"/>
      <c r="G1" s="186"/>
      <c r="H1" s="186"/>
      <c r="I1" s="186"/>
      <c r="J1" s="186"/>
      <c r="K1" s="186"/>
      <c r="L1" s="186"/>
      <c r="M1" s="186"/>
      <c r="N1" s="186"/>
      <c r="O1" s="186"/>
    </row>
    <row r="2" spans="1:15" x14ac:dyDescent="0.35">
      <c r="A2" s="186" t="s">
        <v>513</v>
      </c>
      <c r="B2" s="186"/>
      <c r="C2" s="186"/>
      <c r="D2" s="186"/>
      <c r="E2" s="186"/>
      <c r="F2" s="186"/>
      <c r="G2" s="186"/>
      <c r="H2" s="186"/>
      <c r="I2" s="186"/>
      <c r="J2" s="186"/>
      <c r="K2" s="186"/>
      <c r="L2" s="186"/>
      <c r="M2" s="186"/>
      <c r="N2" s="186"/>
      <c r="O2" s="186"/>
    </row>
    <row r="3" spans="1:15" x14ac:dyDescent="0.35">
      <c r="A3" t="s">
        <v>346</v>
      </c>
    </row>
    <row r="5" spans="1:15" x14ac:dyDescent="0.35">
      <c r="A5" t="s">
        <v>347</v>
      </c>
    </row>
    <row r="7" spans="1:15" x14ac:dyDescent="0.35">
      <c r="A7" t="s">
        <v>348</v>
      </c>
    </row>
    <row r="9" spans="1:15" x14ac:dyDescent="0.35">
      <c r="A9" t="s">
        <v>349</v>
      </c>
    </row>
    <row r="11" spans="1:15" x14ac:dyDescent="0.35">
      <c r="C11" t="s">
        <v>350</v>
      </c>
      <c r="E11" t="s">
        <v>351</v>
      </c>
      <c r="G11" t="s">
        <v>352</v>
      </c>
    </row>
    <row r="12" spans="1:15" x14ac:dyDescent="0.35">
      <c r="C12" t="s">
        <v>353</v>
      </c>
      <c r="E12" t="s">
        <v>354</v>
      </c>
      <c r="G12" t="s">
        <v>355</v>
      </c>
    </row>
    <row r="14" spans="1:15" x14ac:dyDescent="0.35">
      <c r="A14" t="s">
        <v>356</v>
      </c>
      <c r="C14" s="1">
        <v>17.388003000000026</v>
      </c>
      <c r="D14" s="2"/>
      <c r="E14" s="1">
        <v>161.3755388212947</v>
      </c>
      <c r="F14" s="1"/>
      <c r="G14" s="2">
        <f>E14-C14</f>
        <v>143.98753582129467</v>
      </c>
      <c r="H14" s="2"/>
    </row>
    <row r="15" spans="1:15" x14ac:dyDescent="0.35">
      <c r="A15" t="s">
        <v>357</v>
      </c>
      <c r="C15" s="1">
        <v>40.525934999999997</v>
      </c>
      <c r="E15" s="1">
        <v>68.592305389772093</v>
      </c>
      <c r="G15" s="2">
        <f>E15-C15</f>
        <v>28.066370389772096</v>
      </c>
    </row>
    <row r="16" spans="1:15" x14ac:dyDescent="0.35">
      <c r="A16" t="s">
        <v>358</v>
      </c>
      <c r="C16" s="1">
        <f>276.659997-C15</f>
        <v>236.13406199999997</v>
      </c>
      <c r="D16" s="2"/>
      <c r="E16" s="1">
        <f>188.83077636-E15</f>
        <v>120.23847097022789</v>
      </c>
      <c r="F16" s="1"/>
      <c r="G16" s="2">
        <f>E16-C16</f>
        <v>-115.89559102977208</v>
      </c>
      <c r="H16" s="2"/>
    </row>
    <row r="17" spans="1:12" x14ac:dyDescent="0.35">
      <c r="A17" t="s">
        <v>62</v>
      </c>
      <c r="C17" s="1">
        <v>294.048</v>
      </c>
      <c r="D17" s="2"/>
      <c r="E17" s="1">
        <v>350.20631518624646</v>
      </c>
      <c r="F17" s="1"/>
      <c r="G17" s="2">
        <f>G14+G15+G16</f>
        <v>56.158315181294682</v>
      </c>
      <c r="H17" s="2"/>
    </row>
    <row r="19" spans="1:12" x14ac:dyDescent="0.35">
      <c r="A19" t="s">
        <v>359</v>
      </c>
    </row>
    <row r="21" spans="1:12" x14ac:dyDescent="0.35">
      <c r="A21" t="s">
        <v>360</v>
      </c>
    </row>
    <row r="23" spans="1:12" x14ac:dyDescent="0.35">
      <c r="E23" t="s">
        <v>53</v>
      </c>
      <c r="G23" t="s">
        <v>54</v>
      </c>
      <c r="I23" t="s">
        <v>54</v>
      </c>
      <c r="K23" t="s">
        <v>361</v>
      </c>
    </row>
    <row r="24" spans="1:12" x14ac:dyDescent="0.35">
      <c r="E24" t="s">
        <v>52</v>
      </c>
      <c r="G24" t="s">
        <v>52</v>
      </c>
      <c r="I24" t="s">
        <v>362</v>
      </c>
    </row>
    <row r="25" spans="1:12" x14ac:dyDescent="0.35">
      <c r="A25" t="s">
        <v>363</v>
      </c>
      <c r="E25" s="2">
        <v>2002.49</v>
      </c>
      <c r="F25" s="2"/>
      <c r="G25" s="2">
        <f>I25+K25</f>
        <v>350.09609999999998</v>
      </c>
      <c r="H25" s="2"/>
      <c r="I25" s="2">
        <v>251.85</v>
      </c>
      <c r="J25" s="2"/>
      <c r="K25" s="2">
        <f>0.37*K28</f>
        <v>98.246099999999984</v>
      </c>
    </row>
    <row r="26" spans="1:12" x14ac:dyDescent="0.35">
      <c r="A26" t="s">
        <v>364</v>
      </c>
      <c r="E26" s="2">
        <f>E25*E30</f>
        <v>4705.8514999999998</v>
      </c>
      <c r="F26" s="2"/>
      <c r="G26" s="2">
        <f>I26+K26</f>
        <v>906.05552699999987</v>
      </c>
      <c r="H26" s="2"/>
      <c r="I26" s="2">
        <f>I30*I25</f>
        <v>604.43999999999994</v>
      </c>
      <c r="J26" s="2"/>
      <c r="K26" s="2">
        <f>K30*K25</f>
        <v>301.61552699999993</v>
      </c>
    </row>
    <row r="27" spans="1:12" x14ac:dyDescent="0.35">
      <c r="E27" s="2"/>
      <c r="F27" s="2"/>
      <c r="G27" s="2"/>
      <c r="H27" s="2"/>
      <c r="I27" s="2"/>
      <c r="J27" s="2"/>
      <c r="K27" s="2"/>
    </row>
    <row r="28" spans="1:12" x14ac:dyDescent="0.35">
      <c r="A28" t="s">
        <v>365</v>
      </c>
      <c r="E28" s="2">
        <v>8706.48</v>
      </c>
      <c r="F28" s="2"/>
      <c r="G28" s="2">
        <f>I28+K28</f>
        <v>2079.98</v>
      </c>
      <c r="H28" s="2"/>
      <c r="I28" s="2">
        <v>1814.45</v>
      </c>
      <c r="J28" s="2"/>
      <c r="K28" s="2">
        <v>265.52999999999997</v>
      </c>
      <c r="L28" t="s">
        <v>366</v>
      </c>
    </row>
    <row r="30" spans="1:12" x14ac:dyDescent="0.35">
      <c r="A30" t="s">
        <v>367</v>
      </c>
      <c r="E30">
        <v>2.35</v>
      </c>
      <c r="I30" s="1">
        <v>2.4</v>
      </c>
      <c r="K30">
        <v>3.07</v>
      </c>
      <c r="L30" t="s">
        <v>366</v>
      </c>
    </row>
    <row r="32" spans="1:12" x14ac:dyDescent="0.35">
      <c r="A32" t="s">
        <v>368</v>
      </c>
    </row>
    <row r="34" spans="1:13" x14ac:dyDescent="0.35">
      <c r="D34" t="s">
        <v>369</v>
      </c>
      <c r="J34" t="s">
        <v>370</v>
      </c>
    </row>
    <row r="35" spans="1:13" x14ac:dyDescent="0.35">
      <c r="C35" t="s">
        <v>371</v>
      </c>
      <c r="G35" t="s">
        <v>372</v>
      </c>
      <c r="I35" t="s">
        <v>371</v>
      </c>
      <c r="M35" t="s">
        <v>372</v>
      </c>
    </row>
    <row r="36" spans="1:13" x14ac:dyDescent="0.35">
      <c r="C36" t="s">
        <v>373</v>
      </c>
      <c r="D36" t="s">
        <v>301</v>
      </c>
      <c r="E36" t="s">
        <v>302</v>
      </c>
      <c r="F36" t="s">
        <v>62</v>
      </c>
      <c r="G36" t="s">
        <v>374</v>
      </c>
      <c r="I36" t="s">
        <v>373</v>
      </c>
      <c r="J36" t="s">
        <v>301</v>
      </c>
      <c r="K36" t="s">
        <v>302</v>
      </c>
      <c r="L36" t="s">
        <v>62</v>
      </c>
      <c r="M36" t="s">
        <v>374</v>
      </c>
    </row>
    <row r="38" spans="1:13" x14ac:dyDescent="0.35">
      <c r="A38" t="s">
        <v>59</v>
      </c>
      <c r="C38" s="2"/>
      <c r="D38" s="2"/>
      <c r="E38" s="2"/>
      <c r="F38" s="2">
        <v>74.400000000000006</v>
      </c>
      <c r="G38" s="2">
        <v>2421</v>
      </c>
      <c r="H38" s="2"/>
      <c r="I38" s="187">
        <f t="shared" ref="I38:M40" si="0">I46+I54</f>
        <v>0</v>
      </c>
      <c r="J38" s="187">
        <f t="shared" si="0"/>
        <v>0</v>
      </c>
      <c r="K38" s="187">
        <f t="shared" si="0"/>
        <v>0</v>
      </c>
      <c r="L38" s="2">
        <f t="shared" si="0"/>
        <v>204.95</v>
      </c>
      <c r="M38" s="2">
        <f t="shared" si="0"/>
        <v>430.42</v>
      </c>
    </row>
    <row r="39" spans="1:13" x14ac:dyDescent="0.35">
      <c r="A39" t="s">
        <v>375</v>
      </c>
      <c r="C39" s="2"/>
      <c r="D39" s="2"/>
      <c r="E39" s="2"/>
      <c r="F39" s="2">
        <f>F40-F38</f>
        <v>276.20000000000005</v>
      </c>
      <c r="G39" s="2">
        <f>G40-G38</f>
        <v>10620</v>
      </c>
      <c r="H39" s="2"/>
      <c r="I39" s="187">
        <f t="shared" si="0"/>
        <v>0</v>
      </c>
      <c r="J39" s="187">
        <f t="shared" si="0"/>
        <v>0</v>
      </c>
      <c r="K39" s="187">
        <f t="shared" si="0"/>
        <v>0</v>
      </c>
      <c r="L39" s="2">
        <f t="shared" si="0"/>
        <v>1375.45</v>
      </c>
      <c r="M39" s="2">
        <f t="shared" si="0"/>
        <v>2810.34</v>
      </c>
    </row>
    <row r="40" spans="1:13" x14ac:dyDescent="0.35">
      <c r="A40" t="s">
        <v>376</v>
      </c>
      <c r="C40" s="2">
        <f>(F69*K73+G69)/100*F40</f>
        <v>173.52322523736507</v>
      </c>
      <c r="D40" s="2">
        <f>F40-E40-C40</f>
        <v>172.44332705757438</v>
      </c>
      <c r="E40" s="2">
        <f>B69/100*F40</f>
        <v>4.6334477050606022</v>
      </c>
      <c r="F40" s="2">
        <v>350.6</v>
      </c>
      <c r="G40" s="2">
        <v>13041</v>
      </c>
      <c r="H40" s="2"/>
      <c r="I40" s="2">
        <f t="shared" si="0"/>
        <v>153.67011840775754</v>
      </c>
      <c r="J40" s="2">
        <f t="shared" si="0"/>
        <v>750.54816937614703</v>
      </c>
      <c r="K40" s="2">
        <f t="shared" si="0"/>
        <v>676.18171221609543</v>
      </c>
      <c r="L40" s="2">
        <f t="shared" si="0"/>
        <v>1580.4</v>
      </c>
      <c r="M40" s="2">
        <f t="shared" si="0"/>
        <v>3240.76</v>
      </c>
    </row>
    <row r="42" spans="1:13" x14ac:dyDescent="0.35">
      <c r="J42" t="s">
        <v>377</v>
      </c>
    </row>
    <row r="43" spans="1:13" x14ac:dyDescent="0.35">
      <c r="I43" t="s">
        <v>371</v>
      </c>
      <c r="M43" t="s">
        <v>372</v>
      </c>
    </row>
    <row r="44" spans="1:13" x14ac:dyDescent="0.35">
      <c r="I44" t="s">
        <v>373</v>
      </c>
      <c r="J44" t="s">
        <v>301</v>
      </c>
      <c r="K44" t="s">
        <v>302</v>
      </c>
      <c r="L44" t="s">
        <v>62</v>
      </c>
      <c r="M44" t="s">
        <v>374</v>
      </c>
    </row>
    <row r="46" spans="1:13" x14ac:dyDescent="0.35">
      <c r="I46" s="2"/>
      <c r="J46" s="2"/>
      <c r="K46" s="2"/>
      <c r="L46" s="2">
        <v>121.4</v>
      </c>
      <c r="M46" s="2">
        <v>282.31</v>
      </c>
    </row>
    <row r="47" spans="1:13" x14ac:dyDescent="0.35">
      <c r="I47" s="2"/>
      <c r="J47" s="2"/>
      <c r="K47" s="2"/>
      <c r="L47" s="2">
        <f>L48-L46</f>
        <v>891.6</v>
      </c>
      <c r="M47" s="2">
        <f>M48-M46</f>
        <v>2516.09</v>
      </c>
    </row>
    <row r="48" spans="1:13" x14ac:dyDescent="0.35">
      <c r="I48" s="2">
        <f>(F66*K73+G66)/100*L48</f>
        <v>87.851718407757545</v>
      </c>
      <c r="J48" s="2">
        <f>L48-I48-K48</f>
        <v>409.54076937614707</v>
      </c>
      <c r="K48" s="2">
        <f>B66/100*L48</f>
        <v>515.60751221609542</v>
      </c>
      <c r="L48" s="2">
        <v>1013</v>
      </c>
      <c r="M48" s="2">
        <v>2798.4</v>
      </c>
    </row>
    <row r="50" spans="1:13" x14ac:dyDescent="0.35">
      <c r="J50" t="s">
        <v>378</v>
      </c>
    </row>
    <row r="51" spans="1:13" x14ac:dyDescent="0.35">
      <c r="I51" t="s">
        <v>371</v>
      </c>
      <c r="M51" t="s">
        <v>372</v>
      </c>
    </row>
    <row r="52" spans="1:13" x14ac:dyDescent="0.35">
      <c r="I52" t="s">
        <v>373</v>
      </c>
      <c r="J52" t="s">
        <v>301</v>
      </c>
      <c r="K52" t="s">
        <v>302</v>
      </c>
      <c r="L52" t="s">
        <v>62</v>
      </c>
      <c r="M52" t="s">
        <v>374</v>
      </c>
    </row>
    <row r="54" spans="1:13" x14ac:dyDescent="0.35">
      <c r="I54" s="2"/>
      <c r="J54" s="2"/>
      <c r="K54" s="2"/>
      <c r="L54" s="2">
        <v>83.55</v>
      </c>
      <c r="M54" s="2">
        <v>148.11000000000001</v>
      </c>
    </row>
    <row r="55" spans="1:13" x14ac:dyDescent="0.35">
      <c r="I55" s="2"/>
      <c r="J55" s="2"/>
      <c r="K55" s="2"/>
      <c r="L55" s="2">
        <f>L56-L54</f>
        <v>483.84999999999997</v>
      </c>
      <c r="M55" s="2">
        <f>M56-M54</f>
        <v>294.25</v>
      </c>
    </row>
    <row r="56" spans="1:13" x14ac:dyDescent="0.35">
      <c r="I56" s="2">
        <f>(F67*K73+G67)/100*L56</f>
        <v>65.818399999999997</v>
      </c>
      <c r="J56" s="2">
        <f>L56-K56-I56</f>
        <v>341.00739999999996</v>
      </c>
      <c r="K56" s="2">
        <f>B67/100*L56</f>
        <v>160.57420000000002</v>
      </c>
      <c r="L56" s="2">
        <v>567.4</v>
      </c>
      <c r="M56" s="2">
        <v>442.36</v>
      </c>
    </row>
    <row r="57" spans="1:13" x14ac:dyDescent="0.35">
      <c r="A57" t="s">
        <v>42</v>
      </c>
    </row>
    <row r="59" spans="1:13" x14ac:dyDescent="0.35">
      <c r="A59" t="s">
        <v>379</v>
      </c>
    </row>
    <row r="61" spans="1:13" x14ac:dyDescent="0.35">
      <c r="A61" t="s">
        <v>380</v>
      </c>
    </row>
    <row r="62" spans="1:13" x14ac:dyDescent="0.35">
      <c r="H62" t="s">
        <v>381</v>
      </c>
    </row>
    <row r="63" spans="1:13" x14ac:dyDescent="0.35">
      <c r="B63" t="s">
        <v>382</v>
      </c>
      <c r="C63" t="s">
        <v>383</v>
      </c>
      <c r="E63" t="s">
        <v>384</v>
      </c>
      <c r="G63" t="s">
        <v>385</v>
      </c>
      <c r="H63" t="s">
        <v>386</v>
      </c>
    </row>
    <row r="64" spans="1:13" x14ac:dyDescent="0.35">
      <c r="A64" t="s">
        <v>387</v>
      </c>
      <c r="B64" t="s">
        <v>388</v>
      </c>
      <c r="C64" t="s">
        <v>389</v>
      </c>
      <c r="D64" t="s">
        <v>390</v>
      </c>
      <c r="E64" t="s">
        <v>389</v>
      </c>
      <c r="F64" t="s">
        <v>390</v>
      </c>
      <c r="H64" t="s">
        <v>391</v>
      </c>
    </row>
    <row r="66" spans="1:11" x14ac:dyDescent="0.35">
      <c r="A66" t="s">
        <v>392</v>
      </c>
      <c r="B66" s="2">
        <v>50.899063397442788</v>
      </c>
      <c r="C66" s="2">
        <v>18.707195941644247</v>
      </c>
      <c r="D66" s="2">
        <v>13.868882678249717</v>
      </c>
      <c r="E66" s="2">
        <v>7.8152801580126319</v>
      </c>
      <c r="F66" s="2">
        <v>5.2368396303841545</v>
      </c>
      <c r="G66" s="2">
        <v>3.4355906171733532</v>
      </c>
      <c r="H66" s="2">
        <v>3.1763521897506517</v>
      </c>
    </row>
    <row r="67" spans="1:11" x14ac:dyDescent="0.35">
      <c r="A67" t="s">
        <v>393</v>
      </c>
      <c r="B67" s="2">
        <v>28.3</v>
      </c>
      <c r="C67" s="2">
        <v>13.1</v>
      </c>
      <c r="D67" s="2">
        <v>21.3</v>
      </c>
      <c r="E67" s="2">
        <v>25.8</v>
      </c>
      <c r="F67" s="2">
        <v>10.7</v>
      </c>
      <c r="G67" s="2">
        <v>0.9</v>
      </c>
      <c r="H67" s="2">
        <v>4.5</v>
      </c>
    </row>
    <row r="69" spans="1:11" x14ac:dyDescent="0.35">
      <c r="A69" t="s">
        <v>394</v>
      </c>
      <c r="B69" s="2">
        <v>1.3215766414890477</v>
      </c>
      <c r="C69" s="2">
        <v>3.4292493147575436</v>
      </c>
      <c r="D69" s="2">
        <v>20.871008738264372</v>
      </c>
      <c r="E69" s="2">
        <v>24.854635631224976</v>
      </c>
      <c r="F69" s="2">
        <v>25.774646419625476</v>
      </c>
      <c r="G69" s="2">
        <v>23.718572415903626</v>
      </c>
      <c r="H69" s="2">
        <v>10.6432547260566</v>
      </c>
    </row>
    <row r="71" spans="1:11" x14ac:dyDescent="0.35">
      <c r="A71" t="s">
        <v>395</v>
      </c>
    </row>
    <row r="73" spans="1:11" x14ac:dyDescent="0.35">
      <c r="A73" s="4" t="s">
        <v>489</v>
      </c>
      <c r="K73">
        <v>1</v>
      </c>
    </row>
    <row r="75" spans="1:11" x14ac:dyDescent="0.35">
      <c r="A75" t="s">
        <v>397</v>
      </c>
      <c r="F75" t="s">
        <v>398</v>
      </c>
      <c r="I75" t="s">
        <v>399</v>
      </c>
    </row>
    <row r="76" spans="1:11" x14ac:dyDescent="0.35">
      <c r="A76" t="s">
        <v>400</v>
      </c>
      <c r="F76" t="s">
        <v>401</v>
      </c>
      <c r="I76" t="s">
        <v>402</v>
      </c>
    </row>
    <row r="78" spans="1:11" x14ac:dyDescent="0.35">
      <c r="A78" t="s">
        <v>403</v>
      </c>
      <c r="G78">
        <v>76.91</v>
      </c>
      <c r="J78">
        <v>61.83</v>
      </c>
    </row>
    <row r="79" spans="1:11" x14ac:dyDescent="0.35">
      <c r="A79" t="s">
        <v>404</v>
      </c>
      <c r="G79">
        <v>12.66</v>
      </c>
      <c r="J79">
        <v>14.73</v>
      </c>
    </row>
    <row r="80" spans="1:11" x14ac:dyDescent="0.35">
      <c r="A80" t="s">
        <v>405</v>
      </c>
      <c r="G80">
        <f>100-G79-G78</f>
        <v>10.430000000000007</v>
      </c>
      <c r="J80">
        <v>23.44</v>
      </c>
    </row>
    <row r="81" spans="1:16" x14ac:dyDescent="0.35">
      <c r="G81">
        <f>G78+G79+G80</f>
        <v>100</v>
      </c>
      <c r="J81">
        <f>J78+J79+J80</f>
        <v>100</v>
      </c>
    </row>
    <row r="83" spans="1:16" x14ac:dyDescent="0.35">
      <c r="A83" t="s">
        <v>406</v>
      </c>
    </row>
    <row r="86" spans="1:16" x14ac:dyDescent="0.35">
      <c r="A86" t="s">
        <v>407</v>
      </c>
      <c r="G86" s="1">
        <v>9.41</v>
      </c>
      <c r="H86" s="1"/>
      <c r="I86" s="1"/>
      <c r="J86" s="200">
        <v>1.24</v>
      </c>
      <c r="K86" s="3" t="s">
        <v>503</v>
      </c>
      <c r="L86" s="3"/>
      <c r="M86" s="3"/>
      <c r="N86" s="3"/>
      <c r="O86" s="3"/>
      <c r="P86" s="3"/>
    </row>
    <row r="87" spans="1:16" x14ac:dyDescent="0.35">
      <c r="A87" t="s">
        <v>408</v>
      </c>
      <c r="G87" s="1">
        <v>0.31280000000000002</v>
      </c>
      <c r="H87" s="1"/>
      <c r="I87" s="1"/>
      <c r="J87" s="1">
        <v>0.16120000000000001</v>
      </c>
    </row>
    <row r="88" spans="1:16" x14ac:dyDescent="0.35">
      <c r="A88" t="s">
        <v>409</v>
      </c>
      <c r="G88" s="1">
        <v>1.58</v>
      </c>
      <c r="H88" s="1"/>
      <c r="I88" s="1"/>
      <c r="J88" s="1">
        <v>1.7</v>
      </c>
    </row>
    <row r="89" spans="1:16" x14ac:dyDescent="0.35">
      <c r="A89" t="s">
        <v>410</v>
      </c>
      <c r="G89" s="1">
        <f>(1-G87)*G86+G87*G86*G88</f>
        <v>11.117199840000001</v>
      </c>
      <c r="H89" s="1"/>
      <c r="I89" s="1"/>
      <c r="J89" s="1">
        <f>(1-J87)*J86+J87*J86*J88</f>
        <v>1.3799215999999999</v>
      </c>
    </row>
    <row r="91" spans="1:16" x14ac:dyDescent="0.35">
      <c r="A91" t="s">
        <v>411</v>
      </c>
      <c r="G91" s="1">
        <v>0.50236000000000003</v>
      </c>
      <c r="H91" s="1"/>
      <c r="I91" s="1"/>
      <c r="J91" s="1">
        <v>0.13247999999999999</v>
      </c>
    </row>
    <row r="92" spans="1:16" x14ac:dyDescent="0.35">
      <c r="A92" t="s">
        <v>412</v>
      </c>
      <c r="G92" s="1">
        <v>2.0784458816</v>
      </c>
      <c r="H92" s="1"/>
      <c r="I92" s="1"/>
      <c r="J92" s="1">
        <v>3.1451103813999999</v>
      </c>
    </row>
    <row r="93" spans="1:16" x14ac:dyDescent="0.35">
      <c r="A93" t="s">
        <v>413</v>
      </c>
      <c r="G93" s="1">
        <f>G95*G89/G91</f>
        <v>14.987013044188641</v>
      </c>
      <c r="J93" s="1">
        <f>J95*J89/J91</f>
        <v>3.3795818939678934</v>
      </c>
    </row>
    <row r="94" spans="1:16" x14ac:dyDescent="0.35">
      <c r="A94" t="s">
        <v>414</v>
      </c>
      <c r="G94" s="1">
        <f>G93/G92</f>
        <v>7.2106823549581911</v>
      </c>
      <c r="J94" s="1">
        <f>J93/J92</f>
        <v>1.0745511235327525</v>
      </c>
    </row>
    <row r="95" spans="1:16" x14ac:dyDescent="0.35">
      <c r="A95" t="s">
        <v>415</v>
      </c>
      <c r="G95" s="1">
        <f>(G91*G92)/(G91*G92+(1-G91))</f>
        <v>0.67722771752195154</v>
      </c>
      <c r="J95" s="1">
        <f>(J91*J92)/(J91*J92+(1-J91))</f>
        <v>0.32445829481389848</v>
      </c>
    </row>
    <row r="97" spans="1:11" x14ac:dyDescent="0.35">
      <c r="A97" t="s">
        <v>416</v>
      </c>
    </row>
    <row r="99" spans="1:11" x14ac:dyDescent="0.35">
      <c r="A99" t="s">
        <v>417</v>
      </c>
      <c r="G99">
        <f>G262</f>
        <v>1900</v>
      </c>
      <c r="J99">
        <f>K262</f>
        <v>2400</v>
      </c>
      <c r="K99" t="s">
        <v>366</v>
      </c>
    </row>
    <row r="101" spans="1:11" x14ac:dyDescent="0.35">
      <c r="A101" t="s">
        <v>418</v>
      </c>
      <c r="G101" s="54">
        <f ca="1">G122/G140*G99</f>
        <v>27464.152510726821</v>
      </c>
      <c r="H101" s="54"/>
      <c r="I101" s="54"/>
      <c r="J101" s="54">
        <f ca="1">J122/J140*J99</f>
        <v>5356.3186802523041</v>
      </c>
    </row>
    <row r="102" spans="1:11" x14ac:dyDescent="0.35">
      <c r="A102" t="s">
        <v>419</v>
      </c>
      <c r="G102" s="54">
        <f>E25*1000/F38</f>
        <v>26915.18817204301</v>
      </c>
      <c r="H102" s="54"/>
      <c r="I102" s="54"/>
      <c r="J102" s="54">
        <f>G25*1000/L38</f>
        <v>1708.2024884118077</v>
      </c>
    </row>
    <row r="104" spans="1:11" x14ac:dyDescent="0.35">
      <c r="A104" t="s">
        <v>420</v>
      </c>
    </row>
    <row r="106" spans="1:11" x14ac:dyDescent="0.35">
      <c r="A106" t="s">
        <v>418</v>
      </c>
      <c r="G106" s="2">
        <f ca="1">(G145/10)/(G140/G99)</f>
        <v>26.533359057434403</v>
      </c>
      <c r="H106" s="2"/>
      <c r="I106" s="2"/>
      <c r="J106" s="2">
        <f ca="1">(J145/10)/(J140/J99)</f>
        <v>6.167441448724901</v>
      </c>
    </row>
    <row r="107" spans="1:11" x14ac:dyDescent="0.35">
      <c r="A107" t="s">
        <v>419</v>
      </c>
      <c r="G107" s="2">
        <f>G38/F38</f>
        <v>32.54032258064516</v>
      </c>
      <c r="H107" s="2"/>
      <c r="I107" s="2"/>
      <c r="J107" s="2">
        <f>M38/L38</f>
        <v>2.1001219809709686</v>
      </c>
    </row>
    <row r="108" spans="1:11" x14ac:dyDescent="0.35">
      <c r="A108" t="s">
        <v>42</v>
      </c>
    </row>
    <row r="109" spans="1:11" x14ac:dyDescent="0.35">
      <c r="A109" t="s">
        <v>45</v>
      </c>
    </row>
    <row r="111" spans="1:11" x14ac:dyDescent="0.35">
      <c r="A111" t="s">
        <v>47</v>
      </c>
    </row>
    <row r="113" spans="1:11" x14ac:dyDescent="0.35">
      <c r="A113" t="s">
        <v>421</v>
      </c>
    </row>
    <row r="115" spans="1:11" x14ac:dyDescent="0.35">
      <c r="F115" t="s">
        <v>398</v>
      </c>
      <c r="I115" t="s">
        <v>399</v>
      </c>
    </row>
    <row r="116" spans="1:11" x14ac:dyDescent="0.35">
      <c r="F116" t="s">
        <v>401</v>
      </c>
      <c r="I116" t="s">
        <v>402</v>
      </c>
    </row>
    <row r="117" spans="1:11" x14ac:dyDescent="0.35">
      <c r="A117" t="s">
        <v>38</v>
      </c>
    </row>
    <row r="118" spans="1:11" x14ac:dyDescent="0.35">
      <c r="A118" t="s">
        <v>422</v>
      </c>
      <c r="G118" s="1">
        <f>56.4+124.6</f>
        <v>181</v>
      </c>
      <c r="H118" s="1"/>
      <c r="I118" s="1"/>
      <c r="J118" s="1">
        <f>41.6+238.3</f>
        <v>279.90000000000003</v>
      </c>
    </row>
    <row r="119" spans="1:11" x14ac:dyDescent="0.35">
      <c r="A119" t="s">
        <v>423</v>
      </c>
      <c r="G119" s="1"/>
      <c r="H119" s="1"/>
      <c r="I119" s="1"/>
      <c r="J119" s="1">
        <v>196.3</v>
      </c>
    </row>
    <row r="120" spans="1:11" x14ac:dyDescent="0.35">
      <c r="A120" t="s">
        <v>39</v>
      </c>
      <c r="G120" s="1"/>
      <c r="H120" s="1"/>
      <c r="I120" s="1"/>
      <c r="J120" s="1"/>
    </row>
    <row r="121" spans="1:11" x14ac:dyDescent="0.35">
      <c r="A121" t="s">
        <v>424</v>
      </c>
      <c r="F121" s="138"/>
      <c r="G121" s="1">
        <v>216.1</v>
      </c>
      <c r="H121" s="1"/>
      <c r="I121" s="1"/>
      <c r="J121" s="1">
        <v>153.6</v>
      </c>
    </row>
    <row r="122" spans="1:11" x14ac:dyDescent="0.35">
      <c r="A122" t="s">
        <v>33</v>
      </c>
      <c r="F122" s="138"/>
      <c r="G122" s="1">
        <f ca="1">G126-G121-G118</f>
        <v>602.90000000001362</v>
      </c>
      <c r="H122" s="1"/>
      <c r="I122" s="1"/>
      <c r="J122" s="1">
        <f ca="1">J126-J121-J119-J118</f>
        <v>370.20000000000215</v>
      </c>
    </row>
    <row r="123" spans="1:11" x14ac:dyDescent="0.35">
      <c r="A123" t="s">
        <v>425</v>
      </c>
      <c r="F123" s="138"/>
      <c r="G123" s="1">
        <f ca="1">G78/100*G122*G95</f>
        <v>314.02398445657064</v>
      </c>
      <c r="H123" s="1"/>
      <c r="I123" s="1"/>
      <c r="J123" s="1">
        <f ca="1">J78/100*J122*J95</f>
        <v>74.26677107560748</v>
      </c>
    </row>
    <row r="124" spans="1:11" x14ac:dyDescent="0.35">
      <c r="A124" t="s">
        <v>426</v>
      </c>
      <c r="F124" s="138"/>
      <c r="G124" s="1">
        <f ca="1">G78/100*G122*(1-G95)</f>
        <v>149.66640554343985</v>
      </c>
      <c r="H124" s="1"/>
      <c r="I124" s="1"/>
      <c r="J124" s="1">
        <f ca="1">J78/100*J122*(1-J95)</f>
        <v>154.62788892439383</v>
      </c>
    </row>
    <row r="125" spans="1:11" x14ac:dyDescent="0.35">
      <c r="A125" t="s">
        <v>22</v>
      </c>
      <c r="F125" s="138"/>
      <c r="G125" s="1">
        <f ca="1">G122-G123-G124</f>
        <v>139.20961000000312</v>
      </c>
      <c r="H125" s="1"/>
      <c r="I125" s="1"/>
      <c r="J125" s="1">
        <f ca="1">J122-J123-J124</f>
        <v>141.30534000000083</v>
      </c>
      <c r="K125" s="2"/>
    </row>
    <row r="126" spans="1:11" x14ac:dyDescent="0.35">
      <c r="A126" t="s">
        <v>40</v>
      </c>
      <c r="G126" s="1">
        <f ca="1">G118+G119+G121+G122</f>
        <v>1000.0000000000136</v>
      </c>
      <c r="H126" s="1"/>
      <c r="I126" s="1"/>
      <c r="J126" s="1">
        <f ca="1">J118+J119+J121+J122</f>
        <v>1000.0000000000023</v>
      </c>
    </row>
    <row r="127" spans="1:11" x14ac:dyDescent="0.35">
      <c r="G127" s="1"/>
      <c r="H127" s="1"/>
      <c r="I127" s="1"/>
      <c r="J127" s="1"/>
    </row>
    <row r="128" spans="1:11" x14ac:dyDescent="0.35">
      <c r="G128" s="1"/>
      <c r="H128" s="1"/>
      <c r="I128" s="1"/>
      <c r="J128" s="1"/>
    </row>
    <row r="129" spans="1:11" x14ac:dyDescent="0.35">
      <c r="A129" t="s">
        <v>46</v>
      </c>
      <c r="G129" s="1"/>
      <c r="H129" s="1"/>
      <c r="I129" s="1"/>
      <c r="J129" s="1"/>
    </row>
    <row r="130" spans="1:11" x14ac:dyDescent="0.35">
      <c r="A130" t="s">
        <v>427</v>
      </c>
      <c r="G130" s="1">
        <f>G93</f>
        <v>14.987013044188641</v>
      </c>
      <c r="H130" s="1"/>
      <c r="I130" s="1"/>
      <c r="J130" s="1">
        <f>J93</f>
        <v>3.3795818939678934</v>
      </c>
    </row>
    <row r="131" spans="1:11" x14ac:dyDescent="0.35">
      <c r="A131" t="s">
        <v>428</v>
      </c>
      <c r="G131" s="1">
        <v>100</v>
      </c>
      <c r="H131" s="1"/>
      <c r="I131" s="1"/>
      <c r="J131" s="1">
        <v>50</v>
      </c>
    </row>
    <row r="132" spans="1:11" x14ac:dyDescent="0.35">
      <c r="A132" t="s">
        <v>26</v>
      </c>
      <c r="G132" s="1">
        <f>G130/G131*100</f>
        <v>14.987013044188641</v>
      </c>
      <c r="H132" s="1"/>
      <c r="I132" s="1"/>
      <c r="J132" s="1">
        <f>J130/J131*100</f>
        <v>6.7591637879357878</v>
      </c>
    </row>
    <row r="133" spans="1:11" x14ac:dyDescent="0.35">
      <c r="A133" t="s">
        <v>429</v>
      </c>
      <c r="G133" s="1">
        <f>G94</f>
        <v>7.2106823549581911</v>
      </c>
      <c r="H133" s="1"/>
      <c r="I133" s="1"/>
      <c r="J133" s="1">
        <f>J94</f>
        <v>1.0745511235327525</v>
      </c>
    </row>
    <row r="134" spans="1:11" x14ac:dyDescent="0.35">
      <c r="A134" t="s">
        <v>20</v>
      </c>
      <c r="G134" s="1">
        <v>100</v>
      </c>
      <c r="H134" s="1"/>
      <c r="I134" s="1"/>
      <c r="J134" s="1">
        <v>60.1</v>
      </c>
    </row>
    <row r="135" spans="1:11" x14ac:dyDescent="0.35">
      <c r="A135" t="s">
        <v>23</v>
      </c>
      <c r="G135" s="1">
        <v>23.9</v>
      </c>
      <c r="H135" s="1"/>
      <c r="I135" s="1"/>
      <c r="J135" s="1">
        <v>33.15</v>
      </c>
    </row>
    <row r="136" spans="1:11" x14ac:dyDescent="0.35">
      <c r="A136" t="s">
        <v>25</v>
      </c>
      <c r="G136" s="1">
        <f>G134*G135/100</f>
        <v>23.9</v>
      </c>
      <c r="H136" s="1"/>
      <c r="I136" s="1"/>
      <c r="J136" s="1">
        <f>J134*J135/100</f>
        <v>19.92315</v>
      </c>
    </row>
    <row r="137" spans="1:11" x14ac:dyDescent="0.35">
      <c r="G137" s="1"/>
      <c r="H137" s="1"/>
      <c r="I137" s="1"/>
      <c r="J137" s="1"/>
    </row>
    <row r="138" spans="1:11" x14ac:dyDescent="0.35">
      <c r="A138" t="s">
        <v>430</v>
      </c>
      <c r="G138" s="1"/>
      <c r="H138" s="1"/>
      <c r="I138" s="1"/>
      <c r="J138" s="1"/>
    </row>
    <row r="139" spans="1:11" x14ac:dyDescent="0.35">
      <c r="A139" t="s">
        <v>431</v>
      </c>
      <c r="G139" s="1"/>
      <c r="H139" s="1"/>
      <c r="I139" s="1"/>
      <c r="J139" s="1"/>
    </row>
    <row r="140" spans="1:11" x14ac:dyDescent="0.35">
      <c r="A140" t="s">
        <v>24</v>
      </c>
      <c r="G140" s="1">
        <f ca="1">G141+G142</f>
        <v>41.709279015713953</v>
      </c>
      <c r="H140" s="1"/>
      <c r="I140" s="1"/>
      <c r="J140" s="1">
        <f ca="1">J141+J142</f>
        <v>165.87511928213991</v>
      </c>
    </row>
    <row r="141" spans="1:11" x14ac:dyDescent="0.35">
      <c r="A141" t="s">
        <v>432</v>
      </c>
      <c r="G141" s="1">
        <f ca="1">G123/G130</f>
        <v>20.953073406334056</v>
      </c>
      <c r="H141" s="1"/>
      <c r="I141" s="1"/>
      <c r="J141" s="1">
        <f ca="1">J123/J130</f>
        <v>21.975135802497888</v>
      </c>
      <c r="K141" s="188"/>
    </row>
    <row r="142" spans="1:11" x14ac:dyDescent="0.35">
      <c r="A142" t="s">
        <v>433</v>
      </c>
      <c r="G142" s="1">
        <f ca="1">G124/G133</f>
        <v>20.756205609379897</v>
      </c>
      <c r="H142" s="1"/>
      <c r="I142" s="1"/>
      <c r="J142" s="1">
        <f ca="1">J124/J133</f>
        <v>143.899983479642</v>
      </c>
    </row>
    <row r="143" spans="1:11" x14ac:dyDescent="0.35">
      <c r="A143" t="s">
        <v>27</v>
      </c>
      <c r="G143" s="1">
        <f ca="1">(G123/G132)</f>
        <v>20.953073406334056</v>
      </c>
      <c r="H143" s="1"/>
      <c r="I143" s="1"/>
      <c r="J143" s="1">
        <f ca="1">J123/J132</f>
        <v>10.987567901248942</v>
      </c>
    </row>
    <row r="144" spans="1:11" x14ac:dyDescent="0.35">
      <c r="A144" t="s">
        <v>19</v>
      </c>
      <c r="G144" s="1">
        <f ca="1">G125/(G134*G135/100)</f>
        <v>5.8246698744771184</v>
      </c>
      <c r="H144" s="1"/>
      <c r="I144" s="1"/>
      <c r="J144" s="1">
        <f ca="1">J125/(J134*J135/100)</f>
        <v>7.0925200081312862</v>
      </c>
    </row>
    <row r="145" spans="1:12" x14ac:dyDescent="0.35">
      <c r="A145" t="s">
        <v>434</v>
      </c>
      <c r="G145" s="1">
        <f ca="1">G125/G135</f>
        <v>5.8246698744771184</v>
      </c>
      <c r="H145" s="1"/>
      <c r="I145" s="1"/>
      <c r="J145" s="1">
        <f ca="1">J125/J135</f>
        <v>4.2626045248869033</v>
      </c>
      <c r="K145" t="s">
        <v>366</v>
      </c>
    </row>
    <row r="147" spans="1:12" x14ac:dyDescent="0.35">
      <c r="A147" t="s">
        <v>435</v>
      </c>
    </row>
    <row r="148" spans="1:12" x14ac:dyDescent="0.35">
      <c r="A148" t="s">
        <v>11</v>
      </c>
    </row>
    <row r="149" spans="1:12" x14ac:dyDescent="0.35">
      <c r="A149" t="s">
        <v>4</v>
      </c>
      <c r="G149">
        <v>0.1</v>
      </c>
      <c r="J149">
        <v>0.1</v>
      </c>
    </row>
    <row r="150" spans="1:12" x14ac:dyDescent="0.35">
      <c r="A150" s="7" t="s">
        <v>436</v>
      </c>
      <c r="B150" s="7"/>
      <c r="C150" s="7"/>
      <c r="D150" s="7"/>
      <c r="E150" s="7"/>
      <c r="F150" s="7"/>
      <c r="G150" s="7">
        <v>0.5</v>
      </c>
      <c r="H150" s="7"/>
      <c r="I150" s="7"/>
      <c r="J150" s="7">
        <v>0.5</v>
      </c>
      <c r="K150" s="7"/>
      <c r="L150" s="7"/>
    </row>
    <row r="152" spans="1:12" x14ac:dyDescent="0.35">
      <c r="A152" t="s">
        <v>16</v>
      </c>
    </row>
    <row r="153" spans="1:12" x14ac:dyDescent="0.35">
      <c r="A153" t="s">
        <v>5</v>
      </c>
      <c r="G153" s="2">
        <f>(1/G149)-1</f>
        <v>9</v>
      </c>
      <c r="H153" s="2"/>
      <c r="I153" s="2"/>
      <c r="J153" s="2">
        <f>(1/J149)-1</f>
        <v>9</v>
      </c>
    </row>
    <row r="154" spans="1:12" x14ac:dyDescent="0.35">
      <c r="A154" t="s">
        <v>7</v>
      </c>
      <c r="G154" s="2">
        <f>(1/G150)-1</f>
        <v>1</v>
      </c>
      <c r="H154" s="2"/>
      <c r="I154" s="2"/>
      <c r="J154" s="2">
        <f>(1/J150)-1</f>
        <v>1</v>
      </c>
    </row>
    <row r="155" spans="1:12" x14ac:dyDescent="0.35">
      <c r="G155" s="188"/>
      <c r="H155" s="188"/>
      <c r="I155" s="188"/>
      <c r="J155" s="188"/>
    </row>
    <row r="156" spans="1:12" x14ac:dyDescent="0.35">
      <c r="A156" t="s">
        <v>9</v>
      </c>
      <c r="G156" s="188"/>
      <c r="H156" s="188"/>
      <c r="I156" s="188"/>
      <c r="J156" s="188"/>
    </row>
    <row r="157" spans="1:12" x14ac:dyDescent="0.35">
      <c r="A157" t="s">
        <v>6</v>
      </c>
      <c r="G157" s="189">
        <f ca="1">((G125/G123*(G144/G143)^G153))/(1+((G125/G123*(G144/G143)^G153)))</f>
        <v>4.3945733791587216E-6</v>
      </c>
      <c r="H157" s="189"/>
      <c r="I157" s="189"/>
      <c r="J157" s="189">
        <f ca="1">((J125/J123*(J144/J143)^J153))/(1+((J125/J123*(J144/J143)^J153)))</f>
        <v>3.5699917695617152E-2</v>
      </c>
    </row>
    <row r="158" spans="1:12" x14ac:dyDescent="0.35">
      <c r="A158" t="s">
        <v>437</v>
      </c>
      <c r="G158" s="188">
        <f ca="1">(G124/(G123+G125)*(G142/(G143+G144))^G154)/(1+(G124/(G123+G125)*(G142/(G143+G144))^G154))</f>
        <v>0.2037978402728417</v>
      </c>
      <c r="H158" s="188"/>
      <c r="I158" s="188"/>
      <c r="J158" s="188">
        <f ca="1">(J124/(J123+J125)*(J142/(J143+J144))^J154)/(1+(J124/(J123+J125)*(J142/(J143+J144))^J154))</f>
        <v>0.8509451507891832</v>
      </c>
    </row>
    <row r="159" spans="1:12" x14ac:dyDescent="0.35">
      <c r="G159" s="188"/>
      <c r="H159" s="188"/>
      <c r="I159" s="188"/>
      <c r="J159" s="188"/>
    </row>
    <row r="160" spans="1:12" x14ac:dyDescent="0.35">
      <c r="A160" t="s">
        <v>10</v>
      </c>
      <c r="G160" s="188"/>
      <c r="H160" s="188"/>
      <c r="I160" s="188"/>
      <c r="J160" s="188"/>
      <c r="L160" s="188"/>
    </row>
    <row r="161" spans="1:15" x14ac:dyDescent="0.35">
      <c r="A161" t="s">
        <v>5</v>
      </c>
      <c r="G161" s="188">
        <f ca="1">(G143+G144)/(((G157*(G144^(-1*G153)))+((1-G157)*(G143^(-1*G153))))^(-1/G153))</f>
        <v>1.3311672152260985</v>
      </c>
      <c r="H161" s="188"/>
      <c r="I161" s="188"/>
      <c r="J161" s="188">
        <f ca="1">(J143+J144)/(((J157*(J144^(-1*J153)))+((1-J157)*(J143^(-1*J153))))^(-1/J153))</f>
        <v>1.8448742527763269</v>
      </c>
      <c r="L161" s="188"/>
    </row>
    <row r="162" spans="1:15" x14ac:dyDescent="0.35">
      <c r="A162" t="s">
        <v>8</v>
      </c>
      <c r="G162" s="188">
        <f ca="1">1/(((G158*(G142^(-1*G154)))+((1-G158)*((G143+G144)^(-1*G154))))^(-1/G154))</f>
        <v>3.9552375162524883E-2</v>
      </c>
      <c r="H162" s="188"/>
      <c r="I162" s="188"/>
      <c r="J162" s="188">
        <f ca="1">1/(((J158*(J142^(-1*J154)))+((1-J158)*((J143+J144)^(-1*J154))))^(-1/J154))</f>
        <v>1.4157592617569404E-2</v>
      </c>
      <c r="L162" s="188"/>
    </row>
    <row r="163" spans="1:15" x14ac:dyDescent="0.35">
      <c r="A163" t="s">
        <v>42</v>
      </c>
    </row>
    <row r="164" spans="1:15" x14ac:dyDescent="0.35">
      <c r="A164" t="s">
        <v>55</v>
      </c>
    </row>
    <row r="165" spans="1:15" x14ac:dyDescent="0.35">
      <c r="F165" t="s">
        <v>399</v>
      </c>
      <c r="I165" t="s">
        <v>398</v>
      </c>
    </row>
    <row r="166" spans="1:15" x14ac:dyDescent="0.35">
      <c r="F166" t="s">
        <v>401</v>
      </c>
      <c r="I166" t="s">
        <v>402</v>
      </c>
    </row>
    <row r="167" spans="1:15" x14ac:dyDescent="0.35">
      <c r="A167" t="s">
        <v>17</v>
      </c>
      <c r="G167" s="2">
        <f ca="1">(1/J161)*(((G136/(J157^(-1/J153)))^(J153/(J153+1))+((G132/((1-J157)^(-1/J153)))^(J153/(J153+1))))^((J153+1)/J153))</f>
        <v>18.398218866923617</v>
      </c>
      <c r="H167" s="2"/>
      <c r="I167" s="2"/>
      <c r="J167" s="2">
        <f ca="1">(1/G161)*((((J136/(G157^(-1/G153)))^(G153/(G153+1)))+((J132/((1-G157)^(-1/G153)))^(G153/(G153+1))))^((G153+1)/G153))</f>
        <v>9.5794493502190434</v>
      </c>
    </row>
    <row r="168" spans="1:15" x14ac:dyDescent="0.35">
      <c r="A168" t="s">
        <v>438</v>
      </c>
      <c r="G168" s="2">
        <f ca="1">(1/J162)*((((G133/(J158^(-1/J154)))^(J154/(J154+1)))+((G167/((1-J158)^(-1/J154)))^(J154/(J154+1))))^((J154+1)/J154))</f>
        <v>1206.5836169380298</v>
      </c>
      <c r="H168" s="2"/>
      <c r="I168" s="2"/>
      <c r="J168" s="2">
        <f ca="1">(1/G162)*((((J133/(G158^(-1/G154)))^(G154/(G154+1)))+((J167/((1-G158)^(-1/G154)))^(G154/(G154+1))))^((G154+1)/G154))</f>
        <v>263.72523702309383</v>
      </c>
    </row>
    <row r="169" spans="1:15" x14ac:dyDescent="0.35">
      <c r="G169" s="190"/>
      <c r="H169" s="190"/>
      <c r="I169" s="190"/>
      <c r="J169" s="190"/>
    </row>
    <row r="170" spans="1:15" x14ac:dyDescent="0.35">
      <c r="A170" s="191" t="s">
        <v>439</v>
      </c>
      <c r="B170" s="191"/>
      <c r="C170" s="191"/>
      <c r="D170" s="191"/>
      <c r="E170" s="191"/>
      <c r="F170" s="191"/>
      <c r="G170" s="192">
        <f ca="1">((1+$J$211)*$J$118+(1-$J$212)*$J$119+$J$121+$G$168)/1000</f>
        <v>1.8425700169380297</v>
      </c>
      <c r="H170" s="192"/>
      <c r="I170" s="192"/>
      <c r="J170" s="193">
        <f ca="1">((1+J211)*G118+G121+J168)/1000</f>
        <v>0.67421923702309394</v>
      </c>
      <c r="K170" s="7"/>
      <c r="L170" s="15"/>
      <c r="M170" s="7"/>
      <c r="N170" s="7"/>
      <c r="O170" s="7"/>
    </row>
    <row r="171" spans="1:15" x14ac:dyDescent="0.35">
      <c r="K171" s="7"/>
      <c r="L171" s="15"/>
      <c r="M171" s="7"/>
      <c r="N171" s="7"/>
      <c r="O171" s="7"/>
    </row>
    <row r="172" spans="1:15" x14ac:dyDescent="0.35">
      <c r="A172" t="s">
        <v>51</v>
      </c>
      <c r="K172" s="7"/>
      <c r="L172" s="15"/>
      <c r="M172" s="7"/>
      <c r="N172" s="7"/>
      <c r="O172" s="7"/>
    </row>
    <row r="173" spans="1:15" x14ac:dyDescent="0.35">
      <c r="G173" t="s">
        <v>41</v>
      </c>
      <c r="J173" t="s">
        <v>41</v>
      </c>
      <c r="K173" s="7"/>
      <c r="L173" s="15"/>
      <c r="M173" s="7"/>
      <c r="N173" s="7"/>
      <c r="O173" s="7"/>
    </row>
    <row r="174" spans="1:15" x14ac:dyDescent="0.35">
      <c r="A174" t="s">
        <v>38</v>
      </c>
      <c r="K174" s="7"/>
      <c r="L174" s="15"/>
      <c r="M174" s="7"/>
      <c r="N174" s="7"/>
      <c r="O174" s="7"/>
    </row>
    <row r="175" spans="1:15" x14ac:dyDescent="0.35">
      <c r="A175" t="s">
        <v>440</v>
      </c>
      <c r="F175" s="1">
        <f>(1+$J$211)*$J$118</f>
        <v>300.61260000000004</v>
      </c>
      <c r="G175" s="1">
        <f ca="1">(1+$J$211)*$J$118/(G170*1000)*100</f>
        <v>16.314853559787977</v>
      </c>
      <c r="H175" s="1"/>
      <c r="I175" s="193">
        <f>(1+$J$211)*$G$118</f>
        <v>194.39400000000001</v>
      </c>
      <c r="J175" s="193">
        <f ca="1">(1+$J$211)*$G$118/(J170*1000)*100</f>
        <v>28.832461212218639</v>
      </c>
      <c r="K175" s="7"/>
      <c r="L175" s="15"/>
      <c r="M175" s="7"/>
      <c r="N175" s="7"/>
      <c r="O175" s="7"/>
    </row>
    <row r="176" spans="1:15" x14ac:dyDescent="0.35">
      <c r="A176" t="s">
        <v>441</v>
      </c>
      <c r="F176" s="1">
        <f>((1-$J$212)*$J$119)</f>
        <v>181.77380000000002</v>
      </c>
      <c r="G176" s="1">
        <f ca="1">((1-$J$212)*$J$119)/(G170*1000)*100</f>
        <v>9.8652316237116722</v>
      </c>
      <c r="H176" s="1"/>
      <c r="I176" s="1">
        <f>((1-$J$212)*$G$119)</f>
        <v>0</v>
      </c>
      <c r="J176" s="1">
        <f ca="1">((1-$J$212)*$G$119)/(J170*1000)*100</f>
        <v>0</v>
      </c>
      <c r="K176" s="7"/>
      <c r="L176" s="15"/>
      <c r="M176" s="7"/>
      <c r="N176" s="7"/>
      <c r="O176" s="7"/>
    </row>
    <row r="177" spans="1:10" x14ac:dyDescent="0.35">
      <c r="A177" t="s">
        <v>39</v>
      </c>
      <c r="F177" s="1"/>
      <c r="G177" s="1"/>
      <c r="H177" s="1"/>
      <c r="I177" s="1"/>
      <c r="J177" s="1"/>
    </row>
    <row r="178" spans="1:10" x14ac:dyDescent="0.35">
      <c r="A178" t="s">
        <v>442</v>
      </c>
      <c r="F178" s="192">
        <f>$J$121</f>
        <v>153.6</v>
      </c>
      <c r="G178" s="192">
        <f ca="1">$J$121/(G170*1000)*100</f>
        <v>8.3361825378691137</v>
      </c>
      <c r="H178" s="192"/>
      <c r="I178" s="192">
        <f>$G$121</f>
        <v>216.1</v>
      </c>
      <c r="J178" s="192">
        <f ca="1">$G$121/(J170*1000)*100</f>
        <v>32.051888782372131</v>
      </c>
    </row>
    <row r="179" spans="1:10" x14ac:dyDescent="0.35">
      <c r="A179" t="s">
        <v>33</v>
      </c>
      <c r="F179" s="1">
        <f ca="1">G168</f>
        <v>1206.5836169380298</v>
      </c>
      <c r="G179" s="1">
        <f ca="1">G168/(G170*1000)*100</f>
        <v>65.483732278631251</v>
      </c>
      <c r="H179" s="1"/>
      <c r="I179" s="14">
        <f ca="1">J168</f>
        <v>263.72523702309383</v>
      </c>
      <c r="J179" s="14">
        <f ca="1">J168/(J170*1000)*100</f>
        <v>39.115650005409222</v>
      </c>
    </row>
    <row r="180" spans="1:10" x14ac:dyDescent="0.35">
      <c r="A180" t="s">
        <v>443</v>
      </c>
      <c r="F180" s="1">
        <f ca="1">G180*$G$170*10</f>
        <v>230.80300186536942</v>
      </c>
      <c r="G180" s="1">
        <f ca="1">G191*G130/(G170*1000)*100</f>
        <v>12.5261455327986</v>
      </c>
      <c r="I180" s="1">
        <f ca="1">J191*J130</f>
        <v>127.36765402586811</v>
      </c>
      <c r="J180" s="1">
        <f ca="1">J191*J130/(J170*1000)*100</f>
        <v>18.891133185140106</v>
      </c>
    </row>
    <row r="181" spans="1:10" x14ac:dyDescent="0.35">
      <c r="A181" t="s">
        <v>444</v>
      </c>
      <c r="F181" s="1">
        <f ca="1">G181*$G$170*10</f>
        <v>723.1409783294522</v>
      </c>
      <c r="G181" s="1">
        <f ca="1">G192*G133/(G170*1000)*100</f>
        <v>39.246322890413843</v>
      </c>
      <c r="H181" s="1"/>
      <c r="I181" s="1">
        <f ca="1">J192*J133</f>
        <v>38.212274721046718</v>
      </c>
      <c r="J181" s="1">
        <f ca="1">J192*J133/(J170*1000)*100</f>
        <v>5.6676334080538613</v>
      </c>
    </row>
    <row r="182" spans="1:10" x14ac:dyDescent="0.35">
      <c r="A182" t="s">
        <v>12</v>
      </c>
      <c r="F182" s="1">
        <f ca="1">G182*$G$170*10</f>
        <v>252.63963674320826</v>
      </c>
      <c r="G182" s="1">
        <f ca="1">G179-G181-G180</f>
        <v>13.711263855418808</v>
      </c>
      <c r="H182" s="1"/>
      <c r="I182" s="1">
        <f ca="1">J182*$J$170*10</f>
        <v>98.145308276179023</v>
      </c>
      <c r="J182" s="1">
        <f ca="1">J179-J181-J180</f>
        <v>14.556883412215257</v>
      </c>
    </row>
    <row r="183" spans="1:10" x14ac:dyDescent="0.35">
      <c r="A183" t="s">
        <v>40</v>
      </c>
      <c r="F183" s="1">
        <f ca="1">SUM(F175:F179)</f>
        <v>1842.5700169380298</v>
      </c>
      <c r="G183" s="1">
        <f ca="1">SUM(G175:G179)</f>
        <v>100.00000000000001</v>
      </c>
      <c r="H183" s="1"/>
      <c r="I183" s="1">
        <f ca="1">SUM(I175:I179)</f>
        <v>674.21923702309391</v>
      </c>
      <c r="J183" s="1">
        <f ca="1">SUM(J175:J179)</f>
        <v>100</v>
      </c>
    </row>
    <row r="184" spans="1:10" x14ac:dyDescent="0.35">
      <c r="F184" s="1"/>
      <c r="G184" s="1"/>
      <c r="H184" s="1"/>
      <c r="I184" s="1"/>
      <c r="J184" s="1"/>
    </row>
    <row r="185" spans="1:10" x14ac:dyDescent="0.35">
      <c r="A185" t="s">
        <v>13</v>
      </c>
      <c r="F185" s="1"/>
      <c r="G185" s="1"/>
      <c r="H185" s="1"/>
      <c r="I185" s="1"/>
      <c r="J185" s="1"/>
    </row>
    <row r="186" spans="1:10" x14ac:dyDescent="0.35">
      <c r="A186" t="s">
        <v>3</v>
      </c>
      <c r="F186" s="1"/>
      <c r="G186" s="1">
        <f ca="1">((G136/G132)*((1-J157)/J157))^(1/(1+J153))</f>
        <v>1.456876642388411</v>
      </c>
      <c r="H186" s="1"/>
      <c r="I186" s="1"/>
      <c r="J186" s="1">
        <f ca="1">(J136/J132*(1-G157)/G157)^(1/(1+G153))</f>
        <v>3.8252043459662124</v>
      </c>
    </row>
    <row r="187" spans="1:10" x14ac:dyDescent="0.35">
      <c r="A187" t="s">
        <v>445</v>
      </c>
      <c r="F187" s="1"/>
      <c r="G187" s="1">
        <f ca="1">(G133/(G167)*(1-J158)/J158)^(1/(1+J154))</f>
        <v>0.26201283281178767</v>
      </c>
      <c r="H187" s="1"/>
      <c r="I187" s="1"/>
      <c r="J187" s="1">
        <f ca="1">(J133/J167*(1-G158)/G158)^(1/(1+G154))</f>
        <v>0.66199568026340028</v>
      </c>
    </row>
    <row r="188" spans="1:10" x14ac:dyDescent="0.35">
      <c r="F188" s="1"/>
      <c r="G188" s="1"/>
      <c r="H188" s="1"/>
      <c r="I188" s="1"/>
      <c r="J188" s="1"/>
    </row>
    <row r="189" spans="1:10" x14ac:dyDescent="0.35">
      <c r="A189" t="s">
        <v>14</v>
      </c>
      <c r="F189" s="1"/>
      <c r="G189" s="1"/>
      <c r="H189" s="1"/>
      <c r="I189" s="1"/>
      <c r="J189" s="1"/>
    </row>
    <row r="190" spans="1:10" x14ac:dyDescent="0.35">
      <c r="A190" t="s">
        <v>1</v>
      </c>
      <c r="F190" s="1"/>
      <c r="G190" s="1">
        <f ca="1">G191+G192</f>
        <v>115.68765470333106</v>
      </c>
      <c r="H190" s="1"/>
      <c r="I190" s="1"/>
      <c r="J190" s="1">
        <f ca="1">J191+J192</f>
        <v>73.248550771852564</v>
      </c>
    </row>
    <row r="191" spans="1:10" x14ac:dyDescent="0.35">
      <c r="A191" t="s">
        <v>446</v>
      </c>
      <c r="F191" s="1"/>
      <c r="G191" s="1">
        <f ca="1">G193/G131*100</f>
        <v>15.400200239023979</v>
      </c>
      <c r="H191" s="1"/>
      <c r="I191" s="1"/>
      <c r="J191" s="1">
        <f ca="1">J193/J131*100</f>
        <v>37.687399809190161</v>
      </c>
    </row>
    <row r="192" spans="1:10" x14ac:dyDescent="0.35">
      <c r="A192" t="s">
        <v>447</v>
      </c>
      <c r="F192" s="1"/>
      <c r="G192" s="1">
        <f ca="1">G168/(G133+G167*G187)</f>
        <v>100.28745446430709</v>
      </c>
      <c r="H192" s="1"/>
      <c r="I192" s="1"/>
      <c r="J192" s="1">
        <f ca="1">J168/(J133+J167*J187)</f>
        <v>35.56115096266241</v>
      </c>
    </row>
    <row r="193" spans="1:12" x14ac:dyDescent="0.35">
      <c r="A193" t="s">
        <v>2</v>
      </c>
      <c r="F193" s="1"/>
      <c r="G193" s="1">
        <f ca="1">G194*G186</f>
        <v>15.400200239023979</v>
      </c>
      <c r="H193" s="1"/>
      <c r="I193" s="1"/>
      <c r="J193" s="1">
        <f ca="1">J194*J186</f>
        <v>18.843699904595081</v>
      </c>
    </row>
    <row r="194" spans="1:12" x14ac:dyDescent="0.35">
      <c r="A194" t="s">
        <v>0</v>
      </c>
      <c r="F194" s="1"/>
      <c r="G194" s="1">
        <f ca="1">G167/(G136+G132*G186)*(G192*G187)</f>
        <v>10.570696098042188</v>
      </c>
      <c r="H194" s="1"/>
      <c r="I194" s="1"/>
      <c r="J194" s="1">
        <f ca="1">J167/(J136+J132*J186)*(J192*J187)</f>
        <v>4.9261943154661276</v>
      </c>
    </row>
    <row r="196" spans="1:12" x14ac:dyDescent="0.35">
      <c r="A196" t="s">
        <v>448</v>
      </c>
      <c r="G196" s="1">
        <f ca="1">(G$140/G$122)/(G$190/G$168)</f>
        <v>0.7215356705018332</v>
      </c>
      <c r="J196" s="1">
        <f ca="1">(J140/J122)/(J190/J168)</f>
        <v>1.6132344533283527</v>
      </c>
    </row>
    <row r="197" spans="1:12" x14ac:dyDescent="0.35">
      <c r="A197" t="s">
        <v>449</v>
      </c>
      <c r="G197" s="1">
        <f ca="1">(G$142/G$122)/(G$192/G$168)</f>
        <v>0.41420324444797074</v>
      </c>
      <c r="J197" s="1">
        <f ca="1">(J$142/J$122)/(J$192/J$168)</f>
        <v>2.8827050718203764</v>
      </c>
    </row>
    <row r="198" spans="1:12" x14ac:dyDescent="0.35">
      <c r="A198" t="s">
        <v>450</v>
      </c>
      <c r="G198" s="1">
        <f ca="1">G$140/(G$190/$G$170)</f>
        <v>0.66430828025286448</v>
      </c>
      <c r="J198" s="1">
        <f ca="1">J$140/(J$190/J170)</f>
        <v>1.5268042191285878</v>
      </c>
    </row>
    <row r="199" spans="1:12" x14ac:dyDescent="0.35">
      <c r="A199" t="s">
        <v>451</v>
      </c>
      <c r="G199" s="1">
        <f ca="1">(G$140/$G$144)/($G$190/$G194)</f>
        <v>0.65430153219208964</v>
      </c>
      <c r="J199" s="1">
        <f ca="1">(J$140/$J144)/($J$190/$J$194)</f>
        <v>1.5728712737348118</v>
      </c>
    </row>
    <row r="201" spans="1:12" x14ac:dyDescent="0.35">
      <c r="A201" t="s">
        <v>15</v>
      </c>
    </row>
    <row r="202" spans="1:12" x14ac:dyDescent="0.35">
      <c r="A202" t="s">
        <v>452</v>
      </c>
      <c r="G202" s="1">
        <f ca="1">(G192/G194)/(G142/G144)</f>
        <v>2.6623575034205555</v>
      </c>
      <c r="J202" s="1">
        <f ca="1">1/((J192/J194)/(J142/J144))</f>
        <v>2.8105796951963904</v>
      </c>
    </row>
    <row r="203" spans="1:12" x14ac:dyDescent="0.35">
      <c r="A203" t="s">
        <v>453</v>
      </c>
      <c r="G203" s="1">
        <f ca="1">1/((G142/G143)/(G192/G193))</f>
        <v>6.5738533358319406</v>
      </c>
      <c r="J203" s="1">
        <f ca="1">(J142/J143)/(J192/J193)</f>
        <v>6.9398413553214411</v>
      </c>
    </row>
    <row r="205" spans="1:12" x14ac:dyDescent="0.35">
      <c r="A205" t="s">
        <v>48</v>
      </c>
    </row>
    <row r="207" spans="1:12" x14ac:dyDescent="0.35">
      <c r="A207" t="s">
        <v>43</v>
      </c>
    </row>
    <row r="208" spans="1:12" x14ac:dyDescent="0.35">
      <c r="A208" s="7" t="s">
        <v>454</v>
      </c>
      <c r="B208" s="7"/>
      <c r="C208" s="7"/>
      <c r="D208" s="7"/>
      <c r="E208" s="7"/>
      <c r="F208" s="7"/>
      <c r="G208" s="7"/>
      <c r="H208" s="7"/>
      <c r="I208" s="7"/>
      <c r="J208" s="16">
        <v>0.5</v>
      </c>
      <c r="K208" s="7"/>
      <c r="L208" s="7"/>
    </row>
    <row r="209" spans="1:12" x14ac:dyDescent="0.35">
      <c r="A209" s="191" t="s">
        <v>455</v>
      </c>
      <c r="B209" s="191"/>
      <c r="C209" s="191"/>
      <c r="D209" s="191"/>
      <c r="E209" s="191"/>
      <c r="F209" s="191"/>
      <c r="G209" s="191"/>
      <c r="H209" s="191"/>
      <c r="I209" s="191"/>
      <c r="J209" s="199">
        <v>0</v>
      </c>
      <c r="K209" s="191"/>
      <c r="L209" s="191"/>
    </row>
    <row r="210" spans="1:12" x14ac:dyDescent="0.35">
      <c r="A210" t="s">
        <v>456</v>
      </c>
      <c r="J210" s="138">
        <v>0.09</v>
      </c>
    </row>
    <row r="211" spans="1:12" x14ac:dyDescent="0.35">
      <c r="A211" t="s">
        <v>457</v>
      </c>
      <c r="J211">
        <v>7.3999999999999996E-2</v>
      </c>
    </row>
    <row r="212" spans="1:12" x14ac:dyDescent="0.35">
      <c r="A212" t="s">
        <v>458</v>
      </c>
      <c r="J212">
        <v>7.3999999999999996E-2</v>
      </c>
    </row>
    <row r="213" spans="1:12" x14ac:dyDescent="0.35">
      <c r="A213" t="s">
        <v>459</v>
      </c>
      <c r="J213" s="1">
        <v>1</v>
      </c>
    </row>
    <row r="214" spans="1:12" x14ac:dyDescent="0.35">
      <c r="A214" t="s">
        <v>460</v>
      </c>
      <c r="J214">
        <v>0.14000000000000001</v>
      </c>
    </row>
    <row r="215" spans="1:12" x14ac:dyDescent="0.35">
      <c r="A215" t="s">
        <v>461</v>
      </c>
      <c r="J215" s="2">
        <v>0.5</v>
      </c>
    </row>
    <row r="217" spans="1:12" x14ac:dyDescent="0.35">
      <c r="A217" t="s">
        <v>462</v>
      </c>
    </row>
    <row r="219" spans="1:12" x14ac:dyDescent="0.35">
      <c r="A219" t="s">
        <v>18</v>
      </c>
    </row>
    <row r="220" spans="1:12" x14ac:dyDescent="0.35">
      <c r="B220" t="s">
        <v>463</v>
      </c>
      <c r="J220" s="2">
        <v>200</v>
      </c>
    </row>
    <row r="221" spans="1:12" x14ac:dyDescent="0.35">
      <c r="B221" t="s">
        <v>464</v>
      </c>
      <c r="J221" s="2">
        <f ca="1">-F233</f>
        <v>0</v>
      </c>
    </row>
    <row r="222" spans="1:12" x14ac:dyDescent="0.35">
      <c r="B222" t="s">
        <v>465</v>
      </c>
      <c r="J222" s="2">
        <f ca="1">G241*J118/1000+G242*G118/1000*(1-J211)</f>
        <v>-17.85834382509028</v>
      </c>
    </row>
    <row r="223" spans="1:12" x14ac:dyDescent="0.35">
      <c r="B223" t="s">
        <v>466</v>
      </c>
      <c r="J223" s="2">
        <f ca="1">I241/1000*J119*(1-J212)</f>
        <v>33.082831599999999</v>
      </c>
    </row>
    <row r="224" spans="1:12" x14ac:dyDescent="0.35">
      <c r="B224" t="s">
        <v>467</v>
      </c>
      <c r="J224" s="2">
        <f ca="1">J220-J221+J222-J223-J225</f>
        <v>149.05882457490972</v>
      </c>
    </row>
    <row r="225" spans="1:28" x14ac:dyDescent="0.35">
      <c r="A225" s="191"/>
      <c r="B225" s="191" t="s">
        <v>468</v>
      </c>
      <c r="C225" s="191"/>
      <c r="D225" s="191"/>
      <c r="E225" s="191"/>
      <c r="F225" s="191"/>
      <c r="G225" s="191"/>
      <c r="H225" s="191"/>
      <c r="I225" s="191"/>
      <c r="J225" s="199">
        <v>0</v>
      </c>
      <c r="K225" s="191"/>
      <c r="L225" s="191"/>
    </row>
    <row r="227" spans="1:28" x14ac:dyDescent="0.35">
      <c r="A227" t="s">
        <v>469</v>
      </c>
    </row>
    <row r="229" spans="1:28" x14ac:dyDescent="0.35">
      <c r="B229" t="s">
        <v>470</v>
      </c>
      <c r="E229" t="s">
        <v>56</v>
      </c>
      <c r="F229" t="s">
        <v>57</v>
      </c>
      <c r="G229" t="s">
        <v>49</v>
      </c>
    </row>
    <row r="230" spans="1:28" x14ac:dyDescent="0.35">
      <c r="B230" t="s">
        <v>471</v>
      </c>
      <c r="E230" s="1">
        <f ca="1">E14+E15-J222</f>
        <v>247.82618803615708</v>
      </c>
      <c r="F230" s="1">
        <f>C14+C15</f>
        <v>57.913938000000023</v>
      </c>
      <c r="G230" s="1">
        <f ca="1">E230-F230</f>
        <v>189.91225003615705</v>
      </c>
    </row>
    <row r="231" spans="1:28" x14ac:dyDescent="0.35">
      <c r="B231" t="s">
        <v>472</v>
      </c>
      <c r="E231" s="1">
        <v>0</v>
      </c>
      <c r="F231" s="1">
        <f ca="1">F234-F230</f>
        <v>133.75393485486237</v>
      </c>
      <c r="G231" s="1">
        <f ca="1">E231-F231</f>
        <v>-133.75393485486237</v>
      </c>
    </row>
    <row r="232" spans="1:28" x14ac:dyDescent="0.35">
      <c r="B232" t="s">
        <v>473</v>
      </c>
      <c r="E232" s="1"/>
      <c r="F232" s="1">
        <f ca="1">F231-F233</f>
        <v>133.75393485486237</v>
      </c>
      <c r="G232" s="1"/>
    </row>
    <row r="233" spans="1:28" x14ac:dyDescent="0.35">
      <c r="B233" t="s">
        <v>28</v>
      </c>
      <c r="E233" s="1"/>
      <c r="F233" s="1">
        <f ca="1">F231*J209</f>
        <v>0</v>
      </c>
      <c r="G233" s="1"/>
    </row>
    <row r="234" spans="1:28" x14ac:dyDescent="0.35">
      <c r="B234" t="s">
        <v>474</v>
      </c>
      <c r="E234" s="1">
        <f ca="1">E230+E231</f>
        <v>247.82618803615708</v>
      </c>
      <c r="F234" s="1">
        <f ca="1">E234-G234</f>
        <v>191.6678728548624</v>
      </c>
      <c r="G234" s="1">
        <f>G17-J225</f>
        <v>56.158315181294682</v>
      </c>
    </row>
    <row r="237" spans="1:28" x14ac:dyDescent="0.35">
      <c r="A237" t="s">
        <v>50</v>
      </c>
    </row>
    <row r="238" spans="1:28" x14ac:dyDescent="0.35">
      <c r="K238" s="55"/>
      <c r="L238" s="14"/>
      <c r="M238" s="7"/>
      <c r="N238" s="7"/>
      <c r="O238" s="7"/>
      <c r="P238" s="7"/>
      <c r="Q238" s="7"/>
      <c r="R238" s="7"/>
      <c r="S238" s="7"/>
      <c r="T238" s="7"/>
      <c r="U238" s="7"/>
      <c r="V238" s="7"/>
      <c r="W238" s="7"/>
      <c r="X238" s="7"/>
      <c r="Y238" s="7"/>
      <c r="Z238" s="7"/>
      <c r="AA238" s="7"/>
      <c r="AB238" s="7"/>
    </row>
    <row r="239" spans="1:28" x14ac:dyDescent="0.35">
      <c r="A239" t="s">
        <v>475</v>
      </c>
      <c r="G239" t="s">
        <v>53</v>
      </c>
      <c r="I239" t="s">
        <v>54</v>
      </c>
      <c r="K239" s="15"/>
      <c r="L239" s="7"/>
      <c r="M239" s="7"/>
      <c r="N239" s="7"/>
      <c r="O239" s="7"/>
      <c r="P239" s="7"/>
      <c r="Q239" s="7"/>
      <c r="R239" s="7"/>
      <c r="S239" s="7"/>
      <c r="T239" s="7"/>
      <c r="U239" s="7"/>
      <c r="V239" s="7"/>
      <c r="W239" s="7"/>
      <c r="X239" s="7"/>
      <c r="Y239" s="7"/>
      <c r="Z239" s="7"/>
      <c r="AA239" s="7"/>
      <c r="AB239" s="7"/>
    </row>
    <row r="240" spans="1:28" x14ac:dyDescent="0.35">
      <c r="G240" t="s">
        <v>52</v>
      </c>
      <c r="I240" t="s">
        <v>52</v>
      </c>
      <c r="K240" s="15"/>
      <c r="L240" s="7"/>
      <c r="M240" s="7"/>
      <c r="N240" s="7"/>
      <c r="O240" s="7"/>
      <c r="P240" s="7"/>
      <c r="Q240" s="7"/>
      <c r="R240" s="7"/>
      <c r="S240" s="7"/>
      <c r="T240" s="7"/>
      <c r="U240" s="7"/>
      <c r="V240" s="7"/>
      <c r="W240" s="7"/>
      <c r="X240" s="7"/>
      <c r="Y240" s="7"/>
      <c r="Z240" s="7"/>
      <c r="AA240" s="7"/>
      <c r="AB240" s="7"/>
    </row>
    <row r="241" spans="1:28" x14ac:dyDescent="0.35">
      <c r="A241" t="s">
        <v>476</v>
      </c>
      <c r="G241" s="199">
        <f ca="1">(-F233/G170-J220*(EXP(-J208*LN(G170/((1+J211)*(1+J214))))))*(1-J210)</f>
        <v>-148.35901949145912</v>
      </c>
      <c r="H241" s="199"/>
      <c r="I241" s="199">
        <f ca="1">((F233/G170*EXP(-J208*LN(1/(G170*(1+J211)*(1+J213)))))+J220)*(1-J210)</f>
        <v>182</v>
      </c>
      <c r="J241" s="1"/>
      <c r="K241" s="7"/>
      <c r="L241" s="7"/>
      <c r="M241" s="7"/>
      <c r="N241" s="7"/>
      <c r="O241" s="7"/>
      <c r="P241" s="7"/>
      <c r="Q241" s="7"/>
      <c r="R241" s="7"/>
      <c r="S241" s="7"/>
      <c r="T241" s="7"/>
      <c r="U241" s="7"/>
      <c r="V241" s="7"/>
      <c r="W241" s="7"/>
      <c r="X241" s="7"/>
      <c r="Y241" s="7"/>
      <c r="Z241" s="7"/>
      <c r="AA241" s="7"/>
      <c r="AB241" s="7"/>
    </row>
    <row r="242" spans="1:28" x14ac:dyDescent="0.35">
      <c r="A242" t="s">
        <v>477</v>
      </c>
      <c r="G242" s="199">
        <f ca="1">(J224+(1-J212)*J119/1000*(G241+I241))*(1-J210)</f>
        <v>141.20822482828257</v>
      </c>
      <c r="H242" s="199"/>
      <c r="I242" s="199">
        <f ca="1">-(1-J210)*J215*(J224+J223)</f>
        <v>-82.874453559583927</v>
      </c>
      <c r="J242" s="1"/>
      <c r="K242" s="203"/>
      <c r="L242" s="7"/>
      <c r="M242" s="7"/>
      <c r="N242" s="7"/>
      <c r="O242" s="7"/>
      <c r="P242" s="7"/>
      <c r="Q242" s="7"/>
      <c r="R242" s="7"/>
      <c r="S242" s="7"/>
      <c r="T242" s="7"/>
      <c r="U242" s="7"/>
      <c r="V242" s="7"/>
      <c r="W242" s="7"/>
      <c r="X242" s="7"/>
      <c r="Y242" s="7"/>
      <c r="Z242" s="7"/>
      <c r="AA242" s="7"/>
      <c r="AB242" s="7"/>
    </row>
    <row r="243" spans="1:28" x14ac:dyDescent="0.35">
      <c r="A243" t="s">
        <v>35</v>
      </c>
      <c r="G243" s="2">
        <f ca="1">G241*G170+G242</f>
        <v>-132.15365622900472</v>
      </c>
      <c r="I243" s="2">
        <f ca="1">I241+I242*J170</f>
        <v>126.1244491523515</v>
      </c>
    </row>
    <row r="244" spans="1:28" x14ac:dyDescent="0.35">
      <c r="A244" t="s">
        <v>478</v>
      </c>
      <c r="G244" s="2">
        <f ca="1">G243/E26*100</f>
        <v>-2.8082836066757468</v>
      </c>
      <c r="I244" s="2">
        <f ca="1">I243/G26*100</f>
        <v>13.920167737396467</v>
      </c>
    </row>
    <row r="245" spans="1:28" x14ac:dyDescent="0.35">
      <c r="L245" s="7"/>
      <c r="M245" s="7"/>
      <c r="N245" s="7"/>
      <c r="O245" s="7"/>
      <c r="P245" s="7"/>
      <c r="Q245" s="7"/>
      <c r="R245" s="7"/>
      <c r="S245" s="7"/>
    </row>
    <row r="247" spans="1:28" x14ac:dyDescent="0.35">
      <c r="A247" t="s">
        <v>479</v>
      </c>
    </row>
    <row r="249" spans="1:28" x14ac:dyDescent="0.35">
      <c r="A249" t="s">
        <v>32</v>
      </c>
      <c r="F249" s="2"/>
      <c r="G249" s="2">
        <f ca="1">(G241*G168+G242*G122)/1000</f>
        <v>-93.873123594410927</v>
      </c>
      <c r="H249" s="2"/>
      <c r="I249" s="2">
        <f ca="1">(I241*J122+I242*J168)/1000</f>
        <v>45.520315091839727</v>
      </c>
    </row>
    <row r="250" spans="1:28" x14ac:dyDescent="0.35">
      <c r="A250" t="s">
        <v>480</v>
      </c>
      <c r="G250" s="2">
        <f ca="1">G249/E25*100</f>
        <v>-4.687819844014748</v>
      </c>
      <c r="H250" s="2"/>
      <c r="I250" s="2">
        <f ca="1">I249/G25*100</f>
        <v>13.002234269916096</v>
      </c>
    </row>
    <row r="253" spans="1:28" x14ac:dyDescent="0.35">
      <c r="A253" t="s">
        <v>143</v>
      </c>
      <c r="F253" s="2"/>
      <c r="G253" s="2"/>
      <c r="H253" s="2"/>
      <c r="I253" s="2"/>
    </row>
    <row r="254" spans="1:28" x14ac:dyDescent="0.35">
      <c r="F254" s="2"/>
      <c r="G254" s="2"/>
      <c r="H254" s="2"/>
      <c r="I254" s="2"/>
    </row>
    <row r="255" spans="1:28" x14ac:dyDescent="0.35">
      <c r="F255" s="2"/>
      <c r="G255" s="2"/>
      <c r="J255" s="2"/>
    </row>
    <row r="256" spans="1:28" x14ac:dyDescent="0.35">
      <c r="E256" s="2" t="s">
        <v>21</v>
      </c>
      <c r="F256" s="2"/>
      <c r="G256" s="2"/>
      <c r="I256" s="2" t="s">
        <v>31</v>
      </c>
      <c r="J256" s="2"/>
    </row>
    <row r="257" spans="1:12" x14ac:dyDescent="0.35">
      <c r="A257" t="s">
        <v>44</v>
      </c>
      <c r="E257" t="s">
        <v>61</v>
      </c>
      <c r="F257" s="2" t="s">
        <v>58</v>
      </c>
      <c r="G257" s="2" t="s">
        <v>60</v>
      </c>
      <c r="I257" t="s">
        <v>61</v>
      </c>
      <c r="J257" s="2" t="s">
        <v>58</v>
      </c>
      <c r="K257" s="2" t="s">
        <v>60</v>
      </c>
    </row>
    <row r="258" spans="1:12" x14ac:dyDescent="0.35">
      <c r="A258" t="s">
        <v>34</v>
      </c>
      <c r="E258" s="1">
        <f ca="1">G242*G143/1000</f>
        <v>2.958746300405128</v>
      </c>
      <c r="F258" s="1">
        <f ca="1">G241*G193/1000</f>
        <v>-2.2847586074337318</v>
      </c>
      <c r="G258" s="1">
        <f ca="1">(G241*G193+G242*G143)/1000</f>
        <v>0.67398769297139594</v>
      </c>
      <c r="H258" s="1"/>
      <c r="I258" s="1">
        <f ca="1">I242*J193/1000</f>
        <v>-1.5616613326341009</v>
      </c>
      <c r="J258" s="1">
        <f ca="1">I241*J143/1000</f>
        <v>1.9997373580273075</v>
      </c>
      <c r="K258" s="1">
        <f ca="1">(I241*J143+I242*J193)/1000</f>
        <v>0.43807602539320645</v>
      </c>
    </row>
    <row r="259" spans="1:12" x14ac:dyDescent="0.35">
      <c r="A259" t="s">
        <v>481</v>
      </c>
      <c r="E259" s="1">
        <f ca="1">G242*G142/1000</f>
        <v>2.9309469482713761</v>
      </c>
      <c r="F259" s="1">
        <f ca="1">G241*G192/1000</f>
        <v>-14.878548411618954</v>
      </c>
      <c r="G259" s="1">
        <f ca="1">(G241*G192+G242*G142)/1000</f>
        <v>-11.94760146334758</v>
      </c>
      <c r="I259" s="1">
        <f ca="1">I242*J192/1000</f>
        <v>-2.9471109539805194</v>
      </c>
      <c r="J259" s="1">
        <f ca="1">I241*J142/1000</f>
        <v>26.189796993294845</v>
      </c>
      <c r="K259" s="1">
        <f ca="1">(I241*J142+I242*J192)/1000</f>
        <v>23.242686039314325</v>
      </c>
    </row>
    <row r="260" spans="1:12" x14ac:dyDescent="0.35">
      <c r="A260" t="s">
        <v>29</v>
      </c>
      <c r="E260" s="1">
        <f ca="1">G242*G144/10</f>
        <v>82.249129318568933</v>
      </c>
      <c r="F260" s="1">
        <f ca="1">G241*G194/10</f>
        <v>-156.82581084477317</v>
      </c>
      <c r="G260" s="1">
        <f ca="1">G241/10*G194+G242/10*G144</f>
        <v>-74.57668152620424</v>
      </c>
      <c r="I260" s="1">
        <f ca="1">I242*J194/10*J134/100</f>
        <v>-24.536165287557296</v>
      </c>
      <c r="J260" s="1">
        <f ca="1">I241*J144/10*J134/100</f>
        <v>77.579402352941628</v>
      </c>
      <c r="K260" s="1">
        <f ca="1">(I241*J144+I242*J194)/10*J134/100</f>
        <v>53.043237065384346</v>
      </c>
    </row>
    <row r="261" spans="1:12" x14ac:dyDescent="0.35">
      <c r="G261" s="190"/>
      <c r="K261" s="190"/>
    </row>
    <row r="262" spans="1:12" x14ac:dyDescent="0.35">
      <c r="A262" t="s">
        <v>482</v>
      </c>
      <c r="G262" s="54">
        <v>1900</v>
      </c>
      <c r="H262" s="54"/>
      <c r="I262" s="54"/>
      <c r="J262" s="54"/>
      <c r="K262" s="54">
        <v>2400</v>
      </c>
      <c r="L262" t="s">
        <v>366</v>
      </c>
    </row>
    <row r="264" spans="1:12" x14ac:dyDescent="0.35">
      <c r="A264" t="s">
        <v>483</v>
      </c>
      <c r="E264" s="1">
        <f ca="1">E258*1000/$G$262*100/G131</f>
        <v>1.5572348949500674</v>
      </c>
      <c r="F264" s="1">
        <f ca="1">F258*1000/$G$262*100/G131</f>
        <v>-1.20250453022828</v>
      </c>
      <c r="G264" s="1">
        <f ca="1">G258*1000/$G$262*100/G131</f>
        <v>0.35473036472178732</v>
      </c>
      <c r="I264" s="1">
        <f ca="1">I258*1000/$K$262*100/J131</f>
        <v>-1.3013844438617508</v>
      </c>
      <c r="J264" s="1">
        <f ca="1">J258*1000/$K$262*100/J131</f>
        <v>1.6664477983560895</v>
      </c>
      <c r="K264" s="1">
        <f ca="1">K258*1000/$K$262*100/J131</f>
        <v>0.36506335449433874</v>
      </c>
    </row>
    <row r="265" spans="1:12" x14ac:dyDescent="0.35">
      <c r="A265" t="s">
        <v>484</v>
      </c>
      <c r="E265" s="1">
        <f ca="1">E259*1000/$G$262</f>
        <v>1.5426036569849348</v>
      </c>
      <c r="F265" s="1">
        <f ca="1">F259*1000/$G$262</f>
        <v>-7.8308149534836602</v>
      </c>
      <c r="G265" s="1">
        <f ca="1">G259*1000/$G$262</f>
        <v>-6.2882112964987256</v>
      </c>
      <c r="I265" s="1">
        <f ca="1">I259*1000/$K$262</f>
        <v>-1.227962897491883</v>
      </c>
      <c r="J265" s="1">
        <f ca="1">J259*1000/$K$262</f>
        <v>10.912415413872852</v>
      </c>
      <c r="K265" s="1">
        <f ca="1">K259*1000/$K$262</f>
        <v>9.6844525163809685</v>
      </c>
    </row>
    <row r="266" spans="1:12" x14ac:dyDescent="0.35">
      <c r="A266" t="s">
        <v>37</v>
      </c>
      <c r="E266" s="1">
        <f ca="1">E264+E265</f>
        <v>3.0998385519350022</v>
      </c>
      <c r="F266" s="1">
        <f ca="1">F264+F265</f>
        <v>-9.0333194837119404</v>
      </c>
      <c r="G266" s="1">
        <f ca="1">G264+G265</f>
        <v>-5.9334809317769386</v>
      </c>
      <c r="I266" s="1">
        <f ca="1">I264+I265</f>
        <v>-2.5293473413536338</v>
      </c>
      <c r="J266" s="1">
        <f ca="1">J264+J265</f>
        <v>12.578863212228942</v>
      </c>
      <c r="K266" s="1">
        <f ca="1">K264+K265</f>
        <v>10.049515870875307</v>
      </c>
    </row>
    <row r="267" spans="1:12" x14ac:dyDescent="0.35">
      <c r="A267" t="s">
        <v>30</v>
      </c>
      <c r="E267" s="1">
        <f ca="1">E260*$G$134/100</f>
        <v>82.249129318568933</v>
      </c>
      <c r="F267" s="1">
        <f ca="1">F260*$G$134/100</f>
        <v>-156.82581084477317</v>
      </c>
      <c r="G267" s="1">
        <f ca="1">G260*$G$134/100</f>
        <v>-74.57668152620424</v>
      </c>
      <c r="H267" s="1"/>
      <c r="I267" s="1">
        <f ca="1">I260*$J$134/100</f>
        <v>-14.746235337821936</v>
      </c>
      <c r="J267" s="1">
        <f ca="1">J260*$J$134/100</f>
        <v>46.625220814117917</v>
      </c>
      <c r="K267" s="1">
        <f ca="1">K260*$J$134/100</f>
        <v>31.878985476295995</v>
      </c>
    </row>
    <row r="269" spans="1:12" x14ac:dyDescent="0.35">
      <c r="A269" t="s">
        <v>485</v>
      </c>
    </row>
    <row r="270" spans="1:12" x14ac:dyDescent="0.35">
      <c r="A270" t="s">
        <v>36</v>
      </c>
      <c r="G270" s="1">
        <f ca="1">G266/F38*100</f>
        <v>-7.9751087792700774</v>
      </c>
      <c r="K270" s="1">
        <f ca="1">K266/L38*100</f>
        <v>4.9033988147720464</v>
      </c>
    </row>
    <row r="271" spans="1:12" x14ac:dyDescent="0.35">
      <c r="A271" t="s">
        <v>486</v>
      </c>
      <c r="G271" s="1">
        <f ca="1">G267/G38*100</f>
        <v>-3.0804081588684111</v>
      </c>
      <c r="K271" s="1">
        <f ca="1">K267/M38*100</f>
        <v>7.4064833131118428</v>
      </c>
    </row>
    <row r="273" spans="1:11" x14ac:dyDescent="0.35">
      <c r="A273" t="s">
        <v>309</v>
      </c>
    </row>
    <row r="274" spans="1:11" x14ac:dyDescent="0.35">
      <c r="A274" t="s">
        <v>487</v>
      </c>
      <c r="G274" s="1">
        <f ca="1">G264/C40*100</f>
        <v>0.20442817624934428</v>
      </c>
      <c r="K274" s="1">
        <f ca="1">K264/I40*100</f>
        <v>0.23756300722412257</v>
      </c>
    </row>
    <row r="275" spans="1:11" x14ac:dyDescent="0.35">
      <c r="A275" t="s">
        <v>488</v>
      </c>
      <c r="G275" s="1">
        <f ca="1">G265/D40*100</f>
        <v>-3.6465379112056064</v>
      </c>
      <c r="K275" s="1">
        <f ca="1">K265/J40*100</f>
        <v>1.290317252313153</v>
      </c>
    </row>
    <row r="276" spans="1:11" x14ac:dyDescent="0.35">
      <c r="A276" t="s">
        <v>36</v>
      </c>
      <c r="G276" s="1">
        <f ca="1">G266/F40*100</f>
        <v>-1.6923790450019789</v>
      </c>
      <c r="K276" s="1">
        <f ca="1">K266/L40*100</f>
        <v>0.63588432490985236</v>
      </c>
    </row>
    <row r="277" spans="1:11" x14ac:dyDescent="0.35">
      <c r="A277" t="s">
        <v>486</v>
      </c>
      <c r="G277" s="1">
        <f ca="1">G267/G40*100</f>
        <v>-0.57186321237791771</v>
      </c>
      <c r="K277" s="1">
        <f ca="1">K267/M40*100</f>
        <v>0.9836885630622445</v>
      </c>
    </row>
  </sheetData>
  <pageMargins left="0.75" right="0.75" top="1" bottom="1" header="0.5" footer="0.5"/>
  <pageSetup paperSize="9" scale="17" orientation="portrait" r:id="rId1"/>
  <headerFooter>
    <oddHeader>&amp;L&amp;"Arial"&amp;10VERSN10X.WK1       printed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58"/>
  <sheetViews>
    <sheetView zoomScale="90" zoomScaleNormal="90" workbookViewId="0">
      <selection activeCell="S335" sqref="S335"/>
    </sheetView>
  </sheetViews>
  <sheetFormatPr defaultColWidth="8" defaultRowHeight="15.5" x14ac:dyDescent="0.35"/>
  <cols>
    <col min="1" max="1" width="14.33203125" style="80" customWidth="1"/>
    <col min="2" max="2" width="8" style="80"/>
    <col min="3" max="5" width="7.9140625" style="80" customWidth="1"/>
    <col min="6" max="6" width="9.6640625" style="80" customWidth="1"/>
    <col min="7" max="8" width="8.6640625" style="80" customWidth="1"/>
    <col min="9" max="9" width="9.6640625" style="80" customWidth="1"/>
    <col min="10" max="10" width="8.6640625" style="80" customWidth="1"/>
    <col min="11" max="11" width="7.08203125" style="80" customWidth="1"/>
    <col min="12" max="13" width="8.6640625" style="80" customWidth="1"/>
    <col min="14" max="14" width="9.6640625" style="80" customWidth="1"/>
    <col min="15" max="16384" width="8" style="80"/>
  </cols>
  <sheetData>
    <row r="1" spans="1:19" x14ac:dyDescent="0.35">
      <c r="A1" s="155" t="s">
        <v>527</v>
      </c>
      <c r="B1" s="173"/>
      <c r="C1" s="173"/>
      <c r="D1" s="173"/>
      <c r="E1" s="173"/>
      <c r="F1" s="173"/>
    </row>
    <row r="3" spans="1:19" x14ac:dyDescent="0.35">
      <c r="A3" s="85" t="s">
        <v>149</v>
      </c>
      <c r="B3" s="81"/>
      <c r="C3" s="81"/>
      <c r="D3" s="81"/>
      <c r="E3" s="81"/>
      <c r="F3" s="81"/>
      <c r="G3" s="81"/>
      <c r="H3" s="81"/>
      <c r="I3" s="81"/>
      <c r="J3" s="81"/>
      <c r="K3" s="81"/>
      <c r="L3" s="81"/>
      <c r="M3" s="81"/>
      <c r="N3" s="81"/>
      <c r="O3" s="81"/>
      <c r="P3" s="81"/>
      <c r="Q3" s="81"/>
      <c r="R3" s="81"/>
    </row>
    <row r="4" spans="1:19" x14ac:dyDescent="0.35">
      <c r="A4" s="81"/>
      <c r="B4" s="81"/>
      <c r="C4" s="81"/>
      <c r="D4" s="81"/>
      <c r="E4" s="81"/>
      <c r="F4" s="81"/>
      <c r="G4" s="81"/>
      <c r="H4" s="81"/>
      <c r="I4" s="81"/>
      <c r="J4" s="81"/>
      <c r="K4" s="81"/>
      <c r="L4" s="81"/>
      <c r="M4" s="81"/>
      <c r="N4" s="81"/>
      <c r="O4" s="81"/>
      <c r="P4" s="81"/>
      <c r="Q4" s="81"/>
      <c r="R4" s="81"/>
    </row>
    <row r="5" spans="1:19" customFormat="1" x14ac:dyDescent="0.35">
      <c r="A5" s="38" t="s">
        <v>305</v>
      </c>
      <c r="B5" s="7"/>
      <c r="C5" s="7"/>
      <c r="D5" s="7"/>
      <c r="E5" s="7"/>
      <c r="F5" s="7"/>
      <c r="G5" s="7"/>
      <c r="H5" s="7"/>
      <c r="I5" s="7"/>
      <c r="J5" s="7"/>
      <c r="K5" s="7"/>
      <c r="L5" s="7"/>
      <c r="M5" s="7"/>
      <c r="N5" s="7"/>
      <c r="O5" s="7" t="s">
        <v>297</v>
      </c>
      <c r="P5" s="7"/>
      <c r="Q5" s="7"/>
      <c r="R5" s="7"/>
    </row>
    <row r="6" spans="1:19" customFormat="1" x14ac:dyDescent="0.35">
      <c r="A6" s="38"/>
      <c r="B6" s="7"/>
      <c r="C6" s="7"/>
      <c r="D6" s="7"/>
      <c r="E6" s="7"/>
      <c r="F6" s="7"/>
      <c r="G6" s="7"/>
      <c r="H6" s="7"/>
      <c r="I6" s="7"/>
      <c r="J6" s="7"/>
      <c r="K6" s="7"/>
      <c r="L6" s="7"/>
      <c r="M6" s="7"/>
      <c r="N6" s="7"/>
      <c r="O6" s="7"/>
      <c r="P6" s="7"/>
      <c r="Q6" s="7"/>
      <c r="R6" s="7"/>
      <c r="S6" s="7"/>
    </row>
    <row r="7" spans="1:19" customFormat="1" x14ac:dyDescent="0.35">
      <c r="A7" s="7"/>
      <c r="B7" s="7"/>
      <c r="C7" s="7"/>
      <c r="D7" s="15" t="s">
        <v>298</v>
      </c>
      <c r="E7" s="7"/>
      <c r="F7" s="7"/>
      <c r="G7" s="7"/>
      <c r="H7" s="7"/>
      <c r="I7" s="7"/>
      <c r="J7" s="7"/>
      <c r="K7" s="7"/>
      <c r="L7" s="15" t="s">
        <v>296</v>
      </c>
      <c r="M7" s="7"/>
      <c r="N7" s="7"/>
      <c r="O7" s="7"/>
      <c r="P7" s="7"/>
      <c r="Q7" s="7"/>
      <c r="R7" s="7"/>
      <c r="S7" s="7"/>
    </row>
    <row r="8" spans="1:19" customFormat="1" x14ac:dyDescent="0.35">
      <c r="A8" s="15" t="s">
        <v>306</v>
      </c>
      <c r="B8" s="7"/>
      <c r="C8" s="31" t="s">
        <v>133</v>
      </c>
      <c r="D8" s="31" t="s">
        <v>136</v>
      </c>
      <c r="E8" s="31" t="s">
        <v>134</v>
      </c>
      <c r="F8" s="32" t="s">
        <v>62</v>
      </c>
      <c r="G8" s="31"/>
      <c r="I8" s="7"/>
      <c r="J8" s="7"/>
      <c r="K8" s="31" t="s">
        <v>137</v>
      </c>
      <c r="L8" s="31" t="s">
        <v>136</v>
      </c>
      <c r="M8" s="31" t="s">
        <v>134</v>
      </c>
      <c r="N8" s="31" t="s">
        <v>134</v>
      </c>
      <c r="O8" s="32" t="s">
        <v>62</v>
      </c>
      <c r="Q8" s="7"/>
      <c r="R8" s="7"/>
      <c r="S8" s="80"/>
    </row>
    <row r="9" spans="1:19" customFormat="1" x14ac:dyDescent="0.35">
      <c r="A9" s="7"/>
      <c r="B9" s="7"/>
      <c r="C9" s="32"/>
      <c r="D9" s="31" t="s">
        <v>135</v>
      </c>
      <c r="E9" s="32"/>
      <c r="F9" s="32"/>
      <c r="G9" s="52"/>
      <c r="I9" s="7"/>
      <c r="J9" s="7"/>
      <c r="K9" s="31" t="s">
        <v>135</v>
      </c>
      <c r="L9" s="31" t="s">
        <v>135</v>
      </c>
      <c r="M9" s="31" t="s">
        <v>301</v>
      </c>
      <c r="N9" s="53" t="s">
        <v>302</v>
      </c>
      <c r="O9" s="32"/>
      <c r="Q9" s="7"/>
      <c r="R9" s="7"/>
      <c r="S9" s="80"/>
    </row>
    <row r="10" spans="1:19" customFormat="1" x14ac:dyDescent="0.35">
      <c r="A10" s="15" t="s">
        <v>138</v>
      </c>
      <c r="B10" s="7"/>
      <c r="C10" s="16"/>
      <c r="D10" s="16"/>
      <c r="E10" s="16"/>
      <c r="F10" s="35">
        <v>76.2</v>
      </c>
      <c r="H10" s="4" t="s">
        <v>307</v>
      </c>
      <c r="I10" s="16"/>
      <c r="J10" s="16"/>
      <c r="K10" s="30"/>
      <c r="L10" s="30"/>
      <c r="M10" s="30"/>
      <c r="O10" s="35">
        <v>341.7</v>
      </c>
      <c r="P10" s="4" t="s">
        <v>307</v>
      </c>
      <c r="Q10" s="16"/>
      <c r="R10" s="16"/>
      <c r="S10" s="80"/>
    </row>
    <row r="11" spans="1:19" customFormat="1" x14ac:dyDescent="0.35">
      <c r="A11" s="7" t="s">
        <v>288</v>
      </c>
      <c r="B11" s="7"/>
      <c r="C11" s="16"/>
      <c r="D11" s="16"/>
      <c r="E11" s="16"/>
      <c r="F11" s="35">
        <v>458.7</v>
      </c>
      <c r="H11" s="4" t="s">
        <v>308</v>
      </c>
      <c r="I11" s="16"/>
      <c r="J11" s="16"/>
      <c r="K11" s="30"/>
      <c r="L11" s="30"/>
      <c r="M11" s="30"/>
      <c r="O11" s="35">
        <v>1173.7</v>
      </c>
      <c r="P11" s="4" t="s">
        <v>308</v>
      </c>
      <c r="Q11" s="16"/>
      <c r="R11" s="16"/>
      <c r="S11" s="80"/>
    </row>
    <row r="12" spans="1:19" customFormat="1" x14ac:dyDescent="0.35">
      <c r="A12" s="15" t="s">
        <v>62</v>
      </c>
      <c r="B12" s="7"/>
      <c r="C12" s="16">
        <f>C15*F12</f>
        <v>103.08183594266318</v>
      </c>
      <c r="D12" s="16">
        <f>D15*F12</f>
        <v>302.13853566908585</v>
      </c>
      <c r="E12" s="16">
        <f>E15*F12</f>
        <v>161.17962838825088</v>
      </c>
      <c r="F12" s="35">
        <v>566.4</v>
      </c>
      <c r="G12" s="16"/>
      <c r="H12" s="2">
        <f>F12-F10-F11</f>
        <v>31.5</v>
      </c>
      <c r="I12" s="139">
        <f>100*H12/F12</f>
        <v>5.5614406779661021</v>
      </c>
      <c r="J12" s="139" t="s">
        <v>41</v>
      </c>
      <c r="K12" s="16">
        <f>K14*O12</f>
        <v>138.36693264462625</v>
      </c>
      <c r="L12" s="16">
        <f>L14*O12</f>
        <v>719.71065468254812</v>
      </c>
      <c r="M12" s="16">
        <f>(M14-N14)*O12</f>
        <v>1050.2535630649195</v>
      </c>
      <c r="N12" s="16">
        <f>N14*O12</f>
        <v>654.46884960790646</v>
      </c>
      <c r="O12" s="35">
        <v>2562.8000000000002</v>
      </c>
      <c r="P12" s="2">
        <f>O12-O10-O11</f>
        <v>1047.4000000000003</v>
      </c>
      <c r="Q12" s="139">
        <f>100*P12/O12</f>
        <v>40.869361635710952</v>
      </c>
      <c r="R12" s="139" t="s">
        <v>41</v>
      </c>
      <c r="S12" s="80"/>
    </row>
    <row r="13" spans="1:19" customFormat="1" x14ac:dyDescent="0.35">
      <c r="A13" s="15" t="s">
        <v>299</v>
      </c>
      <c r="B13" s="7"/>
      <c r="C13" s="16"/>
      <c r="D13" s="16"/>
      <c r="E13" s="139" t="s">
        <v>303</v>
      </c>
      <c r="F13" s="16"/>
      <c r="G13" s="139" t="s">
        <v>302</v>
      </c>
      <c r="I13" s="16"/>
      <c r="J13" s="16"/>
      <c r="K13" s="16"/>
      <c r="L13" s="16"/>
      <c r="M13" s="139" t="s">
        <v>312</v>
      </c>
      <c r="N13" s="139"/>
      <c r="O13" s="16"/>
      <c r="Q13" s="7"/>
      <c r="R13" s="7"/>
      <c r="S13" s="80"/>
    </row>
    <row r="14" spans="1:19" s="138" customFormat="1" x14ac:dyDescent="0.35">
      <c r="A14" s="64"/>
      <c r="B14" s="22"/>
      <c r="C14" s="69">
        <v>0.17210394794871034</v>
      </c>
      <c r="D14" s="69">
        <v>0.50444614553639944</v>
      </c>
      <c r="E14" s="69">
        <v>0.3234499065148902</v>
      </c>
      <c r="F14" s="140"/>
      <c r="G14" s="69">
        <v>5.434672144983637E-2</v>
      </c>
      <c r="I14" s="22"/>
      <c r="J14" s="22"/>
      <c r="K14" s="69">
        <v>5.3990530921112154E-2</v>
      </c>
      <c r="L14" s="69">
        <v>0.28082981687316533</v>
      </c>
      <c r="M14" s="69">
        <v>0.66517965220572262</v>
      </c>
      <c r="N14" s="69">
        <v>0.25537258061803747</v>
      </c>
      <c r="O14" s="22"/>
      <c r="Q14" s="22"/>
      <c r="R14" s="22"/>
    </row>
    <row r="15" spans="1:19" s="138" customFormat="1" x14ac:dyDescent="0.35">
      <c r="A15" s="64" t="s">
        <v>300</v>
      </c>
      <c r="B15" s="22"/>
      <c r="C15" s="22">
        <f>C14/(1-G14)</f>
        <v>0.18199476684792229</v>
      </c>
      <c r="D15" s="22">
        <f>D14/(1-G14)</f>
        <v>0.53343668020671942</v>
      </c>
      <c r="E15" s="22">
        <f>(E14-G14)/(1-G14)</f>
        <v>0.28456855294535821</v>
      </c>
      <c r="F15" s="22"/>
      <c r="G15" s="22"/>
      <c r="I15" s="22"/>
      <c r="J15" s="22"/>
      <c r="K15" s="22"/>
      <c r="L15" s="22"/>
      <c r="M15" s="22"/>
      <c r="N15" s="22"/>
      <c r="O15" s="22"/>
      <c r="P15" s="2"/>
      <c r="Q15" s="64" t="s">
        <v>208</v>
      </c>
      <c r="R15" s="22"/>
      <c r="S15" s="22"/>
    </row>
    <row r="16" spans="1:19" customFormat="1" x14ac:dyDescent="0.35">
      <c r="A16" s="15" t="s">
        <v>304</v>
      </c>
      <c r="B16" s="7"/>
      <c r="C16" s="16"/>
      <c r="D16" s="16"/>
      <c r="E16" s="16"/>
      <c r="F16" s="16"/>
      <c r="G16" s="16"/>
      <c r="H16" s="16"/>
      <c r="I16" s="16"/>
      <c r="J16" s="16"/>
      <c r="K16" s="16"/>
      <c r="L16" s="16"/>
      <c r="M16" s="16"/>
      <c r="N16" s="16"/>
      <c r="O16" s="16"/>
      <c r="P16" s="7"/>
      <c r="Q16" s="7"/>
      <c r="R16" s="7"/>
      <c r="S16" s="7"/>
    </row>
    <row r="17" spans="1:23" customFormat="1" x14ac:dyDescent="0.35">
      <c r="A17" s="15" t="s">
        <v>313</v>
      </c>
      <c r="B17" s="7"/>
      <c r="C17" s="16"/>
      <c r="D17" s="16"/>
      <c r="E17" s="16"/>
      <c r="F17" s="16"/>
      <c r="G17" s="16"/>
      <c r="H17" s="16"/>
      <c r="I17" s="16"/>
      <c r="J17" s="16"/>
      <c r="K17" s="16"/>
      <c r="L17" s="16"/>
      <c r="M17" s="16"/>
      <c r="N17" s="16"/>
      <c r="O17" s="16"/>
      <c r="P17" s="7"/>
      <c r="Q17" s="7"/>
      <c r="R17" s="7"/>
      <c r="S17" s="7"/>
    </row>
    <row r="18" spans="1:23" customFormat="1" x14ac:dyDescent="0.35">
      <c r="A18" s="15" t="s">
        <v>314</v>
      </c>
      <c r="B18" s="7"/>
      <c r="C18" s="16"/>
      <c r="D18" s="16"/>
      <c r="E18" s="16"/>
      <c r="F18" s="16"/>
      <c r="G18" s="16"/>
      <c r="H18" s="16"/>
      <c r="I18" s="16"/>
      <c r="J18" s="16"/>
      <c r="K18" s="16"/>
      <c r="L18" s="16"/>
      <c r="M18" s="16"/>
      <c r="N18" s="16"/>
      <c r="O18" s="16"/>
      <c r="P18" s="7"/>
      <c r="Q18" s="7"/>
      <c r="R18" s="7"/>
      <c r="S18" s="7"/>
    </row>
    <row r="19" spans="1:23" x14ac:dyDescent="0.35">
      <c r="A19" s="80" t="s">
        <v>42</v>
      </c>
    </row>
    <row r="20" spans="1:23" x14ac:dyDescent="0.35">
      <c r="A20" s="38" t="s">
        <v>325</v>
      </c>
      <c r="B20" s="85"/>
      <c r="C20" s="85"/>
      <c r="D20" s="85"/>
    </row>
    <row r="22" spans="1:23" x14ac:dyDescent="0.35">
      <c r="C22" s="90" t="s">
        <v>64</v>
      </c>
      <c r="D22" s="90"/>
      <c r="E22" s="90" t="s">
        <v>65</v>
      </c>
      <c r="F22" s="91"/>
      <c r="G22" s="91" t="s">
        <v>66</v>
      </c>
      <c r="J22" s="80" t="s">
        <v>192</v>
      </c>
      <c r="L22" s="80" t="s">
        <v>193</v>
      </c>
    </row>
    <row r="23" spans="1:23" x14ac:dyDescent="0.35">
      <c r="C23" s="90" t="s">
        <v>67</v>
      </c>
      <c r="D23" s="90"/>
      <c r="E23" s="90" t="s">
        <v>68</v>
      </c>
      <c r="F23" s="91"/>
      <c r="G23" s="91" t="s">
        <v>69</v>
      </c>
      <c r="J23" s="80" t="s">
        <v>68</v>
      </c>
      <c r="L23" s="80" t="s">
        <v>68</v>
      </c>
    </row>
    <row r="24" spans="1:23" x14ac:dyDescent="0.35">
      <c r="C24" s="90"/>
      <c r="D24" s="90"/>
      <c r="E24" s="90"/>
      <c r="F24" s="91"/>
      <c r="G24" s="91"/>
    </row>
    <row r="25" spans="1:23" x14ac:dyDescent="0.35">
      <c r="A25" s="80" t="s">
        <v>70</v>
      </c>
      <c r="C25" s="92">
        <v>188.22728000000001</v>
      </c>
      <c r="D25" s="92"/>
      <c r="E25" s="92">
        <v>891.92097000000001</v>
      </c>
      <c r="F25" s="91"/>
      <c r="G25" s="90">
        <f>E25-C25</f>
        <v>703.69369000000006</v>
      </c>
      <c r="J25" s="93">
        <f>6.7+4.1</f>
        <v>10.8</v>
      </c>
      <c r="L25" s="90">
        <f>E25-J25</f>
        <v>881.12097000000006</v>
      </c>
    </row>
    <row r="26" spans="1:23" x14ac:dyDescent="0.35">
      <c r="A26" s="80" t="s">
        <v>71</v>
      </c>
      <c r="C26" s="92">
        <v>2290.7207300000005</v>
      </c>
      <c r="D26" s="92"/>
      <c r="E26" s="92">
        <v>2153.3555899999997</v>
      </c>
      <c r="F26" s="91"/>
      <c r="G26" s="90">
        <f>E26-C26</f>
        <v>-137.36514000000079</v>
      </c>
      <c r="J26" s="93">
        <v>995</v>
      </c>
      <c r="L26" s="90">
        <f>E26-J26</f>
        <v>1158.3555899999997</v>
      </c>
    </row>
    <row r="27" spans="1:23" x14ac:dyDescent="0.35">
      <c r="A27" s="80" t="s">
        <v>72</v>
      </c>
      <c r="C27" s="92">
        <v>1195.9600700000001</v>
      </c>
      <c r="D27" s="92"/>
      <c r="E27" s="92">
        <v>1112.3085600000004</v>
      </c>
      <c r="F27" s="91"/>
      <c r="G27" s="90">
        <f>E27-C27</f>
        <v>-83.651509999999689</v>
      </c>
      <c r="J27" s="93">
        <f>287.8+0.2</f>
        <v>288</v>
      </c>
      <c r="L27" s="90">
        <f>E27-J27</f>
        <v>824.3085600000004</v>
      </c>
    </row>
    <row r="28" spans="1:23" x14ac:dyDescent="0.35">
      <c r="A28" s="80" t="s">
        <v>62</v>
      </c>
      <c r="C28" s="92">
        <v>3674.9081299999998</v>
      </c>
      <c r="D28" s="92"/>
      <c r="E28" s="92">
        <v>4157.5851399999992</v>
      </c>
      <c r="F28" s="91"/>
      <c r="G28" s="90">
        <f>E28-C28</f>
        <v>482.67700999999943</v>
      </c>
      <c r="J28" s="93">
        <v>1293.8</v>
      </c>
      <c r="L28" s="90">
        <f>E28-J28</f>
        <v>2863.785139999999</v>
      </c>
    </row>
    <row r="29" spans="1:23" x14ac:dyDescent="0.35">
      <c r="J29" s="94"/>
    </row>
    <row r="30" spans="1:23" x14ac:dyDescent="0.35">
      <c r="A30" s="80" t="s">
        <v>81</v>
      </c>
      <c r="P30" s="80" t="s">
        <v>195</v>
      </c>
    </row>
    <row r="31" spans="1:23" x14ac:dyDescent="0.35">
      <c r="P31" s="80" t="s">
        <v>196</v>
      </c>
    </row>
    <row r="32" spans="1:23" x14ac:dyDescent="0.35">
      <c r="G32" s="85" t="s">
        <v>73</v>
      </c>
      <c r="H32" s="85"/>
      <c r="I32" s="85"/>
      <c r="J32" s="85"/>
      <c r="K32" s="85"/>
      <c r="L32" s="85" t="s">
        <v>75</v>
      </c>
      <c r="M32" s="85"/>
      <c r="N32" s="85"/>
      <c r="O32" s="85"/>
      <c r="P32" s="85" t="s">
        <v>194</v>
      </c>
      <c r="Q32" s="85"/>
      <c r="R32" s="85"/>
      <c r="U32" s="85"/>
      <c r="V32" s="85"/>
      <c r="W32" s="85"/>
    </row>
    <row r="33" spans="1:23" x14ac:dyDescent="0.35">
      <c r="G33" s="85" t="s">
        <v>74</v>
      </c>
      <c r="H33" s="85"/>
      <c r="I33" s="85" t="s">
        <v>72</v>
      </c>
      <c r="J33" s="85"/>
      <c r="K33" s="85"/>
      <c r="L33" s="85" t="s">
        <v>74</v>
      </c>
      <c r="M33" s="85"/>
      <c r="N33" s="85" t="s">
        <v>72</v>
      </c>
      <c r="O33" s="85"/>
      <c r="P33" s="85" t="s">
        <v>74</v>
      </c>
      <c r="Q33" s="85"/>
      <c r="R33" s="85" t="s">
        <v>72</v>
      </c>
      <c r="U33" s="85"/>
      <c r="V33" s="85"/>
      <c r="W33" s="85"/>
    </row>
    <row r="34" spans="1:23" x14ac:dyDescent="0.35">
      <c r="A34" s="95" t="s">
        <v>175</v>
      </c>
      <c r="W34" s="83"/>
    </row>
    <row r="35" spans="1:23" x14ac:dyDescent="0.35">
      <c r="D35" s="96" t="s">
        <v>76</v>
      </c>
      <c r="T35" s="95"/>
    </row>
    <row r="36" spans="1:23" x14ac:dyDescent="0.35">
      <c r="D36" s="80" t="s">
        <v>70</v>
      </c>
      <c r="G36" s="89">
        <v>4.0202802362724244</v>
      </c>
      <c r="H36" s="89"/>
      <c r="I36" s="89">
        <v>1.7356879469923003</v>
      </c>
      <c r="J36" s="89"/>
      <c r="K36" s="89"/>
      <c r="L36" s="89">
        <v>17.149013949435474</v>
      </c>
      <c r="M36" s="89"/>
      <c r="N36" s="89">
        <v>5.3856144896683329</v>
      </c>
      <c r="P36" s="89">
        <v>8.0059524144868615</v>
      </c>
      <c r="Q36" s="89"/>
      <c r="R36" s="89">
        <v>5.9145679451497877</v>
      </c>
    </row>
    <row r="37" spans="1:23" x14ac:dyDescent="0.35">
      <c r="D37" s="80" t="s">
        <v>71</v>
      </c>
      <c r="G37" s="89">
        <v>50.016463865317704</v>
      </c>
      <c r="H37" s="89"/>
      <c r="I37" s="89">
        <v>5.3701924275809185</v>
      </c>
      <c r="J37" s="89"/>
      <c r="K37" s="89"/>
      <c r="L37" s="89">
        <v>40.464394517360411</v>
      </c>
      <c r="M37" s="89"/>
      <c r="N37" s="89">
        <v>6.6561797037231818</v>
      </c>
      <c r="P37" s="89">
        <v>37.01395592066514</v>
      </c>
      <c r="Q37" s="89"/>
      <c r="R37" s="89">
        <v>10.916212151478616</v>
      </c>
    </row>
    <row r="38" spans="1:23" x14ac:dyDescent="0.35">
      <c r="D38" s="80" t="s">
        <v>72</v>
      </c>
      <c r="G38" s="89">
        <v>32.987131859472463</v>
      </c>
      <c r="H38" s="89"/>
      <c r="I38" s="89">
        <v>88.071341583956851</v>
      </c>
      <c r="J38" s="89"/>
      <c r="K38" s="89"/>
      <c r="L38" s="89">
        <v>23.429508463739637</v>
      </c>
      <c r="M38" s="89"/>
      <c r="N38" s="89">
        <v>80.900758267445397</v>
      </c>
      <c r="P38" s="89">
        <v>14.881202990786226</v>
      </c>
      <c r="Q38" s="89"/>
      <c r="R38" s="89">
        <v>76.68437492495849</v>
      </c>
    </row>
    <row r="39" spans="1:23" x14ac:dyDescent="0.35">
      <c r="D39" s="80" t="s">
        <v>77</v>
      </c>
      <c r="G39" s="89">
        <v>87.0238759610626</v>
      </c>
      <c r="H39" s="89"/>
      <c r="I39" s="89">
        <v>95.177221874750998</v>
      </c>
      <c r="J39" s="89"/>
      <c r="K39" s="89"/>
      <c r="L39" s="89">
        <v>81.042916930535497</v>
      </c>
      <c r="M39" s="89"/>
      <c r="N39" s="89">
        <v>92.942552550455218</v>
      </c>
      <c r="P39" s="89">
        <v>59.901111325938224</v>
      </c>
      <c r="Q39" s="89"/>
      <c r="R39" s="89">
        <v>93.51515524148877</v>
      </c>
    </row>
    <row r="40" spans="1:23" x14ac:dyDescent="0.35">
      <c r="D40" s="80" t="s">
        <v>78</v>
      </c>
      <c r="G40" s="89">
        <v>69.246845797821081</v>
      </c>
      <c r="H40" s="89"/>
      <c r="I40" s="89">
        <v>86.736365991658886</v>
      </c>
      <c r="J40" s="89"/>
      <c r="K40" s="89"/>
      <c r="L40" s="89">
        <v>65.487226153179719</v>
      </c>
      <c r="M40" s="89"/>
      <c r="N40" s="89">
        <v>86.786285811208714</v>
      </c>
      <c r="P40" s="97"/>
      <c r="Q40" s="97"/>
      <c r="R40" s="97"/>
    </row>
    <row r="41" spans="1:23" x14ac:dyDescent="0.35">
      <c r="D41" s="80" t="s">
        <v>79</v>
      </c>
      <c r="G41" s="89">
        <v>17.777030163241523</v>
      </c>
      <c r="H41" s="89"/>
      <c r="I41" s="89">
        <v>8.4408558830921159</v>
      </c>
      <c r="J41" s="89"/>
      <c r="K41" s="89"/>
      <c r="L41" s="89">
        <v>15.555690777355789</v>
      </c>
      <c r="M41" s="89"/>
      <c r="N41" s="89">
        <v>6.1562667392465098</v>
      </c>
      <c r="P41" s="97"/>
      <c r="Q41" s="97"/>
      <c r="R41" s="97"/>
    </row>
    <row r="42" spans="1:23" x14ac:dyDescent="0.35">
      <c r="D42" s="96" t="s">
        <v>80</v>
      </c>
      <c r="G42" s="88"/>
      <c r="H42" s="88"/>
      <c r="I42" s="88"/>
      <c r="J42" s="88"/>
      <c r="K42" s="88"/>
      <c r="L42" s="88"/>
      <c r="M42" s="88"/>
      <c r="N42" s="88"/>
      <c r="O42" s="81"/>
      <c r="P42" s="97"/>
      <c r="Q42" s="97"/>
      <c r="R42" s="97"/>
      <c r="T42" s="95"/>
    </row>
    <row r="43" spans="1:23" x14ac:dyDescent="0.35">
      <c r="D43" s="80" t="s">
        <v>70</v>
      </c>
      <c r="G43" s="89">
        <v>5.5076502774389953</v>
      </c>
      <c r="H43" s="89"/>
      <c r="I43" s="89">
        <v>1.9054870202797327</v>
      </c>
      <c r="J43" s="89"/>
      <c r="K43" s="89"/>
      <c r="L43" s="89">
        <v>1.269359786209757</v>
      </c>
      <c r="M43" s="89"/>
      <c r="N43" s="89">
        <v>0.44452758595204672</v>
      </c>
      <c r="P43" s="89">
        <v>7.2765966107177338</v>
      </c>
      <c r="Q43" s="89"/>
      <c r="R43" s="89">
        <v>2.0371989092515093</v>
      </c>
    </row>
    <row r="44" spans="1:23" x14ac:dyDescent="0.35">
      <c r="D44" s="80" t="s">
        <v>71</v>
      </c>
      <c r="G44" s="89">
        <v>3.2633024933663304</v>
      </c>
      <c r="H44" s="89"/>
      <c r="I44" s="89">
        <v>0.93139280034231919</v>
      </c>
      <c r="J44" s="89"/>
      <c r="K44" s="89"/>
      <c r="L44" s="89">
        <v>7.7845993601814998</v>
      </c>
      <c r="M44" s="89"/>
      <c r="N44" s="89">
        <v>1.9866155284916747</v>
      </c>
      <c r="P44" s="89">
        <v>14.269773198522678</v>
      </c>
      <c r="Q44" s="89"/>
      <c r="R44" s="89">
        <v>1.6111524380037239</v>
      </c>
    </row>
    <row r="45" spans="1:23" x14ac:dyDescent="0.35">
      <c r="D45" s="80" t="s">
        <v>72</v>
      </c>
      <c r="G45" s="89">
        <v>4.2051712681320756</v>
      </c>
      <c r="H45" s="89"/>
      <c r="I45" s="89">
        <v>1.9858982208479115</v>
      </c>
      <c r="J45" s="89"/>
      <c r="K45" s="89"/>
      <c r="L45" s="89">
        <v>9.9031239230732506</v>
      </c>
      <c r="M45" s="89"/>
      <c r="N45" s="89">
        <v>4.6263042454827437</v>
      </c>
      <c r="P45" s="89">
        <v>18.552518797951411</v>
      </c>
      <c r="Q45" s="89"/>
      <c r="R45" s="89">
        <v>2.8364936311578761</v>
      </c>
    </row>
    <row r="46" spans="1:23" x14ac:dyDescent="0.35">
      <c r="D46" s="80" t="s">
        <v>62</v>
      </c>
      <c r="G46" s="89">
        <v>12.976124038937401</v>
      </c>
      <c r="H46" s="89"/>
      <c r="I46" s="89">
        <v>4.8227781252489947</v>
      </c>
      <c r="J46" s="89"/>
      <c r="K46" s="89"/>
      <c r="L46" s="89">
        <v>18.957083069464506</v>
      </c>
      <c r="M46" s="89"/>
      <c r="N46" s="89">
        <v>7.0574474495447825</v>
      </c>
      <c r="P46" s="89">
        <v>40.098888674061776</v>
      </c>
      <c r="Q46" s="89"/>
      <c r="R46" s="89">
        <v>6.4848447585112359</v>
      </c>
    </row>
    <row r="47" spans="1:23" x14ac:dyDescent="0.35">
      <c r="D47" s="96" t="s">
        <v>62</v>
      </c>
      <c r="G47" s="89">
        <v>100</v>
      </c>
      <c r="H47" s="89"/>
      <c r="I47" s="89">
        <v>100</v>
      </c>
      <c r="J47" s="89"/>
      <c r="K47" s="89"/>
      <c r="L47" s="89">
        <v>100</v>
      </c>
      <c r="M47" s="89"/>
      <c r="N47" s="89">
        <v>100</v>
      </c>
      <c r="P47" s="89">
        <v>100</v>
      </c>
      <c r="Q47" s="89"/>
      <c r="R47" s="89">
        <v>100</v>
      </c>
    </row>
    <row r="49" spans="1:21" x14ac:dyDescent="0.35">
      <c r="A49" s="80" t="s">
        <v>81</v>
      </c>
    </row>
    <row r="50" spans="1:21" x14ac:dyDescent="0.35">
      <c r="P50" s="85" t="s">
        <v>194</v>
      </c>
      <c r="Q50" s="85"/>
      <c r="R50" s="85"/>
    </row>
    <row r="51" spans="1:21" x14ac:dyDescent="0.35">
      <c r="A51" s="95" t="s">
        <v>82</v>
      </c>
      <c r="P51" s="85" t="s">
        <v>74</v>
      </c>
      <c r="Q51" s="85"/>
      <c r="R51" s="85" t="s">
        <v>72</v>
      </c>
    </row>
    <row r="52" spans="1:21" x14ac:dyDescent="0.35">
      <c r="D52" s="98" t="s">
        <v>83</v>
      </c>
      <c r="G52" s="99">
        <v>0.36436041834271921</v>
      </c>
      <c r="H52" s="99"/>
      <c r="I52" s="99">
        <v>0.36610619469026545</v>
      </c>
      <c r="J52" s="99"/>
      <c r="K52" s="99"/>
      <c r="L52" s="99">
        <v>0.61837084673097542</v>
      </c>
      <c r="M52" s="99"/>
      <c r="N52" s="99">
        <v>0.55011789924973198</v>
      </c>
      <c r="P52" s="82">
        <v>0.67</v>
      </c>
      <c r="Q52" s="82"/>
      <c r="R52" s="82">
        <v>0.63</v>
      </c>
    </row>
    <row r="53" spans="1:21" x14ac:dyDescent="0.35">
      <c r="D53" s="98"/>
      <c r="G53" s="100" t="s">
        <v>204</v>
      </c>
      <c r="H53" s="100"/>
      <c r="I53" s="100"/>
      <c r="J53" s="100"/>
      <c r="K53" s="100"/>
      <c r="L53" s="100"/>
      <c r="M53" s="100"/>
      <c r="N53" s="100"/>
      <c r="O53" s="81"/>
      <c r="P53" s="81" t="s">
        <v>203</v>
      </c>
      <c r="Q53" s="81"/>
      <c r="R53" s="81"/>
      <c r="S53" s="81"/>
    </row>
    <row r="54" spans="1:21" x14ac:dyDescent="0.35">
      <c r="D54" s="98" t="s">
        <v>89</v>
      </c>
      <c r="G54" s="100">
        <f>1-G52</f>
        <v>0.63563958165728085</v>
      </c>
      <c r="H54" s="100"/>
      <c r="I54" s="100">
        <f>1-I52</f>
        <v>0.63389380530973449</v>
      </c>
      <c r="J54" s="100"/>
      <c r="K54" s="100"/>
      <c r="L54" s="100">
        <f>1-L52</f>
        <v>0.38162915326902458</v>
      </c>
      <c r="M54" s="100"/>
      <c r="N54" s="100">
        <f>1-N52</f>
        <v>0.44988210075026802</v>
      </c>
      <c r="P54" s="100">
        <f>1-P52</f>
        <v>0.32999999999999996</v>
      </c>
      <c r="Q54" s="100"/>
      <c r="R54" s="100">
        <f>1-R52</f>
        <v>0.37</v>
      </c>
      <c r="U54" s="80" t="s">
        <v>208</v>
      </c>
    </row>
    <row r="55" spans="1:21" x14ac:dyDescent="0.35">
      <c r="D55" s="98"/>
      <c r="E55" s="80" t="s">
        <v>205</v>
      </c>
      <c r="G55" s="100"/>
      <c r="H55" s="100"/>
      <c r="I55" s="100"/>
      <c r="J55" s="100"/>
      <c r="K55" s="100"/>
      <c r="L55" s="100"/>
      <c r="M55" s="100"/>
      <c r="N55" s="100"/>
      <c r="P55" s="100"/>
      <c r="Q55" s="100"/>
      <c r="R55" s="100"/>
    </row>
    <row r="56" spans="1:21" x14ac:dyDescent="0.35">
      <c r="D56" s="98"/>
      <c r="E56" s="80" t="s">
        <v>240</v>
      </c>
      <c r="G56" s="100"/>
      <c r="H56" s="100"/>
      <c r="I56" s="100"/>
      <c r="J56" s="100"/>
      <c r="K56" s="100"/>
      <c r="L56" s="100"/>
      <c r="M56" s="100"/>
      <c r="N56" s="100"/>
      <c r="P56" s="100"/>
      <c r="Q56" s="100"/>
      <c r="R56" s="100"/>
    </row>
    <row r="57" spans="1:21" x14ac:dyDescent="0.35">
      <c r="D57" s="98"/>
      <c r="E57" s="80" t="s">
        <v>241</v>
      </c>
      <c r="G57" s="100"/>
      <c r="H57" s="100"/>
      <c r="I57" s="100"/>
      <c r="J57" s="100"/>
      <c r="K57" s="100"/>
      <c r="L57" s="100"/>
      <c r="M57" s="100"/>
      <c r="N57" s="100"/>
      <c r="P57" s="100"/>
      <c r="Q57" s="100"/>
      <c r="R57" s="100"/>
    </row>
    <row r="58" spans="1:21" x14ac:dyDescent="0.35">
      <c r="D58" s="98" t="s">
        <v>84</v>
      </c>
      <c r="G58" s="101">
        <v>0.55071951610330594</v>
      </c>
      <c r="H58" s="99"/>
      <c r="I58" s="101">
        <v>0.59704079444955993</v>
      </c>
      <c r="J58" s="99"/>
      <c r="K58" s="99"/>
      <c r="L58" s="102">
        <v>3.9213192766716254E-2</v>
      </c>
      <c r="M58" s="99"/>
      <c r="N58" s="102">
        <v>0.15441578795580541</v>
      </c>
      <c r="P58" s="102">
        <v>3.9213192766716254E-2</v>
      </c>
      <c r="Q58" s="99"/>
      <c r="R58" s="102">
        <v>0.15441578795580541</v>
      </c>
    </row>
    <row r="59" spans="1:21" x14ac:dyDescent="0.35">
      <c r="D59" s="98" t="s">
        <v>85</v>
      </c>
      <c r="G59" s="101">
        <v>0.41426878118864519</v>
      </c>
      <c r="H59" s="99"/>
      <c r="I59" s="101">
        <v>0.37030846891144098</v>
      </c>
      <c r="J59" s="99"/>
      <c r="K59" s="99"/>
      <c r="L59" s="102">
        <v>0.35986180434274284</v>
      </c>
      <c r="M59" s="99"/>
      <c r="N59" s="102">
        <v>0.39340574332576039</v>
      </c>
      <c r="P59" s="102">
        <v>0.35986180434274284</v>
      </c>
      <c r="Q59" s="99"/>
      <c r="R59" s="102">
        <v>0.39340574332576039</v>
      </c>
    </row>
    <row r="60" spans="1:21" x14ac:dyDescent="0.35">
      <c r="D60" s="98" t="s">
        <v>86</v>
      </c>
      <c r="G60" s="101">
        <v>0.96498829729195101</v>
      </c>
      <c r="H60" s="99"/>
      <c r="I60" s="101">
        <v>0.96734926336100102</v>
      </c>
      <c r="J60" s="99"/>
      <c r="K60" s="99"/>
      <c r="L60" s="102">
        <v>0.39907499710945915</v>
      </c>
      <c r="M60" s="99"/>
      <c r="N60" s="102">
        <v>0.54782153128156574</v>
      </c>
      <c r="P60" s="102">
        <v>0.39907499710945915</v>
      </c>
      <c r="Q60" s="99"/>
      <c r="R60" s="102">
        <v>0.54782153128156574</v>
      </c>
    </row>
    <row r="61" spans="1:21" x14ac:dyDescent="0.35">
      <c r="D61" s="98" t="s">
        <v>87</v>
      </c>
      <c r="G61" s="101">
        <v>0.44928048389669423</v>
      </c>
      <c r="H61" s="99"/>
      <c r="I61" s="101">
        <v>0.40295920555043985</v>
      </c>
      <c r="J61" s="99"/>
      <c r="K61" s="99"/>
      <c r="L61" s="102">
        <v>0.96078680723328369</v>
      </c>
      <c r="M61" s="99"/>
      <c r="N61" s="102">
        <v>0.84558421204419454</v>
      </c>
      <c r="P61" s="102">
        <v>0.96078680723328369</v>
      </c>
      <c r="Q61" s="99"/>
      <c r="R61" s="102">
        <v>0.84558421204419454</v>
      </c>
    </row>
    <row r="62" spans="1:21" x14ac:dyDescent="0.35">
      <c r="D62" s="98" t="s">
        <v>88</v>
      </c>
      <c r="G62" s="101">
        <v>3.5011702708048993E-2</v>
      </c>
      <c r="H62" s="99"/>
      <c r="I62" s="101">
        <v>3.2650736638998895E-2</v>
      </c>
      <c r="J62" s="99"/>
      <c r="K62" s="99"/>
      <c r="L62" s="102">
        <v>0.60092500289054074</v>
      </c>
      <c r="M62" s="99"/>
      <c r="N62" s="102">
        <v>0.4521784687184342</v>
      </c>
      <c r="P62" s="102">
        <v>0.60092500289054074</v>
      </c>
      <c r="Q62" s="99"/>
      <c r="R62" s="102">
        <v>0.4521784687184342</v>
      </c>
    </row>
    <row r="63" spans="1:21" x14ac:dyDescent="0.35">
      <c r="D63" s="98"/>
      <c r="G63" s="81" t="s">
        <v>206</v>
      </c>
      <c r="H63" s="81"/>
      <c r="I63" s="81" t="s">
        <v>206</v>
      </c>
      <c r="J63" s="81"/>
      <c r="K63" s="81"/>
      <c r="L63" s="81" t="s">
        <v>207</v>
      </c>
      <c r="M63" s="81"/>
      <c r="N63" s="81" t="s">
        <v>207</v>
      </c>
      <c r="O63" s="81"/>
      <c r="P63" s="81" t="s">
        <v>207</v>
      </c>
      <c r="Q63" s="81"/>
      <c r="R63" s="81" t="s">
        <v>207</v>
      </c>
      <c r="S63" s="81"/>
    </row>
    <row r="64" spans="1:21" x14ac:dyDescent="0.35">
      <c r="G64" s="81" t="s">
        <v>223</v>
      </c>
      <c r="H64" s="81"/>
      <c r="I64" s="81" t="s">
        <v>223</v>
      </c>
      <c r="J64" s="81"/>
      <c r="K64" s="81"/>
      <c r="L64" s="81" t="s">
        <v>223</v>
      </c>
      <c r="M64" s="81"/>
      <c r="N64" s="81"/>
      <c r="O64" s="81"/>
      <c r="P64" s="81" t="s">
        <v>223</v>
      </c>
      <c r="Q64" s="81"/>
      <c r="R64" s="81"/>
      <c r="S64" s="81"/>
      <c r="T64" s="81"/>
    </row>
    <row r="65" spans="3:20" x14ac:dyDescent="0.35">
      <c r="G65" s="81" t="s">
        <v>224</v>
      </c>
      <c r="H65" s="81"/>
      <c r="I65" s="81" t="s">
        <v>225</v>
      </c>
      <c r="J65" s="81"/>
      <c r="K65" s="81"/>
      <c r="L65" s="81" t="s">
        <v>226</v>
      </c>
      <c r="M65" s="81"/>
      <c r="N65" s="81" t="s">
        <v>209</v>
      </c>
      <c r="O65" s="81"/>
      <c r="P65" s="81" t="s">
        <v>226</v>
      </c>
      <c r="Q65" s="81"/>
      <c r="R65" s="81" t="s">
        <v>209</v>
      </c>
      <c r="S65" s="81"/>
      <c r="T65" s="81"/>
    </row>
    <row r="66" spans="3:20" x14ac:dyDescent="0.35">
      <c r="G66" s="81" t="s">
        <v>227</v>
      </c>
      <c r="H66" s="81"/>
      <c r="I66" s="81" t="s">
        <v>228</v>
      </c>
      <c r="J66" s="81"/>
      <c r="K66" s="81"/>
      <c r="L66" s="81" t="s">
        <v>227</v>
      </c>
      <c r="M66" s="81"/>
      <c r="N66" s="81"/>
      <c r="O66" s="81"/>
      <c r="P66" s="81" t="s">
        <v>227</v>
      </c>
      <c r="Q66" s="81"/>
      <c r="R66" s="81"/>
      <c r="S66" s="81"/>
      <c r="T66" s="81"/>
    </row>
    <row r="67" spans="3:20" x14ac:dyDescent="0.35">
      <c r="G67" s="81" t="s">
        <v>210</v>
      </c>
      <c r="H67" s="81"/>
      <c r="I67" s="81" t="s">
        <v>216</v>
      </c>
      <c r="J67" s="81"/>
      <c r="K67" s="81"/>
      <c r="L67" s="81" t="s">
        <v>220</v>
      </c>
      <c r="M67" s="81"/>
      <c r="N67" s="81"/>
      <c r="O67" s="81"/>
      <c r="P67" s="81" t="s">
        <v>220</v>
      </c>
      <c r="Q67" s="81"/>
      <c r="R67" s="81"/>
      <c r="S67" s="81"/>
      <c r="T67" s="81"/>
    </row>
    <row r="68" spans="3:20" x14ac:dyDescent="0.35">
      <c r="G68" s="81" t="s">
        <v>211</v>
      </c>
      <c r="H68" s="81"/>
      <c r="I68" s="81" t="s">
        <v>211</v>
      </c>
      <c r="J68" s="81"/>
      <c r="K68" s="81"/>
      <c r="L68" s="81" t="s">
        <v>211</v>
      </c>
      <c r="M68" s="81"/>
      <c r="N68" s="81"/>
      <c r="O68" s="81"/>
      <c r="P68" s="81" t="s">
        <v>211</v>
      </c>
      <c r="Q68" s="81"/>
      <c r="R68" s="81"/>
      <c r="S68" s="81"/>
      <c r="T68" s="81"/>
    </row>
    <row r="69" spans="3:20" x14ac:dyDescent="0.35">
      <c r="G69" s="81" t="s">
        <v>212</v>
      </c>
      <c r="H69" s="81"/>
      <c r="I69" s="81" t="s">
        <v>212</v>
      </c>
      <c r="J69" s="81"/>
      <c r="K69" s="81"/>
      <c r="L69" s="81" t="s">
        <v>212</v>
      </c>
      <c r="M69" s="81"/>
      <c r="N69" s="81"/>
      <c r="O69" s="81"/>
      <c r="P69" s="81" t="s">
        <v>212</v>
      </c>
      <c r="Q69" s="81"/>
      <c r="R69" s="81"/>
      <c r="S69" s="81"/>
      <c r="T69" s="81"/>
    </row>
    <row r="70" spans="3:20" x14ac:dyDescent="0.35">
      <c r="G70" s="81" t="s">
        <v>213</v>
      </c>
      <c r="H70" s="81"/>
      <c r="I70" s="81" t="s">
        <v>217</v>
      </c>
      <c r="J70" s="81"/>
      <c r="K70" s="81"/>
      <c r="L70" s="81" t="s">
        <v>221</v>
      </c>
      <c r="M70" s="81"/>
      <c r="N70" s="81"/>
      <c r="O70" s="81"/>
      <c r="P70" s="81" t="s">
        <v>222</v>
      </c>
      <c r="Q70" s="81"/>
      <c r="R70" s="81"/>
      <c r="S70" s="81"/>
      <c r="T70" s="81"/>
    </row>
    <row r="71" spans="3:20" x14ac:dyDescent="0.35">
      <c r="G71" s="81" t="s">
        <v>214</v>
      </c>
      <c r="H71" s="81"/>
      <c r="I71" s="81" t="s">
        <v>218</v>
      </c>
      <c r="J71" s="81"/>
      <c r="K71" s="81"/>
      <c r="L71" s="81" t="s">
        <v>214</v>
      </c>
      <c r="M71" s="81"/>
      <c r="N71" s="81"/>
      <c r="O71" s="81"/>
      <c r="P71" s="81" t="s">
        <v>214</v>
      </c>
      <c r="Q71" s="81"/>
      <c r="R71" s="81"/>
      <c r="S71" s="81"/>
      <c r="T71" s="81"/>
    </row>
    <row r="72" spans="3:20" x14ac:dyDescent="0.35">
      <c r="G72" s="81" t="s">
        <v>215</v>
      </c>
      <c r="H72" s="81"/>
      <c r="I72" s="81" t="s">
        <v>219</v>
      </c>
      <c r="J72" s="81"/>
      <c r="K72" s="81"/>
      <c r="L72" s="81" t="s">
        <v>215</v>
      </c>
      <c r="M72" s="81"/>
      <c r="N72" s="81"/>
      <c r="O72" s="81"/>
      <c r="P72" s="81" t="s">
        <v>215</v>
      </c>
      <c r="Q72" s="81"/>
      <c r="R72" s="81"/>
      <c r="S72" s="81"/>
      <c r="T72" s="81"/>
    </row>
    <row r="73" spans="3:20" x14ac:dyDescent="0.35">
      <c r="C73" s="95" t="s">
        <v>234</v>
      </c>
      <c r="G73" s="81"/>
      <c r="H73" s="81"/>
      <c r="I73" s="81"/>
      <c r="J73" s="81"/>
      <c r="K73" s="81"/>
      <c r="L73" s="81"/>
      <c r="M73" s="81"/>
      <c r="N73" s="81"/>
      <c r="O73" s="81"/>
      <c r="P73" s="81"/>
      <c r="Q73" s="81"/>
      <c r="R73" s="81"/>
      <c r="S73" s="81"/>
      <c r="T73" s="81"/>
    </row>
    <row r="74" spans="3:20" x14ac:dyDescent="0.35">
      <c r="C74" s="80" t="s">
        <v>233</v>
      </c>
      <c r="G74" s="87" t="s">
        <v>229</v>
      </c>
      <c r="H74" s="87"/>
      <c r="I74" s="87" t="s">
        <v>230</v>
      </c>
      <c r="J74" s="87"/>
      <c r="K74" s="87"/>
      <c r="L74" s="87" t="s">
        <v>231</v>
      </c>
      <c r="M74" s="87"/>
      <c r="N74" s="87" t="s">
        <v>232</v>
      </c>
      <c r="O74" s="87"/>
      <c r="P74" s="87" t="s">
        <v>231</v>
      </c>
      <c r="Q74" s="87"/>
      <c r="R74" s="87" t="s">
        <v>232</v>
      </c>
      <c r="S74" s="87"/>
      <c r="T74" s="81"/>
    </row>
    <row r="75" spans="3:20" x14ac:dyDescent="0.35">
      <c r="C75" s="80" t="s">
        <v>235</v>
      </c>
      <c r="G75" s="82">
        <v>83.5</v>
      </c>
      <c r="H75" s="82"/>
      <c r="I75" s="82">
        <v>75.900000000000006</v>
      </c>
      <c r="J75" s="82"/>
      <c r="K75" s="82"/>
      <c r="L75" s="82">
        <v>57.4</v>
      </c>
      <c r="M75" s="82"/>
      <c r="N75" s="82">
        <v>75.900000000000006</v>
      </c>
      <c r="P75" s="82">
        <v>57.4</v>
      </c>
      <c r="Q75" s="82"/>
      <c r="R75" s="82">
        <v>75.900000000000006</v>
      </c>
      <c r="S75" s="81"/>
      <c r="T75" s="81"/>
    </row>
    <row r="76" spans="3:20" x14ac:dyDescent="0.35">
      <c r="C76" s="80" t="s">
        <v>236</v>
      </c>
      <c r="G76" s="87" t="s">
        <v>139</v>
      </c>
      <c r="H76" s="87"/>
      <c r="I76" s="87" t="s">
        <v>140</v>
      </c>
      <c r="J76" s="81"/>
      <c r="K76" s="81"/>
      <c r="L76" s="87" t="s">
        <v>139</v>
      </c>
      <c r="M76" s="87"/>
      <c r="N76" s="87" t="s">
        <v>140</v>
      </c>
      <c r="O76" s="81"/>
      <c r="P76" s="87" t="s">
        <v>139</v>
      </c>
      <c r="Q76" s="87"/>
      <c r="R76" s="87" t="s">
        <v>140</v>
      </c>
      <c r="S76" s="81"/>
      <c r="T76" s="81"/>
    </row>
    <row r="77" spans="3:20" x14ac:dyDescent="0.35">
      <c r="D77" s="80" t="s">
        <v>237</v>
      </c>
      <c r="G77" s="103">
        <f>C26*G37/100</f>
        <v>1145.7375061757921</v>
      </c>
      <c r="H77" s="103"/>
      <c r="I77" s="103">
        <f>C27*I38/100</f>
        <v>1053.2980784574295</v>
      </c>
      <c r="J77" s="103"/>
      <c r="K77" s="103"/>
      <c r="L77" s="103">
        <f>E26*L37/100</f>
        <v>871.34230129923378</v>
      </c>
      <c r="M77" s="103"/>
      <c r="N77" s="103"/>
      <c r="O77" s="103"/>
      <c r="P77" s="103">
        <f>J26*P37/100</f>
        <v>368.2888614106181</v>
      </c>
      <c r="Q77" s="103"/>
      <c r="R77" s="103"/>
      <c r="S77" s="81"/>
      <c r="T77" s="81"/>
    </row>
    <row r="78" spans="3:20" x14ac:dyDescent="0.35">
      <c r="D78" s="80" t="s">
        <v>238</v>
      </c>
      <c r="G78" s="103">
        <f>C27*I37/100</f>
        <v>64.225357116031461</v>
      </c>
      <c r="H78" s="103"/>
      <c r="I78" s="103">
        <f>C26*G38/100</f>
        <v>755.6430677373703</v>
      </c>
      <c r="J78" s="103"/>
      <c r="K78" s="103"/>
      <c r="L78" s="103">
        <f>E27*N37/100</f>
        <v>74.037256613495614</v>
      </c>
      <c r="M78" s="103"/>
      <c r="N78" s="103"/>
      <c r="O78" s="103"/>
      <c r="P78" s="103">
        <f>J27*R37/100</f>
        <v>31.438690996258416</v>
      </c>
      <c r="Q78" s="103"/>
      <c r="R78" s="103"/>
      <c r="S78" s="81"/>
      <c r="T78" s="81"/>
    </row>
    <row r="79" spans="3:20" x14ac:dyDescent="0.35">
      <c r="D79" s="80" t="s">
        <v>62</v>
      </c>
      <c r="G79" s="103">
        <f>G77+G78</f>
        <v>1209.9628632918236</v>
      </c>
      <c r="H79" s="103"/>
      <c r="I79" s="103">
        <f>I77+I78</f>
        <v>1808.9411461947998</v>
      </c>
      <c r="J79" s="103"/>
      <c r="K79" s="103"/>
      <c r="L79" s="103">
        <f>L77+L78</f>
        <v>945.37955791272941</v>
      </c>
      <c r="M79" s="103"/>
      <c r="N79" s="103"/>
      <c r="O79" s="103"/>
      <c r="P79" s="103">
        <f>P77+P78</f>
        <v>399.7275524068765</v>
      </c>
      <c r="Q79" s="103"/>
      <c r="R79" s="103"/>
      <c r="S79" s="81"/>
      <c r="T79" s="81"/>
    </row>
    <row r="80" spans="3:20" x14ac:dyDescent="0.35">
      <c r="D80" s="80" t="s">
        <v>239</v>
      </c>
      <c r="G80" s="104">
        <f>(G77*G75/100)/G79</f>
        <v>0.7906778353957199</v>
      </c>
      <c r="H80" s="104"/>
      <c r="I80" s="104">
        <f>(I77*I75/100)/I79</f>
        <v>0.44194541277966937</v>
      </c>
      <c r="J80" s="104"/>
      <c r="K80" s="104"/>
      <c r="L80" s="104">
        <f>(L77*L75/100)/L79</f>
        <v>0.52904727710637722</v>
      </c>
      <c r="M80" s="104"/>
      <c r="N80" s="104"/>
      <c r="O80" s="104"/>
      <c r="P80" s="104">
        <f>(P77*P75/100)/P79</f>
        <v>0.52885472911938836</v>
      </c>
      <c r="Q80" s="81" t="s">
        <v>242</v>
      </c>
      <c r="R80" s="81"/>
      <c r="S80" s="81"/>
      <c r="T80" s="81"/>
    </row>
    <row r="81" spans="1:19" x14ac:dyDescent="0.35">
      <c r="F81" s="81"/>
      <c r="G81" s="81"/>
      <c r="H81" s="81"/>
      <c r="I81" s="81"/>
      <c r="J81" s="81"/>
      <c r="K81" s="81"/>
      <c r="L81" s="81"/>
      <c r="M81" s="81"/>
      <c r="N81" s="81"/>
      <c r="S81" s="81"/>
    </row>
    <row r="82" spans="1:19" x14ac:dyDescent="0.35">
      <c r="A82" s="80" t="s">
        <v>90</v>
      </c>
    </row>
    <row r="83" spans="1:19" x14ac:dyDescent="0.35">
      <c r="G83" s="85" t="s">
        <v>73</v>
      </c>
      <c r="H83" s="85"/>
      <c r="I83" s="85"/>
      <c r="J83" s="85"/>
      <c r="K83" s="85"/>
      <c r="L83" s="85" t="s">
        <v>75</v>
      </c>
      <c r="M83" s="85"/>
      <c r="N83" s="85"/>
      <c r="O83" s="85"/>
    </row>
    <row r="84" spans="1:19" x14ac:dyDescent="0.35">
      <c r="G84" s="85" t="s">
        <v>74</v>
      </c>
      <c r="H84" s="85"/>
      <c r="I84" s="85" t="s">
        <v>72</v>
      </c>
      <c r="J84" s="85"/>
      <c r="K84" s="85"/>
      <c r="L84" s="85" t="s">
        <v>74</v>
      </c>
      <c r="M84" s="85"/>
      <c r="N84" s="85" t="s">
        <v>72</v>
      </c>
      <c r="O84" s="85"/>
    </row>
    <row r="85" spans="1:19" x14ac:dyDescent="0.35">
      <c r="A85" s="95" t="s">
        <v>91</v>
      </c>
    </row>
    <row r="86" spans="1:19" x14ac:dyDescent="0.35">
      <c r="A86" s="80" t="s">
        <v>98</v>
      </c>
      <c r="D86" s="80" t="s">
        <v>92</v>
      </c>
      <c r="G86" s="99">
        <v>0.26993887530562349</v>
      </c>
      <c r="H86" s="99"/>
      <c r="I86" s="99">
        <v>0.13810513447432762</v>
      </c>
      <c r="J86" s="99"/>
      <c r="K86" s="99"/>
      <c r="L86" s="99">
        <v>0.4760986066452304</v>
      </c>
      <c r="M86" s="82"/>
      <c r="N86" s="99">
        <v>0.29060021436227224</v>
      </c>
      <c r="P86" s="82">
        <v>0.63</v>
      </c>
      <c r="Q86" s="82"/>
      <c r="R86" s="82">
        <v>0.36</v>
      </c>
    </row>
    <row r="87" spans="1:19" x14ac:dyDescent="0.35">
      <c r="G87" s="100" t="s">
        <v>243</v>
      </c>
      <c r="H87" s="100"/>
      <c r="I87" s="100"/>
      <c r="J87" s="100"/>
      <c r="K87" s="100"/>
      <c r="L87" s="100"/>
      <c r="M87" s="81"/>
      <c r="N87" s="100"/>
      <c r="O87" s="81"/>
      <c r="P87" s="81"/>
      <c r="Q87" s="81"/>
    </row>
    <row r="88" spans="1:19" x14ac:dyDescent="0.35">
      <c r="A88" s="80" t="s">
        <v>100</v>
      </c>
      <c r="D88" s="80" t="s">
        <v>93</v>
      </c>
      <c r="G88" s="99">
        <v>1</v>
      </c>
      <c r="H88" s="99"/>
      <c r="I88" s="99">
        <v>1</v>
      </c>
      <c r="J88" s="99"/>
      <c r="K88" s="99"/>
      <c r="L88" s="99">
        <v>0.6</v>
      </c>
      <c r="M88" s="99"/>
      <c r="N88" s="99">
        <v>0.6</v>
      </c>
      <c r="P88" s="99">
        <v>0.6</v>
      </c>
      <c r="Q88" s="99"/>
      <c r="R88" s="99">
        <v>0.6</v>
      </c>
    </row>
    <row r="89" spans="1:19" x14ac:dyDescent="0.35">
      <c r="D89" s="80" t="s">
        <v>99</v>
      </c>
      <c r="G89" s="97">
        <f>100*G86*G88</f>
        <v>26.99388753056235</v>
      </c>
      <c r="H89" s="105"/>
      <c r="I89" s="97">
        <f>100*I86*I88</f>
        <v>13.810513447432763</v>
      </c>
      <c r="J89" s="105"/>
      <c r="K89" s="105"/>
      <c r="L89" s="97">
        <f>100*L86*L88</f>
        <v>28.565916398713824</v>
      </c>
      <c r="M89" s="105"/>
      <c r="N89" s="97">
        <f>100*N86*N88</f>
        <v>17.436012861736334</v>
      </c>
      <c r="P89" s="97">
        <f>100*P86*P88</f>
        <v>37.799999999999997</v>
      </c>
      <c r="Q89" s="105"/>
      <c r="R89" s="97">
        <f>100*R86*R88</f>
        <v>21.599999999999998</v>
      </c>
    </row>
    <row r="91" spans="1:19" x14ac:dyDescent="0.35">
      <c r="D91" s="80" t="s">
        <v>94</v>
      </c>
    </row>
    <row r="92" spans="1:19" x14ac:dyDescent="0.35">
      <c r="D92" s="98" t="s">
        <v>84</v>
      </c>
      <c r="G92" s="99">
        <v>1.5509609588506641</v>
      </c>
      <c r="H92" s="82"/>
      <c r="I92" s="99">
        <v>1.5227733230098803</v>
      </c>
      <c r="J92" s="99"/>
      <c r="K92" s="99"/>
      <c r="L92" s="99">
        <v>1.5326836389029728</v>
      </c>
      <c r="M92" s="82"/>
      <c r="N92" s="99">
        <v>2.0511410922521263</v>
      </c>
      <c r="P92" s="99">
        <v>1.5326836389029728</v>
      </c>
      <c r="Q92" s="82"/>
      <c r="R92" s="99">
        <v>2.0511410922521263</v>
      </c>
    </row>
    <row r="93" spans="1:19" x14ac:dyDescent="0.35">
      <c r="D93" s="98" t="s">
        <v>85</v>
      </c>
      <c r="G93" s="99">
        <v>0.87202716056630569</v>
      </c>
      <c r="H93" s="82"/>
      <c r="I93" s="99">
        <v>0.80958779540120296</v>
      </c>
      <c r="J93" s="99"/>
      <c r="K93" s="99"/>
      <c r="L93" s="99">
        <v>1.0874500160417906</v>
      </c>
      <c r="M93" s="82"/>
      <c r="N93" s="99">
        <v>1.1902090250162407</v>
      </c>
      <c r="P93" s="99">
        <v>1.0874500160417906</v>
      </c>
      <c r="Q93" s="82"/>
      <c r="R93" s="99">
        <v>1.1902090250162407</v>
      </c>
    </row>
    <row r="94" spans="1:19" x14ac:dyDescent="0.35">
      <c r="D94" s="98" t="s">
        <v>86</v>
      </c>
      <c r="G94" s="99">
        <v>1.0578433459651078</v>
      </c>
      <c r="H94" s="82"/>
      <c r="I94" s="99">
        <v>1.0942636486147026</v>
      </c>
      <c r="J94" s="99"/>
      <c r="K94" s="99"/>
      <c r="L94" s="99">
        <v>1.1298801888878223</v>
      </c>
      <c r="M94" s="82"/>
      <c r="N94" s="99">
        <v>1.3499196764425621</v>
      </c>
      <c r="P94" s="99">
        <v>1.1298801888878223</v>
      </c>
      <c r="Q94" s="82"/>
      <c r="R94" s="99">
        <v>1.3499196764425621</v>
      </c>
    </row>
    <row r="95" spans="1:19" x14ac:dyDescent="0.35">
      <c r="D95" s="98" t="s">
        <v>87</v>
      </c>
      <c r="G95" s="99">
        <v>0.82616808261433672</v>
      </c>
      <c r="H95" s="82"/>
      <c r="I95" s="99">
        <v>0.77485497815698956</v>
      </c>
      <c r="J95" s="99"/>
      <c r="K95" s="99"/>
      <c r="L95" s="99">
        <v>0.9764604896741319</v>
      </c>
      <c r="M95" s="82"/>
      <c r="N95" s="99">
        <v>0.86065150355030295</v>
      </c>
      <c r="P95" s="99">
        <v>0.9764604896741319</v>
      </c>
      <c r="Q95" s="82"/>
      <c r="R95" s="99">
        <v>0.86065150355030295</v>
      </c>
    </row>
    <row r="96" spans="1:19" x14ac:dyDescent="0.35">
      <c r="D96" s="98" t="s">
        <v>88</v>
      </c>
      <c r="G96" s="99">
        <v>0.59018246654686368</v>
      </c>
      <c r="H96" s="82"/>
      <c r="I96" s="99">
        <v>0.51457926291879696</v>
      </c>
      <c r="J96" s="99"/>
      <c r="K96" s="99"/>
      <c r="L96" s="99">
        <v>0.89624898063253966</v>
      </c>
      <c r="M96" s="82"/>
      <c r="N96" s="99">
        <v>0.69356977339985582</v>
      </c>
      <c r="P96" s="99">
        <v>0.89624898063253966</v>
      </c>
      <c r="Q96" s="82"/>
      <c r="R96" s="99">
        <v>0.69356977339985582</v>
      </c>
    </row>
    <row r="97" spans="1:18" x14ac:dyDescent="0.35">
      <c r="D97" s="98"/>
      <c r="G97" s="100" t="s">
        <v>188</v>
      </c>
      <c r="I97" s="105" t="s">
        <v>189</v>
      </c>
      <c r="J97" s="105"/>
      <c r="K97" s="105"/>
      <c r="L97" s="100" t="s">
        <v>190</v>
      </c>
      <c r="N97" s="105" t="s">
        <v>191</v>
      </c>
    </row>
    <row r="98" spans="1:18" x14ac:dyDescent="0.35">
      <c r="D98" s="98" t="s">
        <v>129</v>
      </c>
      <c r="G98" s="92">
        <v>1903.4354964816262</v>
      </c>
      <c r="H98" s="92"/>
      <c r="I98" s="92">
        <v>1744.8264268960127</v>
      </c>
      <c r="J98" s="92"/>
      <c r="K98" s="92"/>
      <c r="L98" s="92">
        <v>2282.6452304394425</v>
      </c>
      <c r="M98" s="92"/>
      <c r="N98" s="92">
        <v>2125.7963558413712</v>
      </c>
      <c r="O98" s="90"/>
      <c r="P98" s="92">
        <v>2427</v>
      </c>
      <c r="Q98" s="92"/>
      <c r="R98" s="92">
        <v>2158</v>
      </c>
    </row>
    <row r="99" spans="1:18" x14ac:dyDescent="0.35">
      <c r="A99" s="80" t="s">
        <v>98</v>
      </c>
      <c r="G99" s="100" t="s">
        <v>187</v>
      </c>
      <c r="H99" s="81"/>
      <c r="I99" s="81"/>
      <c r="J99" s="81"/>
      <c r="K99" s="81"/>
      <c r="L99" s="81"/>
      <c r="M99" s="81"/>
      <c r="N99" s="81"/>
    </row>
    <row r="100" spans="1:18" x14ac:dyDescent="0.35">
      <c r="D100" s="98" t="s">
        <v>96</v>
      </c>
    </row>
    <row r="101" spans="1:18" x14ac:dyDescent="0.35">
      <c r="A101" s="80" t="s">
        <v>97</v>
      </c>
      <c r="D101" s="98"/>
      <c r="G101" s="106">
        <v>36.209247148288974</v>
      </c>
      <c r="H101" s="81"/>
      <c r="I101" s="81"/>
      <c r="J101" s="81"/>
      <c r="K101" s="81"/>
      <c r="L101" s="106">
        <v>4.8</v>
      </c>
      <c r="M101" s="81"/>
      <c r="N101" s="81"/>
      <c r="O101" s="81"/>
      <c r="P101" s="107">
        <v>2.62</v>
      </c>
    </row>
    <row r="102" spans="1:18" x14ac:dyDescent="0.35">
      <c r="G102" s="100" t="s">
        <v>187</v>
      </c>
      <c r="H102" s="81"/>
      <c r="I102" s="81"/>
      <c r="J102" s="81"/>
      <c r="K102" s="81"/>
      <c r="L102" s="81"/>
      <c r="M102" s="81"/>
      <c r="N102" s="81"/>
    </row>
    <row r="103" spans="1:18" x14ac:dyDescent="0.35">
      <c r="D103" s="80" t="s">
        <v>95</v>
      </c>
    </row>
    <row r="104" spans="1:18" x14ac:dyDescent="0.35">
      <c r="D104" s="98" t="s">
        <v>84</v>
      </c>
      <c r="G104" s="105">
        <f>G92*$G$101</f>
        <v>56.159128676370941</v>
      </c>
      <c r="H104" s="105"/>
      <c r="I104" s="105">
        <f>I92*$G$101</f>
        <v>55.138475603686032</v>
      </c>
      <c r="J104" s="105"/>
      <c r="K104" s="105"/>
      <c r="L104" s="105">
        <f>L92*$L$101</f>
        <v>7.3568814667342686</v>
      </c>
      <c r="M104" s="105"/>
      <c r="N104" s="105">
        <f>N92*$L$101</f>
        <v>9.8454772428102064</v>
      </c>
      <c r="P104" s="105">
        <f>P92*$P$101</f>
        <v>4.0156311339257886</v>
      </c>
      <c r="Q104" s="105"/>
      <c r="R104" s="105">
        <f>R92*$P$101</f>
        <v>5.3739896617005707</v>
      </c>
    </row>
    <row r="105" spans="1:18" x14ac:dyDescent="0.35">
      <c r="D105" s="98" t="s">
        <v>85</v>
      </c>
      <c r="G105" s="105">
        <f>G93*$G$101</f>
        <v>31.575446976966035</v>
      </c>
      <c r="H105" s="105"/>
      <c r="I105" s="105">
        <f>I93*$G$101</f>
        <v>29.314564571920567</v>
      </c>
      <c r="J105" s="105"/>
      <c r="K105" s="105"/>
      <c r="L105" s="105">
        <f>L93*$L$101</f>
        <v>5.2197600770005943</v>
      </c>
      <c r="M105" s="105"/>
      <c r="N105" s="105">
        <f>N93*$L$101</f>
        <v>5.7130033200779549</v>
      </c>
      <c r="P105" s="105">
        <f>P93*$P$101</f>
        <v>2.8491190420294914</v>
      </c>
      <c r="Q105" s="105"/>
      <c r="R105" s="105">
        <f>R93*$P$101</f>
        <v>3.1183476455425509</v>
      </c>
    </row>
    <row r="106" spans="1:18" x14ac:dyDescent="0.35">
      <c r="D106" s="98" t="s">
        <v>86</v>
      </c>
      <c r="G106" s="105">
        <f>G94*$G$101</f>
        <v>38.303711158223543</v>
      </c>
      <c r="H106" s="105"/>
      <c r="I106" s="105">
        <f>I94*$G$101</f>
        <v>39.622462898078204</v>
      </c>
      <c r="J106" s="105"/>
      <c r="K106" s="105"/>
      <c r="L106" s="105">
        <f>L94*$L$101</f>
        <v>5.4234249066615465</v>
      </c>
      <c r="M106" s="105"/>
      <c r="N106" s="105">
        <f>N94*$L$101</f>
        <v>6.4796144469242973</v>
      </c>
      <c r="P106" s="105">
        <f>P94*$P$101</f>
        <v>2.9602860948860945</v>
      </c>
      <c r="Q106" s="105"/>
      <c r="R106" s="105">
        <f>R94*$P$101</f>
        <v>3.5367895522795125</v>
      </c>
    </row>
    <row r="107" spans="1:18" x14ac:dyDescent="0.35">
      <c r="D107" s="98" t="s">
        <v>87</v>
      </c>
      <c r="G107" s="105">
        <f>G95*$G$101</f>
        <v>29.914924289410539</v>
      </c>
      <c r="H107" s="105"/>
      <c r="I107" s="105">
        <f>I95*$G$101</f>
        <v>28.056915408168489</v>
      </c>
      <c r="J107" s="105"/>
      <c r="K107" s="105"/>
      <c r="L107" s="105">
        <f>L95*$L$101</f>
        <v>4.6870103504358331</v>
      </c>
      <c r="M107" s="105"/>
      <c r="N107" s="105">
        <f>N95*$L$101</f>
        <v>4.1311272170414544</v>
      </c>
      <c r="P107" s="105">
        <f>P95*$P$101</f>
        <v>2.5583264829462258</v>
      </c>
      <c r="Q107" s="105"/>
      <c r="R107" s="105">
        <f>R95*$P$101</f>
        <v>2.2549069393017938</v>
      </c>
    </row>
    <row r="108" spans="1:18" x14ac:dyDescent="0.35">
      <c r="D108" s="98" t="s">
        <v>88</v>
      </c>
      <c r="G108" s="105">
        <f>G96*$G$101</f>
        <v>21.370062793782175</v>
      </c>
      <c r="H108" s="105"/>
      <c r="I108" s="105">
        <f>I96*$G$101</f>
        <v>18.632527708411089</v>
      </c>
      <c r="J108" s="105"/>
      <c r="K108" s="105"/>
      <c r="L108" s="105">
        <f>L96*$L$101</f>
        <v>4.3019951070361904</v>
      </c>
      <c r="M108" s="105"/>
      <c r="N108" s="105">
        <f>N96*$L$101</f>
        <v>3.3291349123193079</v>
      </c>
      <c r="P108" s="105">
        <f>P96*$P$101</f>
        <v>2.3481723292572538</v>
      </c>
      <c r="Q108" s="105"/>
      <c r="R108" s="105">
        <f>R96*$P$101</f>
        <v>1.8171528063076223</v>
      </c>
    </row>
    <row r="109" spans="1:18" x14ac:dyDescent="0.35">
      <c r="D109" s="98" t="s">
        <v>148</v>
      </c>
      <c r="E109" s="81"/>
      <c r="F109" s="81"/>
      <c r="G109" s="100">
        <f>G104/G107</f>
        <v>1.8772946952184157</v>
      </c>
      <c r="H109" s="81"/>
      <c r="I109" s="100">
        <f>I104/I107</f>
        <v>1.9652365486917718</v>
      </c>
      <c r="J109" s="81"/>
      <c r="K109" s="81"/>
      <c r="L109" s="100">
        <f>L104/L107</f>
        <v>1.5696320077573909</v>
      </c>
      <c r="M109" s="81"/>
      <c r="N109" s="100">
        <f>N104/N107</f>
        <v>2.3832423272264025</v>
      </c>
      <c r="O109" s="81"/>
      <c r="P109" s="100">
        <f>P104/P107</f>
        <v>1.5696320077573909</v>
      </c>
      <c r="Q109" s="81"/>
      <c r="R109" s="100">
        <f>R104/R107</f>
        <v>2.3832423272264021</v>
      </c>
    </row>
    <row r="110" spans="1:18" x14ac:dyDescent="0.35">
      <c r="D110" s="98"/>
      <c r="E110" s="81"/>
      <c r="F110" s="81"/>
      <c r="G110" s="100"/>
      <c r="H110" s="81"/>
      <c r="I110" s="100"/>
      <c r="J110" s="81"/>
      <c r="K110" s="81"/>
      <c r="L110" s="100"/>
      <c r="M110" s="81"/>
      <c r="N110" s="100"/>
    </row>
    <row r="111" spans="1:18" x14ac:dyDescent="0.35">
      <c r="A111" s="108" t="s">
        <v>257</v>
      </c>
      <c r="D111" s="98"/>
      <c r="E111" s="81"/>
      <c r="F111" s="81"/>
      <c r="G111" s="100"/>
      <c r="H111" s="81"/>
      <c r="I111" s="100"/>
      <c r="J111" s="81"/>
      <c r="K111" s="81"/>
      <c r="L111" s="100"/>
      <c r="M111" s="81"/>
      <c r="N111" s="100"/>
    </row>
    <row r="112" spans="1:18" x14ac:dyDescent="0.35">
      <c r="D112" s="98"/>
      <c r="E112" s="81"/>
      <c r="F112" s="81"/>
      <c r="G112" s="100"/>
      <c r="H112" s="81"/>
      <c r="I112" s="100"/>
      <c r="J112" s="81"/>
      <c r="K112" s="81"/>
      <c r="L112" s="100"/>
      <c r="M112" s="81"/>
      <c r="N112" s="100"/>
    </row>
    <row r="113" spans="4:40" x14ac:dyDescent="0.35">
      <c r="D113" s="109" t="s">
        <v>177</v>
      </c>
      <c r="E113" s="81"/>
      <c r="F113" s="81"/>
      <c r="G113" s="100"/>
      <c r="H113" s="81"/>
      <c r="I113" s="100"/>
      <c r="J113" s="81"/>
      <c r="K113" s="81"/>
      <c r="L113" s="100"/>
      <c r="M113" s="81"/>
      <c r="N113" s="100"/>
    </row>
    <row r="114" spans="4:40" x14ac:dyDescent="0.35">
      <c r="D114" s="98" t="s">
        <v>198</v>
      </c>
      <c r="E114" s="81"/>
      <c r="F114" s="81"/>
      <c r="G114" s="100"/>
      <c r="H114" s="81"/>
      <c r="I114" s="100"/>
      <c r="J114" s="81"/>
      <c r="K114" s="81"/>
      <c r="L114" s="100"/>
      <c r="M114" s="81"/>
      <c r="N114" s="100"/>
    </row>
    <row r="115" spans="4:40" x14ac:dyDescent="0.35">
      <c r="D115" s="98" t="s">
        <v>199</v>
      </c>
      <c r="E115" s="81"/>
      <c r="F115" s="81"/>
      <c r="G115" s="100"/>
      <c r="H115" s="81"/>
      <c r="I115" s="100"/>
      <c r="J115" s="81"/>
      <c r="K115" s="81"/>
      <c r="L115" s="100"/>
      <c r="M115" s="81"/>
      <c r="N115" s="100"/>
    </row>
    <row r="116" spans="4:40" x14ac:dyDescent="0.35">
      <c r="D116" s="98" t="s">
        <v>200</v>
      </c>
      <c r="E116" s="81"/>
      <c r="F116" s="81"/>
      <c r="G116" s="100"/>
      <c r="H116" s="81"/>
      <c r="I116" s="100"/>
      <c r="J116" s="81"/>
      <c r="K116" s="81"/>
      <c r="L116" s="100"/>
      <c r="M116" s="81"/>
      <c r="N116" s="100"/>
    </row>
    <row r="117" spans="4:40" x14ac:dyDescent="0.35">
      <c r="D117" s="98" t="s">
        <v>201</v>
      </c>
      <c r="E117" s="81"/>
      <c r="F117" s="81"/>
      <c r="G117" s="100"/>
      <c r="H117" s="81"/>
      <c r="I117" s="100"/>
      <c r="J117" s="81"/>
      <c r="K117" s="81"/>
      <c r="L117" s="100"/>
      <c r="M117" s="81"/>
      <c r="N117" s="100"/>
    </row>
    <row r="118" spans="4:40" x14ac:dyDescent="0.35">
      <c r="D118" s="98" t="s">
        <v>202</v>
      </c>
      <c r="E118" s="81"/>
      <c r="F118" s="81"/>
      <c r="G118" s="100"/>
      <c r="H118" s="81"/>
      <c r="I118" s="100"/>
      <c r="J118" s="81"/>
      <c r="K118" s="81"/>
      <c r="L118" s="100"/>
      <c r="M118" s="81"/>
      <c r="N118" s="100"/>
    </row>
    <row r="119" spans="4:40" x14ac:dyDescent="0.35">
      <c r="D119" s="98"/>
      <c r="E119" s="81" t="s">
        <v>178</v>
      </c>
      <c r="F119" s="81"/>
      <c r="G119" s="100"/>
      <c r="H119" s="81"/>
      <c r="I119" s="100"/>
      <c r="J119" s="81"/>
      <c r="K119" s="81"/>
      <c r="L119" s="100"/>
      <c r="M119" s="81"/>
      <c r="N119" s="110">
        <f>E27*N39/100</f>
        <v>1033.8079679012121</v>
      </c>
      <c r="R119" s="94">
        <f>J27*R39/100</f>
        <v>269.32364709548767</v>
      </c>
    </row>
    <row r="120" spans="4:40" x14ac:dyDescent="0.35">
      <c r="D120" s="98"/>
      <c r="E120" s="81" t="s">
        <v>197</v>
      </c>
      <c r="F120" s="81"/>
      <c r="G120" s="100"/>
      <c r="H120" s="81"/>
      <c r="I120" s="100"/>
      <c r="J120" s="81"/>
      <c r="K120" s="81"/>
      <c r="L120" s="100"/>
      <c r="M120" s="81"/>
      <c r="N120" s="110">
        <f>E25+E26</f>
        <v>3045.2765599999998</v>
      </c>
      <c r="R120" s="94">
        <f>J25+J26</f>
        <v>1005.8</v>
      </c>
    </row>
    <row r="121" spans="4:40" x14ac:dyDescent="0.35">
      <c r="D121" s="98"/>
      <c r="E121" s="81" t="s">
        <v>127</v>
      </c>
      <c r="F121" s="81"/>
      <c r="G121" s="100"/>
      <c r="H121" s="81"/>
      <c r="I121" s="100"/>
      <c r="J121" s="81"/>
      <c r="K121" s="81"/>
      <c r="L121" s="100"/>
      <c r="M121" s="81"/>
      <c r="N121" s="110">
        <f>E26</f>
        <v>2153.3555899999997</v>
      </c>
      <c r="R121" s="94">
        <f>J26</f>
        <v>995</v>
      </c>
    </row>
    <row r="122" spans="4:40" x14ac:dyDescent="0.35">
      <c r="D122" s="98"/>
      <c r="E122" s="81" t="s">
        <v>179</v>
      </c>
      <c r="F122" s="81"/>
      <c r="G122" s="100"/>
      <c r="H122" s="81"/>
      <c r="I122" s="100"/>
      <c r="J122" s="81"/>
      <c r="K122" s="81"/>
      <c r="L122" s="100"/>
      <c r="M122" s="81"/>
      <c r="N122" s="110">
        <f>N121*L36/100</f>
        <v>369.27925051004854</v>
      </c>
      <c r="R122" s="94">
        <f>J26*P36/100</f>
        <v>79.659226524144273</v>
      </c>
      <c r="T122" s="81"/>
      <c r="U122" s="81"/>
      <c r="V122" s="81"/>
      <c r="W122" s="81"/>
      <c r="X122" s="81"/>
      <c r="Y122" s="81"/>
      <c r="Z122" s="81"/>
      <c r="AA122" s="81"/>
      <c r="AB122" s="81"/>
      <c r="AC122" s="81"/>
      <c r="AD122" s="81"/>
      <c r="AE122" s="81"/>
      <c r="AF122" s="81"/>
      <c r="AG122" s="81"/>
      <c r="AH122" s="81"/>
      <c r="AI122" s="81"/>
      <c r="AJ122" s="81"/>
      <c r="AK122" s="81"/>
      <c r="AL122" s="81"/>
      <c r="AM122" s="81"/>
      <c r="AN122" s="81"/>
    </row>
    <row r="123" spans="4:40" x14ac:dyDescent="0.35">
      <c r="D123" s="98"/>
      <c r="E123" s="81" t="s">
        <v>256</v>
      </c>
      <c r="F123" s="81"/>
      <c r="G123" s="100"/>
      <c r="H123" s="81"/>
      <c r="I123" s="100"/>
      <c r="J123" s="81"/>
      <c r="K123" s="81"/>
      <c r="L123" s="100"/>
      <c r="M123" s="81"/>
      <c r="N123" s="110">
        <f>N120-N121+N122</f>
        <v>1261.2002205100487</v>
      </c>
      <c r="P123" s="81"/>
      <c r="Q123" s="81"/>
      <c r="R123" s="110">
        <f>R120-R121+R122</f>
        <v>90.459226524144228</v>
      </c>
      <c r="T123" s="81"/>
      <c r="U123" s="81"/>
      <c r="V123" s="81"/>
      <c r="W123" s="81"/>
      <c r="X123" s="81"/>
      <c r="Y123" s="81"/>
      <c r="Z123" s="81"/>
      <c r="AA123" s="81"/>
      <c r="AB123" s="81"/>
      <c r="AC123" s="81"/>
      <c r="AD123" s="81"/>
      <c r="AE123" s="81"/>
      <c r="AF123" s="81"/>
      <c r="AG123" s="81"/>
      <c r="AH123" s="81"/>
      <c r="AI123" s="81"/>
      <c r="AJ123" s="81"/>
      <c r="AK123" s="81"/>
      <c r="AL123" s="81"/>
      <c r="AM123" s="81"/>
      <c r="AN123" s="81"/>
    </row>
    <row r="124" spans="4:40" x14ac:dyDescent="0.35">
      <c r="D124" s="98"/>
      <c r="E124" s="81" t="s">
        <v>255</v>
      </c>
      <c r="F124" s="81"/>
      <c r="G124" s="100"/>
      <c r="H124" s="81"/>
      <c r="I124" s="100"/>
      <c r="J124" s="81"/>
      <c r="K124" s="81"/>
      <c r="L124" s="100"/>
      <c r="M124" s="81"/>
      <c r="N124" s="110">
        <f>N123*2*L272</f>
        <v>252.24004410200973</v>
      </c>
      <c r="P124" s="81"/>
      <c r="Q124" s="81"/>
      <c r="R124" s="110">
        <f>R123*2*L272</f>
        <v>18.091845304828848</v>
      </c>
      <c r="T124" s="81"/>
      <c r="U124" s="81"/>
      <c r="V124" s="81"/>
      <c r="W124" s="81"/>
      <c r="X124" s="81"/>
      <c r="Y124" s="81"/>
      <c r="Z124" s="81"/>
      <c r="AA124" s="81"/>
      <c r="AB124" s="81"/>
      <c r="AC124" s="81"/>
      <c r="AD124" s="81"/>
      <c r="AE124" s="81"/>
      <c r="AF124" s="81"/>
      <c r="AG124" s="81"/>
      <c r="AH124" s="81"/>
      <c r="AI124" s="81"/>
      <c r="AJ124" s="81"/>
      <c r="AK124" s="81"/>
      <c r="AL124" s="81"/>
      <c r="AM124" s="81"/>
      <c r="AN124" s="81"/>
    </row>
    <row r="125" spans="4:40" x14ac:dyDescent="0.35">
      <c r="D125" s="98"/>
      <c r="E125" s="81" t="s">
        <v>180</v>
      </c>
      <c r="F125" s="81"/>
      <c r="G125" s="100"/>
      <c r="H125" s="81"/>
      <c r="I125" s="100"/>
      <c r="J125" s="81"/>
      <c r="K125" s="81"/>
      <c r="L125" s="100"/>
      <c r="M125" s="81"/>
      <c r="N125" s="110">
        <f>N119-N124</f>
        <v>781.56792379920239</v>
      </c>
      <c r="O125" s="81"/>
      <c r="P125" s="81"/>
      <c r="Q125" s="81"/>
      <c r="R125" s="110">
        <f>R119-R124</f>
        <v>251.23180179065884</v>
      </c>
      <c r="T125" s="81"/>
      <c r="U125" s="81"/>
      <c r="V125" s="81"/>
      <c r="W125" s="81"/>
      <c r="X125" s="81"/>
      <c r="Y125" s="81"/>
      <c r="Z125" s="81"/>
      <c r="AA125" s="81"/>
      <c r="AB125" s="81"/>
      <c r="AC125" s="81"/>
      <c r="AD125" s="81"/>
      <c r="AE125" s="81"/>
      <c r="AF125" s="81"/>
      <c r="AG125" s="81"/>
      <c r="AH125" s="81"/>
      <c r="AI125" s="81"/>
      <c r="AJ125" s="81"/>
      <c r="AK125" s="81"/>
      <c r="AL125" s="81"/>
      <c r="AM125" s="81"/>
      <c r="AN125" s="81"/>
    </row>
    <row r="126" spans="4:40" x14ac:dyDescent="0.35">
      <c r="D126" s="98"/>
      <c r="E126" s="81"/>
      <c r="F126" s="81"/>
      <c r="G126" s="100"/>
      <c r="H126" s="81"/>
      <c r="I126" s="100"/>
      <c r="J126" s="81"/>
      <c r="K126" s="81"/>
      <c r="L126" s="100"/>
      <c r="M126" s="81"/>
      <c r="N126" s="100"/>
      <c r="P126" s="81" t="s">
        <v>194</v>
      </c>
      <c r="Q126" s="81"/>
    </row>
    <row r="127" spans="4:40" x14ac:dyDescent="0.35">
      <c r="D127" s="111" t="s">
        <v>184</v>
      </c>
      <c r="E127" s="81"/>
      <c r="F127" s="81"/>
      <c r="G127" s="100"/>
      <c r="H127" s="81"/>
      <c r="I127" s="100"/>
      <c r="J127" s="112" t="s">
        <v>70</v>
      </c>
      <c r="K127" s="87"/>
      <c r="L127" s="112" t="s">
        <v>74</v>
      </c>
      <c r="M127" s="112"/>
      <c r="N127" s="112" t="s">
        <v>72</v>
      </c>
      <c r="O127" s="113"/>
      <c r="P127" s="112" t="s">
        <v>74</v>
      </c>
      <c r="Q127" s="112"/>
      <c r="R127" s="112" t="s">
        <v>72</v>
      </c>
    </row>
    <row r="128" spans="4:40" x14ac:dyDescent="0.35">
      <c r="D128" s="98"/>
      <c r="E128" s="81" t="s">
        <v>181</v>
      </c>
      <c r="F128" s="81"/>
      <c r="G128" s="100"/>
      <c r="H128" s="81"/>
      <c r="I128" s="100"/>
      <c r="J128" s="110">
        <f>E26*L36/100</f>
        <v>369.27925051004854</v>
      </c>
      <c r="K128" s="110"/>
      <c r="L128" s="110">
        <f>E26*L37/100</f>
        <v>871.34230129923378</v>
      </c>
      <c r="M128" s="110"/>
      <c r="N128" s="110">
        <f>E26*L38/100</f>
        <v>504.52063021346055</v>
      </c>
      <c r="O128" s="94"/>
      <c r="P128" s="110">
        <f>J26*P37/100</f>
        <v>368.2888614106181</v>
      </c>
      <c r="Q128" s="110"/>
      <c r="R128" s="110">
        <f>J26*P38/100</f>
        <v>148.06796975832296</v>
      </c>
    </row>
    <row r="129" spans="4:18" x14ac:dyDescent="0.35">
      <c r="D129" s="98"/>
      <c r="E129" s="81" t="s">
        <v>182</v>
      </c>
      <c r="F129" s="81"/>
      <c r="G129" s="100"/>
      <c r="H129" s="81"/>
      <c r="I129" s="100"/>
      <c r="J129" s="110">
        <f>N125*N36/100</f>
        <v>42.092235350729794</v>
      </c>
      <c r="K129" s="110"/>
      <c r="L129" s="110">
        <f>N125*N37/100</f>
        <v>52.022565514733166</v>
      </c>
      <c r="M129" s="110"/>
      <c r="N129" s="110">
        <f>N125*N38/100</f>
        <v>632.2943767286846</v>
      </c>
      <c r="O129" s="94"/>
      <c r="P129" s="110">
        <f>R125*R37/100</f>
        <v>27.42499647545057</v>
      </c>
      <c r="Q129" s="110"/>
      <c r="R129" s="110">
        <f>R125*R38/100</f>
        <v>192.65553681587738</v>
      </c>
    </row>
    <row r="130" spans="4:18" x14ac:dyDescent="0.35">
      <c r="D130" s="98"/>
      <c r="E130" s="81" t="s">
        <v>176</v>
      </c>
      <c r="F130" s="81"/>
      <c r="G130" s="100"/>
      <c r="H130" s="81"/>
      <c r="I130" s="100"/>
      <c r="J130" s="110">
        <f>J128+J129</f>
        <v>411.37148586077831</v>
      </c>
      <c r="K130" s="110"/>
      <c r="L130" s="110">
        <f>L128+L129</f>
        <v>923.36486681396696</v>
      </c>
      <c r="M130" s="110"/>
      <c r="N130" s="110">
        <f>N128+N129</f>
        <v>1136.8150069421451</v>
      </c>
      <c r="O130" s="94"/>
      <c r="P130" s="110">
        <f>P128+P129</f>
        <v>395.71385788606869</v>
      </c>
      <c r="Q130" s="110"/>
      <c r="R130" s="110">
        <f>R128+R129</f>
        <v>340.72350657420031</v>
      </c>
    </row>
    <row r="131" spans="4:18" x14ac:dyDescent="0.35">
      <c r="D131" s="98"/>
      <c r="E131" s="81" t="s">
        <v>183</v>
      </c>
      <c r="F131" s="81"/>
      <c r="G131" s="100"/>
      <c r="H131" s="81"/>
      <c r="I131" s="100"/>
      <c r="J131" s="81"/>
      <c r="K131" s="81"/>
      <c r="L131" s="110">
        <f>L130*L54</f>
        <v>352.38295228057984</v>
      </c>
      <c r="M131" s="110"/>
      <c r="N131" s="110">
        <f>N130*N54</f>
        <v>511.43272348756278</v>
      </c>
      <c r="P131" s="110">
        <f>P130*P54</f>
        <v>130.58557310240266</v>
      </c>
      <c r="Q131" s="110"/>
      <c r="R131" s="110">
        <f>R130*R54</f>
        <v>126.06769743245411</v>
      </c>
    </row>
    <row r="132" spans="4:18" x14ac:dyDescent="0.35">
      <c r="D132" s="98"/>
      <c r="E132" s="81"/>
      <c r="F132" s="98" t="s">
        <v>84</v>
      </c>
      <c r="G132" s="100"/>
      <c r="H132" s="81"/>
      <c r="I132" s="100"/>
      <c r="J132" s="81"/>
      <c r="K132" s="81"/>
      <c r="L132" s="110">
        <f>L$131*L58</f>
        <v>13.818060635482952</v>
      </c>
      <c r="M132" s="110"/>
      <c r="N132" s="110">
        <f>N$131*N58</f>
        <v>78.973286983715553</v>
      </c>
      <c r="P132" s="110">
        <f>P$131*P58</f>
        <v>5.1206772506166329</v>
      </c>
      <c r="Q132" s="110"/>
      <c r="R132" s="110">
        <f>R$131*R58</f>
        <v>19.466842834806467</v>
      </c>
    </row>
    <row r="133" spans="4:18" x14ac:dyDescent="0.35">
      <c r="D133" s="98"/>
      <c r="E133" s="81"/>
      <c r="F133" s="98" t="s">
        <v>85</v>
      </c>
      <c r="G133" s="100"/>
      <c r="H133" s="81"/>
      <c r="I133" s="100"/>
      <c r="J133" s="81"/>
      <c r="K133" s="81"/>
      <c r="L133" s="110">
        <f>L$131*L59</f>
        <v>126.8091650273121</v>
      </c>
      <c r="M133" s="110"/>
      <c r="N133" s="110">
        <f>N$131*N59</f>
        <v>201.20057074474272</v>
      </c>
      <c r="P133" s="110">
        <f>P$131*P59</f>
        <v>46.99275995776177</v>
      </c>
      <c r="Q133" s="110"/>
      <c r="R133" s="110">
        <f>R$131*R59</f>
        <v>49.595756217781663</v>
      </c>
    </row>
    <row r="134" spans="4:18" x14ac:dyDescent="0.35">
      <c r="D134" s="98"/>
      <c r="E134" s="81"/>
      <c r="F134" s="98" t="s">
        <v>86</v>
      </c>
      <c r="G134" s="100"/>
      <c r="H134" s="81"/>
      <c r="I134" s="100"/>
      <c r="J134" s="81"/>
      <c r="K134" s="81"/>
      <c r="L134" s="110">
        <f>L$131*L60</f>
        <v>140.62722566279507</v>
      </c>
      <c r="M134" s="110"/>
      <c r="N134" s="110">
        <f>N$131*N60</f>
        <v>280.17385772845824</v>
      </c>
      <c r="P134" s="110">
        <f>P$131*P60</f>
        <v>52.113437208378407</v>
      </c>
      <c r="Q134" s="110"/>
      <c r="R134" s="110">
        <f>R$131*R60</f>
        <v>69.062599052588126</v>
      </c>
    </row>
    <row r="135" spans="4:18" x14ac:dyDescent="0.35">
      <c r="D135" s="98"/>
      <c r="E135" s="81"/>
      <c r="F135" s="98" t="s">
        <v>87</v>
      </c>
      <c r="G135" s="100"/>
      <c r="H135" s="81"/>
      <c r="I135" s="100"/>
      <c r="J135" s="81"/>
      <c r="K135" s="81"/>
      <c r="L135" s="110">
        <f>L$131*L61</f>
        <v>338.56489164509685</v>
      </c>
      <c r="M135" s="110"/>
      <c r="N135" s="110">
        <f>N$131*N61</f>
        <v>432.4594365038472</v>
      </c>
      <c r="P135" s="110">
        <f>P$131*P61</f>
        <v>125.46489585178603</v>
      </c>
      <c r="Q135" s="110"/>
      <c r="R135" s="110">
        <f>R$131*R61</f>
        <v>106.60085459764764</v>
      </c>
    </row>
    <row r="136" spans="4:18" x14ac:dyDescent="0.35">
      <c r="D136" s="98"/>
      <c r="E136" s="81"/>
      <c r="F136" s="98" t="s">
        <v>88</v>
      </c>
      <c r="G136" s="100"/>
      <c r="H136" s="81"/>
      <c r="I136" s="100"/>
      <c r="J136" s="81"/>
      <c r="K136" s="81"/>
      <c r="L136" s="110">
        <f>L$131*L62</f>
        <v>211.75572661778472</v>
      </c>
      <c r="M136" s="110"/>
      <c r="N136" s="110">
        <f>N$131*N62</f>
        <v>231.25886575910451</v>
      </c>
      <c r="P136" s="110">
        <f>P$131*P62</f>
        <v>78.472135894024234</v>
      </c>
      <c r="Q136" s="110"/>
      <c r="R136" s="110">
        <f>R$131*R62</f>
        <v>57.005098379865977</v>
      </c>
    </row>
    <row r="137" spans="4:18" x14ac:dyDescent="0.35">
      <c r="D137" s="98"/>
      <c r="E137" s="81"/>
      <c r="F137" s="81"/>
      <c r="G137" s="100"/>
      <c r="H137" s="81"/>
      <c r="I137" s="100"/>
      <c r="J137" s="81"/>
      <c r="K137" s="81"/>
      <c r="L137" s="100"/>
      <c r="M137" s="81"/>
      <c r="N137" s="100"/>
    </row>
    <row r="138" spans="4:18" x14ac:dyDescent="0.35">
      <c r="D138" s="98" t="s">
        <v>185</v>
      </c>
      <c r="E138" s="81"/>
      <c r="F138" s="81"/>
      <c r="G138" s="100"/>
      <c r="H138" s="81"/>
      <c r="I138" s="100"/>
      <c r="J138" s="81"/>
      <c r="K138" s="81"/>
      <c r="L138" s="100"/>
      <c r="M138" s="81"/>
      <c r="N138" s="100"/>
    </row>
    <row r="139" spans="4:18" x14ac:dyDescent="0.35">
      <c r="D139" s="98"/>
      <c r="E139" s="81"/>
      <c r="F139" s="98" t="s">
        <v>84</v>
      </c>
      <c r="G139" s="100"/>
      <c r="H139" s="81"/>
      <c r="I139" s="100"/>
      <c r="J139" s="81"/>
      <c r="K139" s="81"/>
      <c r="L139" s="88">
        <f>L132/L104</f>
        <v>1.878249730944328</v>
      </c>
      <c r="M139" s="88"/>
      <c r="N139" s="88">
        <f>N132/N104</f>
        <v>8.0212756615111651</v>
      </c>
      <c r="P139" s="88">
        <f>P132/P104</f>
        <v>1.2751861612375044</v>
      </c>
      <c r="Q139" s="88"/>
      <c r="R139" s="88">
        <f>R132/R104</f>
        <v>3.6224191076404653</v>
      </c>
    </row>
    <row r="140" spans="4:18" x14ac:dyDescent="0.35">
      <c r="D140" s="98"/>
      <c r="E140" s="81"/>
      <c r="F140" s="98" t="s">
        <v>85</v>
      </c>
      <c r="G140" s="100"/>
      <c r="H140" s="81"/>
      <c r="I140" s="100"/>
      <c r="J140" s="81"/>
      <c r="K140" s="81"/>
      <c r="L140" s="88">
        <f>L133/L105</f>
        <v>24.294060101739358</v>
      </c>
      <c r="M140" s="88"/>
      <c r="N140" s="88">
        <f>N133/N105</f>
        <v>35.218003468970032</v>
      </c>
      <c r="P140" s="88">
        <f>P133/P105</f>
        <v>16.493786066688099</v>
      </c>
      <c r="Q140" s="88"/>
      <c r="R140" s="88">
        <f>R133/R105</f>
        <v>15.904498745890361</v>
      </c>
    </row>
    <row r="141" spans="4:18" x14ac:dyDescent="0.35">
      <c r="D141" s="98"/>
      <c r="E141" s="81"/>
      <c r="F141" s="98" t="s">
        <v>86</v>
      </c>
      <c r="G141" s="100"/>
      <c r="H141" s="81"/>
      <c r="I141" s="100"/>
      <c r="J141" s="81"/>
      <c r="K141" s="81"/>
      <c r="L141" s="88">
        <f>L134/L106</f>
        <v>25.929597640425307</v>
      </c>
      <c r="M141" s="88"/>
      <c r="N141" s="88">
        <f>N134/N106</f>
        <v>43.239279130481201</v>
      </c>
      <c r="P141" s="88">
        <f>P134/P106</f>
        <v>17.604189439123662</v>
      </c>
      <c r="Q141" s="88"/>
      <c r="R141" s="88">
        <f>R134/R106</f>
        <v>19.526917853530829</v>
      </c>
    </row>
    <row r="142" spans="4:18" x14ac:dyDescent="0.35">
      <c r="D142" s="98"/>
      <c r="E142" s="81"/>
      <c r="F142" s="98" t="s">
        <v>87</v>
      </c>
      <c r="G142" s="100"/>
      <c r="H142" s="81"/>
      <c r="I142" s="100"/>
      <c r="J142" s="81"/>
      <c r="K142" s="81"/>
      <c r="L142" s="88">
        <f>L135/L107</f>
        <v>72.234722420362175</v>
      </c>
      <c r="M142" s="88"/>
      <c r="N142" s="88">
        <f>N135/N107</f>
        <v>104.6831563840237</v>
      </c>
      <c r="P142" s="88">
        <f>P135/P107</f>
        <v>49.041784419671821</v>
      </c>
      <c r="Q142" s="88"/>
      <c r="R142" s="88">
        <f>R135/R107</f>
        <v>47.275057227264277</v>
      </c>
    </row>
    <row r="143" spans="4:18" x14ac:dyDescent="0.35">
      <c r="D143" s="98"/>
      <c r="E143" s="81"/>
      <c r="F143" s="98" t="s">
        <v>88</v>
      </c>
      <c r="G143" s="100"/>
      <c r="H143" s="81"/>
      <c r="I143" s="100"/>
      <c r="J143" s="81"/>
      <c r="K143" s="81"/>
      <c r="L143" s="88">
        <f>L136/L108</f>
        <v>49.222679558943376</v>
      </c>
      <c r="M143" s="88"/>
      <c r="N143" s="88">
        <f>N136/N108</f>
        <v>69.465152915053665</v>
      </c>
      <c r="P143" s="88">
        <f>P136/P108</f>
        <v>33.418388810861089</v>
      </c>
      <c r="Q143" s="88"/>
      <c r="R143" s="88">
        <f>R136/R108</f>
        <v>31.370558481373905</v>
      </c>
    </row>
    <row r="144" spans="4:18" x14ac:dyDescent="0.35">
      <c r="D144" s="98"/>
      <c r="E144" s="81"/>
      <c r="F144" s="98"/>
      <c r="G144" s="100"/>
      <c r="H144" s="81"/>
      <c r="I144" s="100"/>
      <c r="J144" s="81"/>
      <c r="K144" s="81"/>
      <c r="L144" s="88"/>
      <c r="M144" s="88"/>
      <c r="N144" s="88"/>
      <c r="P144" s="88"/>
      <c r="Q144" s="88"/>
      <c r="R144" s="88"/>
    </row>
    <row r="145" spans="1:18" x14ac:dyDescent="0.35">
      <c r="D145" s="98"/>
      <c r="E145" s="81"/>
      <c r="F145" s="98"/>
      <c r="G145" s="100"/>
      <c r="H145" s="81"/>
      <c r="I145" s="100"/>
      <c r="J145" s="81"/>
      <c r="K145" s="81"/>
      <c r="L145" s="100"/>
      <c r="M145" s="81"/>
      <c r="N145" s="100"/>
      <c r="P145" s="81" t="s">
        <v>194</v>
      </c>
      <c r="Q145" s="81"/>
      <c r="R145" s="81" t="s">
        <v>194</v>
      </c>
    </row>
    <row r="146" spans="1:18" x14ac:dyDescent="0.35">
      <c r="D146" s="50" t="s">
        <v>317</v>
      </c>
      <c r="E146" s="114"/>
      <c r="F146" s="109"/>
      <c r="G146" s="115"/>
      <c r="H146" s="114"/>
      <c r="I146" s="115"/>
      <c r="J146" s="114"/>
      <c r="K146" s="81"/>
      <c r="L146" s="87" t="s">
        <v>74</v>
      </c>
      <c r="M146" s="87"/>
      <c r="N146" s="87" t="s">
        <v>72</v>
      </c>
      <c r="O146" s="113"/>
      <c r="P146" s="87" t="s">
        <v>74</v>
      </c>
      <c r="Q146" s="87"/>
      <c r="R146" s="87" t="s">
        <v>72</v>
      </c>
    </row>
    <row r="147" spans="1:18" x14ac:dyDescent="0.35">
      <c r="D147" s="98"/>
      <c r="E147" s="81"/>
      <c r="F147" s="98" t="s">
        <v>84</v>
      </c>
      <c r="G147" s="100"/>
      <c r="H147" s="81"/>
      <c r="I147" s="100"/>
      <c r="J147" s="81"/>
      <c r="K147" s="81"/>
      <c r="L147" s="88">
        <f>1000*L139/L$98</f>
        <v>0.82283909295126767</v>
      </c>
      <c r="M147" s="88"/>
      <c r="N147" s="88">
        <f>1000*N139/N$98</f>
        <v>3.7733038912546331</v>
      </c>
      <c r="P147" s="88">
        <f>1000*P139/P$98</f>
        <v>0.52541663009373896</v>
      </c>
      <c r="Q147" s="88"/>
      <c r="R147" s="88">
        <f>1000*R139/R$98</f>
        <v>1.6786001425581396</v>
      </c>
    </row>
    <row r="148" spans="1:18" x14ac:dyDescent="0.35">
      <c r="D148" s="98"/>
      <c r="E148" s="81"/>
      <c r="F148" s="98" t="s">
        <v>85</v>
      </c>
      <c r="G148" s="100"/>
      <c r="H148" s="81"/>
      <c r="I148" s="100"/>
      <c r="J148" s="81"/>
      <c r="K148" s="81"/>
      <c r="L148" s="88">
        <f>1000*L140/L$98</f>
        <v>10.642941696665844</v>
      </c>
      <c r="M148" s="88"/>
      <c r="N148" s="88">
        <f>1000*N140/N$98</f>
        <v>16.566969536943748</v>
      </c>
      <c r="P148" s="88">
        <f>1000*P140/P$98</f>
        <v>6.7959563521582611</v>
      </c>
      <c r="Q148" s="88"/>
      <c r="R148" s="88">
        <f>1000*R140/R$98</f>
        <v>7.3700179545367757</v>
      </c>
    </row>
    <row r="149" spans="1:18" x14ac:dyDescent="0.35">
      <c r="D149" s="98"/>
      <c r="E149" s="81"/>
      <c r="F149" s="98" t="s">
        <v>86</v>
      </c>
      <c r="G149" s="100"/>
      <c r="H149" s="81"/>
      <c r="I149" s="100"/>
      <c r="J149" s="81"/>
      <c r="K149" s="81"/>
      <c r="L149" s="88">
        <f>1000*L141/L$98</f>
        <v>11.359451435838533</v>
      </c>
      <c r="M149" s="88"/>
      <c r="N149" s="88">
        <f>1000*N141/N$98</f>
        <v>20.340273428198383</v>
      </c>
      <c r="P149" s="88">
        <f>1000*P141/P$98</f>
        <v>7.2534773131947512</v>
      </c>
      <c r="Q149" s="88"/>
      <c r="R149" s="88">
        <f>1000*R141/R$98</f>
        <v>9.0486180970949146</v>
      </c>
    </row>
    <row r="150" spans="1:18" x14ac:dyDescent="0.35">
      <c r="D150" s="98"/>
      <c r="E150" s="81"/>
      <c r="F150" s="98" t="s">
        <v>87</v>
      </c>
      <c r="G150" s="100"/>
      <c r="H150" s="81"/>
      <c r="I150" s="100"/>
      <c r="J150" s="81"/>
      <c r="K150" s="81"/>
      <c r="L150" s="88">
        <f>1000*L142/L$98</f>
        <v>31.64518141369517</v>
      </c>
      <c r="M150" s="88"/>
      <c r="N150" s="88">
        <f>1000*N142/N$98</f>
        <v>49.244207280894997</v>
      </c>
      <c r="O150" s="81"/>
      <c r="P150" s="88">
        <f>1000*P142/P$98</f>
        <v>20.206750893972732</v>
      </c>
      <c r="Q150" s="88"/>
      <c r="R150" s="88">
        <f>1000*R142/R$98</f>
        <v>21.906884720697068</v>
      </c>
    </row>
    <row r="151" spans="1:18" x14ac:dyDescent="0.35">
      <c r="D151" s="98"/>
      <c r="E151" s="81"/>
      <c r="F151" s="98" t="s">
        <v>88</v>
      </c>
      <c r="G151" s="100"/>
      <c r="H151" s="81"/>
      <c r="I151" s="100"/>
      <c r="J151" s="81"/>
      <c r="K151" s="81"/>
      <c r="L151" s="88">
        <f>1000*L143/L$98</f>
        <v>21.563876375772722</v>
      </c>
      <c r="M151" s="88"/>
      <c r="N151" s="88">
        <f>1000*N143/N$98</f>
        <v>32.677237743951245</v>
      </c>
      <c r="O151" s="81"/>
      <c r="P151" s="88">
        <f>1000*P143/P$98</f>
        <v>13.7694226661974</v>
      </c>
      <c r="Q151" s="88"/>
      <c r="R151" s="88">
        <f>1000*R143/R$98</f>
        <v>14.536866766160289</v>
      </c>
    </row>
    <row r="152" spans="1:18" x14ac:dyDescent="0.35">
      <c r="D152" s="98"/>
      <c r="E152" s="81"/>
      <c r="F152" s="98" t="s">
        <v>186</v>
      </c>
      <c r="G152" s="100"/>
      <c r="H152" s="81"/>
      <c r="I152" s="100"/>
      <c r="J152" s="81"/>
      <c r="K152" s="81"/>
      <c r="L152" s="88">
        <f>L147+L148+L151</f>
        <v>33.029657165389835</v>
      </c>
      <c r="M152" s="88"/>
      <c r="N152" s="88">
        <f>N147+N148+N151</f>
        <v>53.017511172149625</v>
      </c>
      <c r="O152" s="81"/>
      <c r="P152" s="88">
        <f>P147+P148+P151</f>
        <v>21.090795648449401</v>
      </c>
      <c r="Q152" s="88"/>
      <c r="R152" s="88">
        <f>R147+R148+R151</f>
        <v>23.585484863255203</v>
      </c>
    </row>
    <row r="153" spans="1:18" x14ac:dyDescent="0.35">
      <c r="D153" s="98"/>
      <c r="E153" s="81"/>
      <c r="F153" s="81"/>
      <c r="G153" s="81" t="s">
        <v>181</v>
      </c>
      <c r="H153" s="81"/>
      <c r="I153" s="100"/>
      <c r="J153" s="81"/>
      <c r="K153" s="81"/>
      <c r="L153" s="88">
        <f>L152*L128/L130</f>
        <v>31.168759522896082</v>
      </c>
      <c r="M153" s="88"/>
      <c r="N153" s="88">
        <f>N152*N128/N130</f>
        <v>23.529270800946943</v>
      </c>
      <c r="O153" s="81"/>
      <c r="P153" s="88">
        <f>P152*P128/P130</f>
        <v>19.629095521460908</v>
      </c>
      <c r="Q153" s="88"/>
      <c r="R153" s="88">
        <f>R152*R128/R130</f>
        <v>10.249527232742709</v>
      </c>
    </row>
    <row r="154" spans="1:18" x14ac:dyDescent="0.35">
      <c r="D154" s="98"/>
      <c r="E154" s="81"/>
      <c r="F154" s="81"/>
      <c r="G154" s="81" t="s">
        <v>182</v>
      </c>
      <c r="H154" s="81"/>
      <c r="I154" s="100"/>
      <c r="J154" s="81"/>
      <c r="K154" s="81"/>
      <c r="L154" s="88">
        <f>L152*L129/L130</f>
        <v>1.8608976424937522</v>
      </c>
      <c r="M154" s="88"/>
      <c r="N154" s="88">
        <f>N152*N129/N130</f>
        <v>29.488240371202679</v>
      </c>
      <c r="O154" s="81"/>
      <c r="P154" s="88">
        <f>P152*P129/P130</f>
        <v>1.4617001269884928</v>
      </c>
      <c r="Q154" s="88"/>
      <c r="R154" s="88">
        <f>R152*R129/R130</f>
        <v>13.335957630512496</v>
      </c>
    </row>
    <row r="155" spans="1:18" x14ac:dyDescent="0.35">
      <c r="D155" s="98"/>
      <c r="E155" s="81"/>
      <c r="F155" s="81"/>
      <c r="G155" s="100"/>
      <c r="H155" s="81"/>
      <c r="I155" s="100"/>
      <c r="J155" s="81"/>
      <c r="K155" s="81"/>
      <c r="L155" s="100"/>
      <c r="M155" s="81"/>
      <c r="N155" s="100"/>
    </row>
    <row r="157" spans="1:18" x14ac:dyDescent="0.35">
      <c r="A157" s="81" t="s">
        <v>45</v>
      </c>
      <c r="B157" s="81"/>
      <c r="C157" s="81"/>
      <c r="D157" s="81"/>
      <c r="E157" s="81"/>
      <c r="F157" s="81"/>
      <c r="G157" s="85"/>
      <c r="H157" s="85"/>
      <c r="I157" s="85"/>
      <c r="J157" s="85"/>
      <c r="K157" s="85"/>
      <c r="L157" s="85"/>
      <c r="M157" s="85"/>
      <c r="N157" s="85"/>
      <c r="O157" s="85"/>
      <c r="P157" s="81"/>
    </row>
    <row r="158" spans="1:18" x14ac:dyDescent="0.35">
      <c r="A158" s="81"/>
      <c r="B158" s="81"/>
      <c r="C158" s="81"/>
      <c r="D158" s="81"/>
      <c r="E158" s="81"/>
      <c r="F158" s="81"/>
      <c r="G158" s="85"/>
      <c r="H158" s="85"/>
      <c r="I158" s="85"/>
      <c r="J158" s="85"/>
      <c r="K158" s="85"/>
      <c r="L158" s="85"/>
      <c r="M158" s="85"/>
      <c r="N158" s="85"/>
      <c r="O158" s="85"/>
      <c r="P158" s="81"/>
    </row>
    <row r="159" spans="1:18" x14ac:dyDescent="0.35">
      <c r="A159" s="81" t="s">
        <v>47</v>
      </c>
      <c r="B159" s="81"/>
      <c r="C159" s="81"/>
      <c r="D159" s="81"/>
      <c r="E159" s="81"/>
      <c r="F159" s="81"/>
      <c r="G159" s="81"/>
      <c r="H159" s="81"/>
      <c r="I159" s="81"/>
      <c r="J159" s="81"/>
      <c r="K159" s="81"/>
      <c r="L159" s="81"/>
      <c r="M159" s="81"/>
      <c r="N159" s="81"/>
      <c r="O159" s="81"/>
      <c r="P159" s="81"/>
    </row>
    <row r="160" spans="1:18" x14ac:dyDescent="0.35">
      <c r="A160" s="81"/>
      <c r="B160" s="81"/>
      <c r="C160" s="81"/>
      <c r="D160" s="81"/>
      <c r="E160" s="81"/>
      <c r="F160" s="81"/>
      <c r="G160" s="81"/>
      <c r="H160" s="81"/>
      <c r="I160" s="81"/>
      <c r="J160" s="81"/>
      <c r="K160" s="81"/>
      <c r="L160" s="81"/>
      <c r="M160" s="81"/>
      <c r="N160" s="81"/>
      <c r="O160" s="81"/>
      <c r="P160" s="81"/>
    </row>
    <row r="161" spans="1:16" s="81" customFormat="1" x14ac:dyDescent="0.35">
      <c r="A161" s="81" t="s">
        <v>106</v>
      </c>
    </row>
    <row r="162" spans="1:16" x14ac:dyDescent="0.35">
      <c r="A162" s="81"/>
      <c r="B162" s="81"/>
      <c r="C162" s="81"/>
      <c r="D162" s="81"/>
      <c r="E162" s="81"/>
      <c r="F162" s="81"/>
      <c r="G162" s="81"/>
      <c r="H162" s="81"/>
      <c r="I162" s="81"/>
      <c r="J162" s="81"/>
      <c r="K162" s="81"/>
      <c r="L162" s="81"/>
      <c r="M162" s="81"/>
      <c r="N162" s="81"/>
      <c r="O162" s="81"/>
      <c r="P162" s="81"/>
    </row>
    <row r="163" spans="1:16" x14ac:dyDescent="0.35">
      <c r="A163" s="81"/>
      <c r="B163" s="81"/>
      <c r="C163" s="81"/>
      <c r="D163" s="81"/>
      <c r="E163" s="81"/>
      <c r="F163" s="81"/>
      <c r="G163" s="85" t="s">
        <v>73</v>
      </c>
      <c r="H163" s="85"/>
      <c r="I163" s="85"/>
      <c r="J163" s="85"/>
      <c r="K163" s="85"/>
      <c r="L163" s="85" t="s">
        <v>75</v>
      </c>
      <c r="M163" s="85"/>
      <c r="N163" s="85"/>
      <c r="O163" s="85"/>
      <c r="P163" s="81"/>
    </row>
    <row r="164" spans="1:16" x14ac:dyDescent="0.35">
      <c r="A164" s="81"/>
      <c r="B164" s="81"/>
      <c r="C164" s="81"/>
      <c r="D164" s="81"/>
      <c r="E164" s="81"/>
      <c r="F164" s="81"/>
      <c r="G164" s="85" t="s">
        <v>74</v>
      </c>
      <c r="H164" s="85"/>
      <c r="I164" s="85" t="s">
        <v>72</v>
      </c>
      <c r="J164" s="85"/>
      <c r="K164" s="85"/>
      <c r="L164" s="85" t="s">
        <v>74</v>
      </c>
      <c r="M164" s="85"/>
      <c r="N164" s="85" t="s">
        <v>72</v>
      </c>
      <c r="O164" s="85"/>
      <c r="P164" s="81"/>
    </row>
    <row r="165" spans="1:16" x14ac:dyDescent="0.35">
      <c r="A165" s="81" t="s">
        <v>38</v>
      </c>
      <c r="B165" s="81"/>
      <c r="C165" s="81"/>
      <c r="D165" s="81"/>
      <c r="E165" s="81"/>
      <c r="F165" s="81"/>
      <c r="G165" s="81"/>
      <c r="H165" s="81"/>
      <c r="I165" s="81"/>
      <c r="J165" s="81"/>
      <c r="K165" s="81"/>
      <c r="L165" s="81"/>
      <c r="M165" s="81"/>
      <c r="N165" s="81"/>
      <c r="O165" s="81"/>
      <c r="P165" s="81"/>
    </row>
    <row r="166" spans="1:16" s="81" customFormat="1" x14ac:dyDescent="0.35">
      <c r="A166" s="81" t="s">
        <v>101</v>
      </c>
      <c r="G166" s="100">
        <f>10*G36</f>
        <v>40.202802362724242</v>
      </c>
      <c r="H166" s="100"/>
      <c r="I166" s="100">
        <f>10*I36</f>
        <v>17.356879469923005</v>
      </c>
      <c r="J166" s="100"/>
      <c r="K166" s="100"/>
      <c r="L166" s="100">
        <f>10*L36</f>
        <v>171.49013949435474</v>
      </c>
      <c r="N166" s="100">
        <f>10*N36</f>
        <v>53.856144896683332</v>
      </c>
    </row>
    <row r="167" spans="1:16" s="81" customFormat="1" x14ac:dyDescent="0.35">
      <c r="A167" s="81" t="s">
        <v>107</v>
      </c>
      <c r="G167" s="100">
        <f>10*G46</f>
        <v>129.76124038937402</v>
      </c>
      <c r="H167" s="100"/>
      <c r="I167" s="100">
        <f>10*I46</f>
        <v>48.227781252489947</v>
      </c>
      <c r="J167" s="100"/>
      <c r="K167" s="100"/>
      <c r="L167" s="100">
        <f>10*L46</f>
        <v>189.57083069464505</v>
      </c>
      <c r="N167" s="100">
        <f>10*N46</f>
        <v>70.574474495447831</v>
      </c>
    </row>
    <row r="168" spans="1:16" s="81" customFormat="1" x14ac:dyDescent="0.35">
      <c r="A168" s="81" t="s">
        <v>108</v>
      </c>
      <c r="D168" s="100"/>
      <c r="G168" s="100">
        <f>10*G43</f>
        <v>55.076502774389951</v>
      </c>
      <c r="H168" s="100"/>
      <c r="I168" s="100">
        <f>10*I43</f>
        <v>19.054870202797328</v>
      </c>
      <c r="J168" s="100"/>
      <c r="K168" s="100"/>
      <c r="L168" s="100">
        <f>10*L43</f>
        <v>12.693597862097569</v>
      </c>
      <c r="N168" s="100">
        <f>10*N43</f>
        <v>4.4452758595204669</v>
      </c>
    </row>
    <row r="169" spans="1:16" s="81" customFormat="1" x14ac:dyDescent="0.35">
      <c r="A169" s="81" t="s">
        <v>109</v>
      </c>
      <c r="G169" s="100">
        <f>10*G44</f>
        <v>32.633024933663307</v>
      </c>
      <c r="H169" s="100"/>
      <c r="I169" s="100">
        <f>10*I44</f>
        <v>9.3139280034231913</v>
      </c>
      <c r="J169" s="100"/>
      <c r="K169" s="100"/>
      <c r="L169" s="100">
        <f>10*L44</f>
        <v>77.845993601814996</v>
      </c>
      <c r="N169" s="100">
        <f>10*N44</f>
        <v>19.866155284916747</v>
      </c>
    </row>
    <row r="170" spans="1:16" s="81" customFormat="1" x14ac:dyDescent="0.35">
      <c r="A170" s="81" t="s">
        <v>110</v>
      </c>
      <c r="G170" s="100">
        <f>10*G45</f>
        <v>42.051712681320758</v>
      </c>
      <c r="H170" s="100"/>
      <c r="I170" s="100">
        <f>10*I45</f>
        <v>19.858982208479116</v>
      </c>
      <c r="J170" s="100"/>
      <c r="K170" s="100"/>
      <c r="L170" s="100">
        <f>10*L45</f>
        <v>99.03123923073251</v>
      </c>
      <c r="N170" s="100">
        <f>10*N45</f>
        <v>46.263042454827435</v>
      </c>
    </row>
    <row r="171" spans="1:16" x14ac:dyDescent="0.35">
      <c r="A171" s="81" t="s">
        <v>39</v>
      </c>
      <c r="B171" s="81"/>
      <c r="C171" s="81"/>
      <c r="D171" s="81"/>
      <c r="E171" s="81"/>
      <c r="F171" s="81"/>
      <c r="G171" s="100"/>
      <c r="H171" s="100"/>
      <c r="I171" s="100"/>
      <c r="J171" s="100"/>
      <c r="K171" s="100"/>
      <c r="L171" s="100"/>
      <c r="M171" s="81"/>
      <c r="N171" s="81"/>
      <c r="O171" s="81"/>
      <c r="P171" s="81"/>
    </row>
    <row r="172" spans="1:16" x14ac:dyDescent="0.35">
      <c r="A172" s="81" t="s">
        <v>103</v>
      </c>
      <c r="B172" s="81"/>
      <c r="C172" s="81"/>
      <c r="D172" s="81"/>
      <c r="E172" s="81"/>
      <c r="F172" s="104"/>
      <c r="G172" s="100">
        <f>10*G38</f>
        <v>329.87131859472464</v>
      </c>
      <c r="H172" s="100"/>
      <c r="I172" s="100">
        <f>10*I38</f>
        <v>880.71341583956848</v>
      </c>
      <c r="J172" s="100"/>
      <c r="K172" s="100"/>
      <c r="L172" s="100">
        <f>10*L38</f>
        <v>234.29508463739637</v>
      </c>
      <c r="M172" s="81"/>
      <c r="N172" s="100">
        <f>10*N38</f>
        <v>809.00758267445394</v>
      </c>
      <c r="O172" s="81"/>
      <c r="P172" s="81"/>
    </row>
    <row r="173" spans="1:16" x14ac:dyDescent="0.35">
      <c r="A173" s="81" t="s">
        <v>144</v>
      </c>
      <c r="B173" s="81"/>
      <c r="C173" s="81"/>
      <c r="D173" s="81"/>
      <c r="E173" s="81"/>
      <c r="F173" s="104"/>
      <c r="G173" s="100"/>
      <c r="H173" s="100"/>
      <c r="I173" s="100">
        <f>I54*I58*I172</f>
        <v>333.31520547213768</v>
      </c>
      <c r="J173" s="100"/>
      <c r="K173" s="100"/>
      <c r="L173" s="100"/>
      <c r="M173" s="81"/>
      <c r="N173" s="100">
        <f>N54*N58*N172</f>
        <v>56.200866111369983</v>
      </c>
      <c r="O173" s="81"/>
      <c r="P173" s="81"/>
    </row>
    <row r="174" spans="1:16" x14ac:dyDescent="0.35">
      <c r="A174" s="81" t="s">
        <v>145</v>
      </c>
      <c r="B174" s="81"/>
      <c r="C174" s="81"/>
      <c r="D174" s="81"/>
      <c r="E174" s="81"/>
      <c r="F174" s="104"/>
      <c r="G174" s="100"/>
      <c r="H174" s="100"/>
      <c r="I174" s="100">
        <f>I54*I61*I172</f>
        <v>224.96357308174089</v>
      </c>
      <c r="J174" s="100"/>
      <c r="K174" s="100"/>
      <c r="L174" s="100"/>
      <c r="M174" s="81"/>
      <c r="N174" s="100">
        <f>N54*N61*N172</f>
        <v>307.75716470510946</v>
      </c>
      <c r="O174" s="81"/>
      <c r="P174" s="81"/>
    </row>
    <row r="175" spans="1:16" x14ac:dyDescent="0.35">
      <c r="A175" s="81" t="s">
        <v>22</v>
      </c>
      <c r="B175" s="81"/>
      <c r="C175" s="81"/>
      <c r="D175" s="81"/>
      <c r="E175" s="81"/>
      <c r="F175" s="104"/>
      <c r="G175" s="100"/>
      <c r="H175" s="100"/>
      <c r="I175" s="100">
        <f>I172*I52</f>
        <v>322.4346372856898</v>
      </c>
      <c r="J175" s="100"/>
      <c r="K175" s="100"/>
      <c r="L175" s="100"/>
      <c r="M175" s="81"/>
      <c r="N175" s="100">
        <f>N52*N172</f>
        <v>445.04955185797445</v>
      </c>
      <c r="O175" s="81"/>
      <c r="P175" s="81"/>
    </row>
    <row r="176" spans="1:16" x14ac:dyDescent="0.35">
      <c r="A176" s="81" t="s">
        <v>33</v>
      </c>
      <c r="B176" s="81"/>
      <c r="C176" s="81"/>
      <c r="D176" s="81"/>
      <c r="E176" s="81"/>
      <c r="F176" s="104"/>
      <c r="G176" s="100">
        <f>10*G37</f>
        <v>500.16463865317701</v>
      </c>
      <c r="H176" s="100"/>
      <c r="I176" s="100">
        <f>10*I37</f>
        <v>53.701924275809183</v>
      </c>
      <c r="J176" s="100"/>
      <c r="K176" s="100"/>
      <c r="L176" s="100">
        <f>10*L37</f>
        <v>404.6439451736041</v>
      </c>
      <c r="M176" s="81"/>
      <c r="N176" s="100">
        <f>10*N37</f>
        <v>66.561797037231813</v>
      </c>
      <c r="O176" s="81"/>
      <c r="P176" s="81"/>
    </row>
    <row r="177" spans="1:40" x14ac:dyDescent="0.35">
      <c r="A177" s="81" t="s">
        <v>144</v>
      </c>
      <c r="B177" s="81"/>
      <c r="C177" s="81"/>
      <c r="D177" s="81"/>
      <c r="E177" s="81"/>
      <c r="F177" s="104"/>
      <c r="G177" s="100">
        <f>G54*G58*G176</f>
        <v>175.08719467571723</v>
      </c>
      <c r="H177" s="100"/>
      <c r="I177" s="100"/>
      <c r="J177" s="100"/>
      <c r="K177" s="100"/>
      <c r="L177" s="100">
        <f>L54*L58*L176</f>
        <v>6.0554551847773697</v>
      </c>
      <c r="M177" s="81"/>
      <c r="N177" s="81"/>
      <c r="O177" s="81"/>
      <c r="P177" s="81"/>
    </row>
    <row r="178" spans="1:40" x14ac:dyDescent="0.35">
      <c r="A178" s="81" t="s">
        <v>145</v>
      </c>
      <c r="B178" s="81"/>
      <c r="C178" s="81"/>
      <c r="D178" s="81"/>
      <c r="E178" s="81"/>
      <c r="F178" s="104"/>
      <c r="G178" s="100">
        <f>G54*G61*G176</f>
        <v>142.83724699755328</v>
      </c>
      <c r="H178" s="100"/>
      <c r="I178" s="100"/>
      <c r="J178" s="100"/>
      <c r="K178" s="100"/>
      <c r="L178" s="100">
        <f>L54*L61*L176</f>
        <v>148.36847098726275</v>
      </c>
      <c r="M178" s="81"/>
      <c r="N178" s="81"/>
      <c r="O178" s="81"/>
      <c r="P178" s="81"/>
    </row>
    <row r="179" spans="1:40" x14ac:dyDescent="0.35">
      <c r="A179" s="81" t="s">
        <v>22</v>
      </c>
      <c r="B179" s="81"/>
      <c r="C179" s="81"/>
      <c r="D179" s="81"/>
      <c r="E179" s="81"/>
      <c r="F179" s="104"/>
      <c r="G179" s="100">
        <f>G52*G176</f>
        <v>182.24019697990656</v>
      </c>
      <c r="H179" s="100"/>
      <c r="I179" s="100"/>
      <c r="J179" s="100"/>
      <c r="K179" s="100"/>
      <c r="L179" s="100">
        <f>L52*L176</f>
        <v>250.22001900156397</v>
      </c>
      <c r="M179" s="88"/>
      <c r="N179" s="81"/>
      <c r="O179" s="81"/>
      <c r="P179" s="81"/>
    </row>
    <row r="180" spans="1:40" x14ac:dyDescent="0.35">
      <c r="A180" s="81" t="s">
        <v>40</v>
      </c>
      <c r="B180" s="81"/>
      <c r="C180" s="81"/>
      <c r="D180" s="81"/>
      <c r="E180" s="81"/>
      <c r="F180" s="81"/>
      <c r="G180" s="100">
        <v>1000</v>
      </c>
      <c r="H180" s="81"/>
      <c r="I180" s="100">
        <v>1000</v>
      </c>
      <c r="J180" s="100"/>
      <c r="K180" s="100"/>
      <c r="L180" s="100">
        <v>1000</v>
      </c>
      <c r="M180" s="81"/>
      <c r="N180" s="100">
        <v>1000</v>
      </c>
      <c r="O180" s="81"/>
      <c r="P180" s="81"/>
      <c r="Q180" s="81"/>
      <c r="R180" s="81"/>
      <c r="S180" s="81"/>
      <c r="T180" s="81"/>
      <c r="U180" s="81"/>
      <c r="V180" s="81"/>
    </row>
    <row r="181" spans="1:40" x14ac:dyDescent="0.35">
      <c r="A181" s="81"/>
      <c r="B181" s="81"/>
      <c r="C181" s="81"/>
      <c r="D181" s="81"/>
      <c r="E181" s="81"/>
      <c r="F181" s="81"/>
      <c r="G181" s="100">
        <f>G166+G167+G172+G177+G178+G179</f>
        <v>1000</v>
      </c>
      <c r="H181" s="116" t="s">
        <v>63</v>
      </c>
      <c r="I181" s="116">
        <f>I166+I167+I173+I174+I175+I176</f>
        <v>1000.0000008377906</v>
      </c>
      <c r="J181" s="116"/>
      <c r="K181" s="116"/>
      <c r="L181" s="100">
        <f>L166+L167+L172+L177+L178+L179</f>
        <v>1000.0000000000002</v>
      </c>
      <c r="M181" s="87" t="s">
        <v>63</v>
      </c>
      <c r="N181" s="116">
        <f>N166+N167+N173+N174+N175+N176</f>
        <v>999.99999910381689</v>
      </c>
      <c r="O181" s="81"/>
      <c r="P181" s="81"/>
    </row>
    <row r="182" spans="1:40" x14ac:dyDescent="0.35">
      <c r="A182" s="81"/>
      <c r="B182" s="81"/>
      <c r="C182" s="81"/>
      <c r="D182" s="81"/>
      <c r="E182" s="81"/>
      <c r="F182" s="81"/>
      <c r="G182" s="100"/>
      <c r="H182" s="100"/>
      <c r="I182" s="100"/>
      <c r="J182" s="100"/>
      <c r="K182" s="100"/>
      <c r="L182" s="100"/>
      <c r="M182" s="81"/>
      <c r="N182" s="81"/>
      <c r="O182" s="81"/>
      <c r="P182" s="81"/>
    </row>
    <row r="183" spans="1:40" x14ac:dyDescent="0.35">
      <c r="A183" s="81" t="s">
        <v>46</v>
      </c>
      <c r="B183" s="81"/>
      <c r="C183" s="81"/>
      <c r="D183" s="81"/>
      <c r="E183" s="81"/>
      <c r="F183" s="81"/>
      <c r="G183" s="100"/>
      <c r="H183" s="100"/>
      <c r="I183" s="100"/>
      <c r="J183" s="100"/>
      <c r="K183" s="100"/>
      <c r="L183" s="100"/>
      <c r="M183" s="81"/>
      <c r="N183" s="81"/>
      <c r="O183" s="81"/>
      <c r="P183" s="81"/>
    </row>
    <row r="184" spans="1:40" x14ac:dyDescent="0.35">
      <c r="A184" s="81" t="s">
        <v>146</v>
      </c>
      <c r="B184" s="81"/>
      <c r="C184" s="81"/>
      <c r="D184" s="81"/>
      <c r="E184" s="81"/>
      <c r="F184" s="81"/>
      <c r="G184" s="100">
        <f>G104</f>
        <v>56.159128676370941</v>
      </c>
      <c r="H184" s="100"/>
      <c r="I184" s="100">
        <f>I104</f>
        <v>55.138475603686032</v>
      </c>
      <c r="J184" s="100"/>
      <c r="K184" s="100"/>
      <c r="L184" s="100">
        <f>L104</f>
        <v>7.3568814667342686</v>
      </c>
      <c r="M184" s="81"/>
      <c r="N184" s="100">
        <f>N104</f>
        <v>9.8454772428102064</v>
      </c>
      <c r="O184" s="81"/>
      <c r="P184" s="81"/>
    </row>
    <row r="185" spans="1:40" x14ac:dyDescent="0.35">
      <c r="A185" s="81" t="s">
        <v>150</v>
      </c>
      <c r="B185" s="81"/>
      <c r="C185" s="81"/>
      <c r="D185" s="81"/>
      <c r="E185" s="81"/>
      <c r="F185" s="81"/>
      <c r="G185" s="117">
        <v>100</v>
      </c>
      <c r="H185" s="100"/>
      <c r="I185" s="117">
        <v>100</v>
      </c>
      <c r="J185" s="100"/>
      <c r="K185" s="100"/>
      <c r="L185" s="117">
        <v>50</v>
      </c>
      <c r="M185" s="81"/>
      <c r="N185" s="117">
        <v>50</v>
      </c>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row>
    <row r="186" spans="1:40" x14ac:dyDescent="0.35">
      <c r="A186" s="81" t="s">
        <v>26</v>
      </c>
      <c r="B186" s="81"/>
      <c r="C186" s="81"/>
      <c r="D186" s="81"/>
      <c r="E186" s="81"/>
      <c r="F186" s="81"/>
      <c r="G186" s="100">
        <f>G184/G185*100</f>
        <v>56.159128676370941</v>
      </c>
      <c r="H186" s="100"/>
      <c r="I186" s="100">
        <f>I184/I185*100</f>
        <v>55.138475603686032</v>
      </c>
      <c r="J186" s="100"/>
      <c r="K186" s="100"/>
      <c r="L186" s="100">
        <f>L184/L185*100</f>
        <v>14.713762933468539</v>
      </c>
      <c r="M186" s="81"/>
      <c r="N186" s="100">
        <f>N184/N185*100</f>
        <v>19.690954485620413</v>
      </c>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row>
    <row r="187" spans="1:40" x14ac:dyDescent="0.35">
      <c r="A187" s="81" t="s">
        <v>147</v>
      </c>
      <c r="B187" s="81"/>
      <c r="C187" s="81"/>
      <c r="D187" s="81"/>
      <c r="E187" s="81"/>
      <c r="F187" s="81"/>
      <c r="G187" s="100">
        <f>G107</f>
        <v>29.914924289410539</v>
      </c>
      <c r="H187" s="100"/>
      <c r="I187" s="100">
        <f>I107</f>
        <v>28.056915408168489</v>
      </c>
      <c r="J187" s="100"/>
      <c r="K187" s="100"/>
      <c r="L187" s="100">
        <f>L107</f>
        <v>4.6870103504358331</v>
      </c>
      <c r="M187" s="81"/>
      <c r="N187" s="100">
        <f>N107</f>
        <v>4.1311272170414544</v>
      </c>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row>
    <row r="188" spans="1:40" x14ac:dyDescent="0.35">
      <c r="A188" s="81" t="s">
        <v>20</v>
      </c>
      <c r="B188" s="81"/>
      <c r="C188" s="81"/>
      <c r="D188" s="81"/>
      <c r="E188" s="81"/>
      <c r="F188" s="81"/>
      <c r="G188" s="117">
        <v>100</v>
      </c>
      <c r="H188" s="100"/>
      <c r="I188" s="117">
        <v>100</v>
      </c>
      <c r="J188" s="100"/>
      <c r="K188" s="100"/>
      <c r="L188" s="117">
        <v>60</v>
      </c>
      <c r="M188" s="81"/>
      <c r="N188" s="117">
        <v>60</v>
      </c>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row>
    <row r="189" spans="1:40" x14ac:dyDescent="0.35">
      <c r="A189" s="81" t="s">
        <v>23</v>
      </c>
      <c r="B189" s="81"/>
      <c r="C189" s="81"/>
      <c r="D189" s="81"/>
      <c r="E189" s="81"/>
      <c r="F189" s="81"/>
      <c r="G189" s="100">
        <f>100*G86</f>
        <v>26.99388753056235</v>
      </c>
      <c r="H189" s="100"/>
      <c r="I189" s="100">
        <f>100*I86</f>
        <v>13.810513447432763</v>
      </c>
      <c r="J189" s="100"/>
      <c r="K189" s="100"/>
      <c r="L189" s="100">
        <f>100*L86</f>
        <v>47.60986066452304</v>
      </c>
      <c r="M189" s="81"/>
      <c r="N189" s="100">
        <f>100*N86</f>
        <v>29.060021436227224</v>
      </c>
      <c r="O189" s="81"/>
      <c r="P189" s="81"/>
    </row>
    <row r="190" spans="1:40" x14ac:dyDescent="0.35">
      <c r="A190" s="81" t="s">
        <v>25</v>
      </c>
      <c r="B190" s="81"/>
      <c r="C190" s="81"/>
      <c r="D190" s="81"/>
      <c r="E190" s="81"/>
      <c r="F190" s="81"/>
      <c r="G190" s="100">
        <f>G188*G189/100</f>
        <v>26.99388753056235</v>
      </c>
      <c r="H190" s="100"/>
      <c r="I190" s="100">
        <f>I188*I189/100</f>
        <v>13.810513447432763</v>
      </c>
      <c r="J190" s="100"/>
      <c r="K190" s="100"/>
      <c r="L190" s="100">
        <f>L188*L189/100</f>
        <v>28.565916398713824</v>
      </c>
      <c r="M190" s="81"/>
      <c r="N190" s="100">
        <f>N188*N189/100</f>
        <v>17.436012861736334</v>
      </c>
      <c r="O190" s="81"/>
      <c r="P190" s="81"/>
    </row>
    <row r="191" spans="1:40" x14ac:dyDescent="0.35">
      <c r="A191" s="81"/>
      <c r="B191" s="81"/>
      <c r="C191" s="81"/>
      <c r="D191" s="81"/>
      <c r="E191" s="81"/>
      <c r="F191" s="81"/>
      <c r="G191" s="100"/>
      <c r="H191" s="100"/>
      <c r="I191" s="100"/>
      <c r="J191" s="100"/>
      <c r="K191" s="100"/>
      <c r="L191" s="100"/>
      <c r="M191" s="81"/>
      <c r="N191" s="81"/>
      <c r="O191" s="81"/>
      <c r="P191" s="81"/>
    </row>
    <row r="192" spans="1:40" x14ac:dyDescent="0.35">
      <c r="A192" s="81" t="s">
        <v>293</v>
      </c>
      <c r="B192" s="81"/>
      <c r="C192" s="81"/>
      <c r="D192" s="81"/>
      <c r="E192" s="81"/>
      <c r="F192" s="81"/>
      <c r="G192" s="100"/>
      <c r="H192" s="100"/>
      <c r="I192" s="100"/>
      <c r="J192" s="100"/>
      <c r="K192" s="100"/>
      <c r="L192" s="100"/>
      <c r="M192" s="81"/>
      <c r="N192" s="81"/>
      <c r="O192" s="81"/>
      <c r="P192" s="81"/>
    </row>
    <row r="193" spans="1:16" x14ac:dyDescent="0.35">
      <c r="A193" s="81" t="s">
        <v>111</v>
      </c>
      <c r="B193" s="81"/>
      <c r="C193" s="81"/>
      <c r="D193" s="81"/>
      <c r="E193" s="81"/>
      <c r="F193" s="81"/>
      <c r="G193" s="100"/>
      <c r="H193" s="100"/>
      <c r="I193" s="100"/>
      <c r="J193" s="100"/>
      <c r="K193" s="100"/>
      <c r="L193" s="100"/>
      <c r="M193" s="81"/>
      <c r="N193" s="81"/>
      <c r="O193" s="81"/>
      <c r="P193" s="81"/>
    </row>
    <row r="194" spans="1:16" x14ac:dyDescent="0.35">
      <c r="A194" s="81" t="s">
        <v>24</v>
      </c>
      <c r="B194" s="81"/>
      <c r="C194" s="81"/>
      <c r="D194" s="81"/>
      <c r="E194" s="81"/>
      <c r="F194" s="81"/>
      <c r="G194" s="100">
        <f>G195+G196</f>
        <v>7.8924800151024854</v>
      </c>
      <c r="H194" s="100"/>
      <c r="I194" s="100">
        <f>I195+I196</f>
        <v>14.063171549937264</v>
      </c>
      <c r="J194" s="100"/>
      <c r="K194" s="100"/>
      <c r="L194" s="100">
        <f>L195+L196</f>
        <v>32.478347961541147</v>
      </c>
      <c r="M194" s="81"/>
      <c r="N194" s="100">
        <f>N195+N196</f>
        <v>80.205433222694694</v>
      </c>
      <c r="O194" s="81"/>
      <c r="P194" s="81"/>
    </row>
    <row r="195" spans="1:16" x14ac:dyDescent="0.35">
      <c r="A195" s="81" t="s">
        <v>270</v>
      </c>
      <c r="B195" s="81"/>
      <c r="C195" s="81"/>
      <c r="D195" s="81"/>
      <c r="E195" s="81"/>
      <c r="F195" s="81"/>
      <c r="G195" s="100">
        <f>G177/G184</f>
        <v>3.1176978489943257</v>
      </c>
      <c r="H195" s="100"/>
      <c r="I195" s="100">
        <f>I173/I184</f>
        <v>6.0450565929293738</v>
      </c>
      <c r="J195" s="100"/>
      <c r="K195" s="100"/>
      <c r="L195" s="100">
        <f>L177/L184</f>
        <v>0.82310082229249182</v>
      </c>
      <c r="M195" s="118"/>
      <c r="N195" s="100">
        <f>N173/N184</f>
        <v>5.7082927241959176</v>
      </c>
      <c r="O195" s="81"/>
      <c r="P195" s="81"/>
    </row>
    <row r="196" spans="1:16" x14ac:dyDescent="0.35">
      <c r="A196" s="81" t="s">
        <v>271</v>
      </c>
      <c r="B196" s="81"/>
      <c r="C196" s="81"/>
      <c r="D196" s="81"/>
      <c r="E196" s="81"/>
      <c r="F196" s="81"/>
      <c r="G196" s="100">
        <f>G178/G187</f>
        <v>4.7747821661081602</v>
      </c>
      <c r="H196" s="100"/>
      <c r="I196" s="100">
        <f>I174/I187</f>
        <v>8.0181149570078905</v>
      </c>
      <c r="J196" s="100"/>
      <c r="K196" s="100"/>
      <c r="L196" s="100">
        <f>L178/L187</f>
        <v>31.655247139248658</v>
      </c>
      <c r="M196" s="81"/>
      <c r="N196" s="100">
        <f>N174/N187</f>
        <v>74.49714049849878</v>
      </c>
      <c r="O196" s="81"/>
      <c r="P196" s="81"/>
    </row>
    <row r="197" spans="1:16" x14ac:dyDescent="0.35">
      <c r="A197" s="81" t="s">
        <v>27</v>
      </c>
      <c r="B197" s="81"/>
      <c r="C197" s="81"/>
      <c r="D197" s="81"/>
      <c r="E197" s="81"/>
      <c r="F197" s="81"/>
      <c r="G197" s="100">
        <f>(G177/G186)</f>
        <v>3.1176978489943257</v>
      </c>
      <c r="H197" s="100"/>
      <c r="I197" s="100">
        <f>I173/I186</f>
        <v>6.0450565929293738</v>
      </c>
      <c r="J197" s="100"/>
      <c r="K197" s="100"/>
      <c r="L197" s="100">
        <f>L177/L186</f>
        <v>0.41155041114624585</v>
      </c>
      <c r="M197" s="81"/>
      <c r="N197" s="100">
        <f>N173/N186</f>
        <v>2.8541463620979588</v>
      </c>
      <c r="O197" s="81"/>
      <c r="P197" s="81"/>
    </row>
    <row r="198" spans="1:16" x14ac:dyDescent="0.35">
      <c r="A198" s="81" t="s">
        <v>19</v>
      </c>
      <c r="B198" s="81"/>
      <c r="C198" s="81"/>
      <c r="D198" s="81"/>
      <c r="E198" s="81"/>
      <c r="F198" s="81"/>
      <c r="G198" s="100">
        <f>G179/(G188*G189/100)</f>
        <v>6.7511653063522283</v>
      </c>
      <c r="H198" s="100"/>
      <c r="I198" s="100">
        <f>I175/(I188*I189/100)</f>
        <v>23.347041984570616</v>
      </c>
      <c r="J198" s="100"/>
      <c r="K198" s="100"/>
      <c r="L198" s="100">
        <f>L179/(L188*L189/100)</f>
        <v>8.759390579636019</v>
      </c>
      <c r="M198" s="81"/>
      <c r="N198" s="100">
        <f>N175/(N188*N189/100)</f>
        <v>25.52473179431086</v>
      </c>
      <c r="O198" s="81"/>
      <c r="P198" s="81"/>
    </row>
    <row r="199" spans="1:16" x14ac:dyDescent="0.35">
      <c r="A199" s="81" t="s">
        <v>112</v>
      </c>
      <c r="B199" s="81"/>
      <c r="C199" s="81"/>
      <c r="D199" s="81"/>
      <c r="E199" s="81"/>
      <c r="F199" s="81"/>
      <c r="G199" s="100">
        <f>G179/G189</f>
        <v>6.7511653063522283</v>
      </c>
      <c r="H199" s="100"/>
      <c r="I199" s="100">
        <f>I175/I189</f>
        <v>23.347041984570616</v>
      </c>
      <c r="J199" s="100"/>
      <c r="K199" s="100"/>
      <c r="L199" s="100">
        <f>L179/L189</f>
        <v>5.2556343477816121</v>
      </c>
      <c r="M199" s="81"/>
      <c r="N199" s="100">
        <f>N175/N189</f>
        <v>15.314839076586514</v>
      </c>
      <c r="O199" s="81"/>
      <c r="P199" s="81"/>
    </row>
    <row r="200" spans="1:16" x14ac:dyDescent="0.35">
      <c r="A200" s="81"/>
      <c r="B200" s="81"/>
      <c r="C200" s="81"/>
      <c r="D200" s="81"/>
      <c r="E200" s="81"/>
      <c r="F200" s="81"/>
      <c r="G200" s="81"/>
      <c r="H200" s="81"/>
      <c r="I200" s="81"/>
      <c r="J200" s="81"/>
      <c r="K200" s="81"/>
      <c r="L200" s="81"/>
      <c r="M200" s="81"/>
      <c r="N200" s="81"/>
      <c r="O200" s="81"/>
      <c r="P200" s="81"/>
    </row>
    <row r="201" spans="1:16" x14ac:dyDescent="0.35">
      <c r="A201" s="81" t="s">
        <v>174</v>
      </c>
      <c r="B201" s="81"/>
      <c r="C201" s="81"/>
      <c r="D201" s="81"/>
      <c r="E201" s="81"/>
      <c r="F201" s="81"/>
      <c r="G201" s="81"/>
      <c r="H201" s="81"/>
      <c r="I201" s="81"/>
      <c r="J201" s="81"/>
      <c r="K201" s="81"/>
      <c r="L201" s="81"/>
      <c r="M201" s="81"/>
      <c r="N201" s="81"/>
      <c r="O201" s="81"/>
      <c r="P201" s="81"/>
    </row>
    <row r="202" spans="1:16" x14ac:dyDescent="0.35">
      <c r="A202" s="81" t="s">
        <v>11</v>
      </c>
      <c r="B202" s="81"/>
      <c r="C202" s="81"/>
      <c r="D202" s="81"/>
      <c r="E202" s="81"/>
      <c r="F202" s="81"/>
      <c r="G202" s="81"/>
      <c r="H202" s="81"/>
      <c r="I202" s="81"/>
      <c r="J202" s="81"/>
      <c r="K202" s="81"/>
      <c r="L202" s="81"/>
      <c r="M202" s="81"/>
      <c r="N202" s="81"/>
      <c r="O202" s="81"/>
      <c r="P202" s="81"/>
    </row>
    <row r="203" spans="1:16" x14ac:dyDescent="0.35">
      <c r="A203" s="81" t="s">
        <v>4</v>
      </c>
      <c r="B203" s="81"/>
      <c r="C203" s="81"/>
      <c r="D203" s="81"/>
      <c r="E203" s="84">
        <v>0.1</v>
      </c>
      <c r="F203" s="81"/>
      <c r="G203" s="81">
        <f>E203</f>
        <v>0.1</v>
      </c>
      <c r="H203" s="81"/>
      <c r="I203" s="81">
        <f>E203</f>
        <v>0.1</v>
      </c>
      <c r="J203" s="81"/>
      <c r="K203" s="81"/>
      <c r="L203" s="81">
        <f>E203</f>
        <v>0.1</v>
      </c>
      <c r="M203" s="81"/>
      <c r="N203" s="81">
        <f>E203</f>
        <v>0.1</v>
      </c>
      <c r="O203" s="81"/>
      <c r="P203" s="81"/>
    </row>
    <row r="204" spans="1:16" x14ac:dyDescent="0.35">
      <c r="A204" s="81" t="s">
        <v>151</v>
      </c>
      <c r="B204" s="81"/>
      <c r="C204" s="81"/>
      <c r="D204" s="81"/>
      <c r="E204" s="82">
        <v>0.5</v>
      </c>
      <c r="F204" s="81"/>
      <c r="G204" s="81">
        <f>E204</f>
        <v>0.5</v>
      </c>
      <c r="H204" s="81"/>
      <c r="I204" s="81">
        <f>E204</f>
        <v>0.5</v>
      </c>
      <c r="J204" s="81"/>
      <c r="K204" s="81"/>
      <c r="L204" s="81">
        <f>E204</f>
        <v>0.5</v>
      </c>
      <c r="M204" s="81"/>
      <c r="N204" s="81">
        <f>E204</f>
        <v>0.5</v>
      </c>
      <c r="O204" s="81"/>
      <c r="P204" s="81"/>
    </row>
    <row r="205" spans="1:16" x14ac:dyDescent="0.35">
      <c r="A205" s="81"/>
      <c r="B205" s="81"/>
      <c r="C205" s="81"/>
      <c r="D205" s="81"/>
      <c r="E205" s="81"/>
      <c r="F205" s="81"/>
      <c r="G205" s="81"/>
      <c r="H205" s="81"/>
      <c r="I205" s="81"/>
      <c r="J205" s="81"/>
      <c r="K205" s="81"/>
      <c r="L205" s="81"/>
      <c r="M205" s="81"/>
      <c r="N205" s="81"/>
      <c r="O205" s="81"/>
      <c r="P205" s="81"/>
    </row>
    <row r="206" spans="1:16" x14ac:dyDescent="0.35">
      <c r="A206" s="81" t="s">
        <v>16</v>
      </c>
      <c r="B206" s="81"/>
      <c r="C206" s="81"/>
      <c r="D206" s="81"/>
      <c r="E206" s="81"/>
      <c r="F206" s="81"/>
      <c r="G206" s="81"/>
      <c r="H206" s="81"/>
      <c r="I206" s="81"/>
      <c r="J206" s="81"/>
      <c r="K206" s="81"/>
      <c r="L206" s="81"/>
      <c r="M206" s="81"/>
      <c r="N206" s="81"/>
      <c r="O206" s="81"/>
      <c r="P206" s="81"/>
    </row>
    <row r="207" spans="1:16" x14ac:dyDescent="0.35">
      <c r="A207" s="81" t="s">
        <v>5</v>
      </c>
      <c r="B207" s="81"/>
      <c r="C207" s="81"/>
      <c r="D207" s="81"/>
      <c r="E207" s="81"/>
      <c r="F207" s="81"/>
      <c r="G207" s="88">
        <f>(1/G203)-1</f>
        <v>9</v>
      </c>
      <c r="H207" s="88"/>
      <c r="I207" s="88">
        <f>(1/I203)-1</f>
        <v>9</v>
      </c>
      <c r="J207" s="88"/>
      <c r="K207" s="88"/>
      <c r="L207" s="88">
        <f>(1/L203)-1</f>
        <v>9</v>
      </c>
      <c r="M207" s="81"/>
      <c r="N207" s="88">
        <f>(1/N203)-1</f>
        <v>9</v>
      </c>
      <c r="O207" s="81"/>
      <c r="P207" s="81"/>
    </row>
    <row r="208" spans="1:16" x14ac:dyDescent="0.35">
      <c r="A208" s="81" t="s">
        <v>7</v>
      </c>
      <c r="B208" s="81"/>
      <c r="C208" s="81"/>
      <c r="D208" s="81"/>
      <c r="E208" s="81"/>
      <c r="F208" s="81"/>
      <c r="G208" s="88">
        <f>(1/G204)-1</f>
        <v>1</v>
      </c>
      <c r="H208" s="88"/>
      <c r="I208" s="88">
        <f>(1/I204)-1</f>
        <v>1</v>
      </c>
      <c r="J208" s="88"/>
      <c r="K208" s="88"/>
      <c r="L208" s="88">
        <f>(1/L204)-1</f>
        <v>1</v>
      </c>
      <c r="M208" s="81"/>
      <c r="N208" s="88">
        <f>(1/N204)-1</f>
        <v>1</v>
      </c>
      <c r="O208" s="81"/>
      <c r="P208" s="81"/>
    </row>
    <row r="209" spans="1:35" x14ac:dyDescent="0.35">
      <c r="A209" s="81"/>
      <c r="B209" s="81"/>
      <c r="C209" s="81"/>
      <c r="D209" s="81"/>
      <c r="E209" s="81"/>
      <c r="F209" s="81"/>
      <c r="G209" s="118"/>
      <c r="H209" s="118"/>
      <c r="I209" s="118"/>
      <c r="J209" s="118"/>
      <c r="K209" s="118"/>
      <c r="L209" s="118"/>
      <c r="M209" s="81"/>
      <c r="N209" s="81"/>
      <c r="O209" s="81"/>
      <c r="P209" s="81"/>
    </row>
    <row r="210" spans="1:35" x14ac:dyDescent="0.35">
      <c r="A210" s="81" t="s">
        <v>9</v>
      </c>
      <c r="B210" s="81"/>
      <c r="C210" s="81"/>
      <c r="D210" s="81"/>
      <c r="E210" s="81"/>
      <c r="F210" s="81"/>
      <c r="G210" s="118"/>
      <c r="H210" s="118"/>
      <c r="I210" s="118"/>
      <c r="J210" s="118"/>
      <c r="K210" s="118"/>
      <c r="L210" s="118"/>
      <c r="M210" s="81"/>
      <c r="N210" s="81"/>
      <c r="O210" s="81"/>
      <c r="P210" s="81"/>
    </row>
    <row r="211" spans="1:35" x14ac:dyDescent="0.35">
      <c r="A211" s="81" t="s">
        <v>6</v>
      </c>
      <c r="B211" s="81"/>
      <c r="C211" s="81"/>
      <c r="D211" s="81"/>
      <c r="E211" s="81"/>
      <c r="F211" s="81"/>
      <c r="G211" s="119">
        <f>((G179/G177*(G198/G197)^G207))/(1+((G179/G177*(G198/G197)^G207)))</f>
        <v>0.99908312662017484</v>
      </c>
      <c r="H211" s="119"/>
      <c r="I211" s="119">
        <f>((I175/I173*(I198/I197)^I207))/(1+((I175/I173*(I198/I197)^I207)))</f>
        <v>0.99999459335755936</v>
      </c>
      <c r="J211" s="119"/>
      <c r="K211" s="119"/>
      <c r="L211" s="119">
        <f>((L179/L177*(L198/L197)^L207))/(1+((L179/L177*(L198/L197)^L207)))</f>
        <v>0.99999999999997302</v>
      </c>
      <c r="M211" s="81"/>
      <c r="N211" s="119">
        <f>((N175/N173*(N198/N197)^N207))/(1+((N175/N173*(N198/N197)^N207)))</f>
        <v>0.99999999965487996</v>
      </c>
      <c r="O211" s="81"/>
      <c r="P211" s="81"/>
    </row>
    <row r="212" spans="1:35" x14ac:dyDescent="0.35">
      <c r="A212" s="81" t="s">
        <v>152</v>
      </c>
      <c r="B212" s="81"/>
      <c r="C212" s="81"/>
      <c r="D212" s="81"/>
      <c r="E212" s="81"/>
      <c r="F212" s="81"/>
      <c r="G212" s="118">
        <f>(G178/(G177+G179)*(G196/(G197+G198))^G208)/(1+(G178/(G177+G179)*(G196/(G197+G198))^G208))</f>
        <v>0.16205958912118287</v>
      </c>
      <c r="H212" s="118"/>
      <c r="I212" s="118">
        <f>(I174/(I173+I175)*(I196/(I197+I198))^I208)/(1+(I174/(I173+I175)*(I196/(I197+I198))^I208))</f>
        <v>8.5578040126432942E-2</v>
      </c>
      <c r="J212" s="118"/>
      <c r="K212" s="118"/>
      <c r="L212" s="118">
        <f>(L178/(L177+L179)*(L196/(L197+L198))^L208)/(1+(L178/(L177+L179)*(L196/(L197+L198))^L208))</f>
        <v>0.6664805862642158</v>
      </c>
      <c r="M212" s="81"/>
      <c r="N212" s="118">
        <f>(N174/(N173+N175)*(N196/(N197+N198))^N208)/(1+(N174/(N173+N175)*(N196/(N197+N198))^N208))</f>
        <v>0.61711502940963969</v>
      </c>
      <c r="O212" s="81"/>
      <c r="P212" s="81"/>
    </row>
    <row r="213" spans="1:35" x14ac:dyDescent="0.35">
      <c r="A213" s="81"/>
      <c r="B213" s="81"/>
      <c r="C213" s="81"/>
      <c r="D213" s="81"/>
      <c r="E213" s="81"/>
      <c r="F213" s="81"/>
      <c r="G213" s="118"/>
      <c r="H213" s="118"/>
      <c r="I213" s="118"/>
      <c r="J213" s="118"/>
      <c r="K213" s="118"/>
      <c r="L213" s="118"/>
      <c r="M213" s="81"/>
      <c r="N213" s="81"/>
      <c r="O213" s="81"/>
      <c r="P213" s="81"/>
    </row>
    <row r="214" spans="1:35" x14ac:dyDescent="0.35">
      <c r="A214" s="81" t="s">
        <v>10</v>
      </c>
      <c r="B214" s="81"/>
      <c r="C214" s="81"/>
      <c r="D214" s="81"/>
      <c r="E214" s="81"/>
      <c r="F214" s="81"/>
      <c r="G214" s="118"/>
      <c r="H214" s="118"/>
      <c r="I214" s="118"/>
      <c r="J214" s="118"/>
      <c r="K214" s="118"/>
      <c r="L214" s="118"/>
      <c r="M214" s="81"/>
      <c r="N214" s="118"/>
      <c r="O214" s="81"/>
      <c r="P214" s="81"/>
    </row>
    <row r="215" spans="1:35" x14ac:dyDescent="0.35">
      <c r="A215" s="81" t="s">
        <v>5</v>
      </c>
      <c r="B215" s="81"/>
      <c r="C215" s="81"/>
      <c r="D215" s="81"/>
      <c r="E215" s="81"/>
      <c r="F215" s="81"/>
      <c r="G215" s="118">
        <f>(G197+G198)/(((G211*(G198^(-1*G207)))+((1-G211)*(G197^(-1*G207))))^(-1/G207))</f>
        <v>1.5751991508877157</v>
      </c>
      <c r="H215" s="118"/>
      <c r="I215" s="118">
        <f>(I197+I198)/(((I211*(I198^(-1*I207)))+((1-I211)*(I197^(-1*I207))))^(-1/I207))</f>
        <v>1.3622400286967928</v>
      </c>
      <c r="J215" s="118"/>
      <c r="K215" s="118"/>
      <c r="L215" s="118">
        <f>(L197+L198)/(((L211*(L198^(-1*L207)))+((1-L211)*(L197^(-1*L207))))^(-1/L207))</f>
        <v>1.0497671423272592</v>
      </c>
      <c r="M215" s="81"/>
      <c r="N215" s="118">
        <f>(N197+N198)/(((N211*(N198^(-1*N207)))+((1-N211)*(N197^(-1*N207))))^(-1/N207))</f>
        <v>1.1266072027496461</v>
      </c>
      <c r="O215" s="81"/>
      <c r="P215" s="81"/>
    </row>
    <row r="216" spans="1:35" x14ac:dyDescent="0.35">
      <c r="A216" s="81" t="s">
        <v>8</v>
      </c>
      <c r="B216" s="81"/>
      <c r="C216" s="81"/>
      <c r="D216" s="81"/>
      <c r="E216" s="81"/>
      <c r="F216" s="81"/>
      <c r="G216" s="118">
        <f>1/(((G212*(G196^(-1*G208)))+((1-G212)*((G197+G198)^(-1*G208))))^(-1/G208))</f>
        <v>0.11884822046780338</v>
      </c>
      <c r="H216" s="118"/>
      <c r="I216" s="118">
        <f>1/(((I212*(I196^(-1*I208)))+((1-I212)*((I197+I198)^(-1*I208))))^(-1/I208))</f>
        <v>4.1784236255979872E-2</v>
      </c>
      <c r="J216" s="118"/>
      <c r="K216" s="118"/>
      <c r="L216" s="118">
        <f>1/(((L212*(L196^(-1*L208)))+((1-L212)*((L197+L198)^(-1*L208))))^(-1/L208))</f>
        <v>5.7421326393245722E-2</v>
      </c>
      <c r="M216" s="81"/>
      <c r="N216" s="118">
        <f>1/(((N212*(N196^(-1*N208)))+((1-N212)*((N197+N198)^(-1*N208))))^(-1/N208))</f>
        <v>2.1775640614841621E-2</v>
      </c>
      <c r="O216" s="81"/>
      <c r="P216" s="81"/>
    </row>
    <row r="217" spans="1:35" x14ac:dyDescent="0.35">
      <c r="A217" s="81"/>
      <c r="B217" s="81"/>
      <c r="C217" s="81"/>
      <c r="D217" s="81"/>
      <c r="E217" s="81"/>
      <c r="F217" s="81"/>
      <c r="G217" s="118"/>
      <c r="H217" s="118"/>
      <c r="I217" s="118"/>
      <c r="J217" s="118"/>
      <c r="K217" s="118"/>
      <c r="L217" s="118"/>
      <c r="M217" s="81"/>
      <c r="N217" s="118"/>
      <c r="O217" s="81"/>
      <c r="P217" s="81"/>
    </row>
    <row r="218" spans="1:35" x14ac:dyDescent="0.35">
      <c r="A218" s="81" t="s">
        <v>249</v>
      </c>
      <c r="B218" s="81"/>
      <c r="C218" s="81"/>
      <c r="D218" s="81"/>
      <c r="E218" s="99">
        <v>1</v>
      </c>
      <c r="F218" s="81"/>
      <c r="G218" s="118"/>
      <c r="H218" s="118"/>
      <c r="I218" s="118"/>
      <c r="J218" s="118"/>
      <c r="K218" s="118"/>
      <c r="L218" s="118"/>
      <c r="M218" s="81"/>
      <c r="N218" s="118"/>
      <c r="O218" s="81"/>
      <c r="P218" s="81"/>
      <c r="Q218" s="81"/>
      <c r="R218" s="81"/>
      <c r="S218" s="81"/>
      <c r="T218" s="81"/>
      <c r="U218" s="81"/>
      <c r="V218" s="81"/>
      <c r="W218" s="81"/>
      <c r="X218" s="81"/>
      <c r="Y218" s="81"/>
      <c r="Z218" s="81"/>
      <c r="AA218" s="81"/>
      <c r="AB218" s="81"/>
      <c r="AC218" s="81"/>
      <c r="AD218" s="81"/>
      <c r="AE218" s="81"/>
      <c r="AF218" s="81"/>
      <c r="AG218" s="81"/>
      <c r="AH218" s="81"/>
      <c r="AI218" s="81"/>
    </row>
    <row r="219" spans="1:35" x14ac:dyDescent="0.35">
      <c r="A219" s="81" t="s">
        <v>5</v>
      </c>
      <c r="B219" s="81"/>
      <c r="C219" s="81"/>
      <c r="D219" s="81"/>
      <c r="F219" s="81"/>
      <c r="G219" s="118">
        <f>E218</f>
        <v>1</v>
      </c>
      <c r="H219" s="118"/>
      <c r="I219" s="118">
        <f>E218</f>
        <v>1</v>
      </c>
      <c r="J219" s="118"/>
      <c r="K219" s="118"/>
      <c r="L219" s="118">
        <f>E218</f>
        <v>1</v>
      </c>
      <c r="M219" s="81"/>
      <c r="N219" s="118">
        <f>E218</f>
        <v>1</v>
      </c>
      <c r="O219" s="81"/>
      <c r="P219" s="81"/>
      <c r="Q219" s="81"/>
      <c r="R219" s="81"/>
      <c r="S219" s="81"/>
      <c r="T219" s="81"/>
      <c r="U219" s="81"/>
      <c r="V219" s="81"/>
      <c r="W219" s="81"/>
      <c r="X219" s="81"/>
      <c r="Y219" s="81"/>
      <c r="Z219" s="81"/>
      <c r="AA219" s="81"/>
      <c r="AB219" s="81"/>
      <c r="AC219" s="81"/>
      <c r="AD219" s="81"/>
      <c r="AE219" s="81"/>
      <c r="AF219" s="81"/>
      <c r="AG219" s="81"/>
      <c r="AH219" s="81"/>
      <c r="AI219" s="81"/>
    </row>
    <row r="220" spans="1:35" x14ac:dyDescent="0.35">
      <c r="A220" s="81" t="s">
        <v>250</v>
      </c>
      <c r="B220" s="81"/>
      <c r="C220" s="81"/>
      <c r="D220" s="81"/>
      <c r="E220" s="81"/>
      <c r="F220" s="81"/>
      <c r="G220" s="118">
        <f>E218</f>
        <v>1</v>
      </c>
      <c r="H220" s="118"/>
      <c r="I220" s="118">
        <f>E218</f>
        <v>1</v>
      </c>
      <c r="J220" s="118"/>
      <c r="K220" s="118"/>
      <c r="L220" s="118">
        <f>E218</f>
        <v>1</v>
      </c>
      <c r="M220" s="81"/>
      <c r="N220" s="118">
        <f>E218</f>
        <v>1</v>
      </c>
      <c r="O220" s="81"/>
      <c r="P220" s="81"/>
      <c r="Q220" s="81"/>
      <c r="R220" s="81"/>
      <c r="S220" s="81"/>
      <c r="T220" s="81"/>
      <c r="U220" s="81"/>
      <c r="V220" s="81"/>
      <c r="W220" s="81"/>
      <c r="X220" s="81"/>
      <c r="Y220" s="81"/>
      <c r="Z220" s="81"/>
      <c r="AA220" s="81"/>
      <c r="AB220" s="81"/>
      <c r="AC220" s="81"/>
      <c r="AD220" s="81"/>
      <c r="AE220" s="81"/>
      <c r="AF220" s="81"/>
      <c r="AG220" s="81"/>
      <c r="AH220" s="81"/>
      <c r="AI220" s="81"/>
    </row>
    <row r="221" spans="1:35" x14ac:dyDescent="0.35">
      <c r="A221" s="81" t="s">
        <v>42</v>
      </c>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row>
    <row r="222" spans="1:35" x14ac:dyDescent="0.35">
      <c r="A222" s="81" t="s">
        <v>55</v>
      </c>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row>
    <row r="223" spans="1:35" x14ac:dyDescent="0.35">
      <c r="A223" s="81"/>
      <c r="B223" s="81"/>
      <c r="C223" s="81"/>
      <c r="D223" s="81"/>
      <c r="E223" s="81"/>
      <c r="F223" s="81"/>
      <c r="G223" s="85" t="s">
        <v>104</v>
      </c>
      <c r="H223" s="85"/>
      <c r="I223" s="85"/>
      <c r="J223" s="85"/>
      <c r="K223" s="85"/>
      <c r="L223" s="85" t="s">
        <v>105</v>
      </c>
      <c r="M223" s="85"/>
      <c r="N223" s="85"/>
      <c r="O223" s="85"/>
      <c r="P223" s="81"/>
      <c r="Q223" s="81"/>
      <c r="R223" s="81"/>
      <c r="S223" s="81"/>
      <c r="T223" s="81"/>
      <c r="U223" s="81"/>
      <c r="V223" s="81"/>
      <c r="W223" s="81"/>
      <c r="X223" s="81"/>
      <c r="Y223" s="81"/>
      <c r="Z223" s="81"/>
      <c r="AA223" s="81"/>
      <c r="AB223" s="81"/>
      <c r="AC223" s="81"/>
      <c r="AD223" s="81"/>
      <c r="AE223" s="81"/>
      <c r="AF223" s="81"/>
      <c r="AG223" s="81"/>
      <c r="AH223" s="81"/>
      <c r="AI223" s="81"/>
    </row>
    <row r="224" spans="1:35" x14ac:dyDescent="0.35">
      <c r="A224" s="81"/>
      <c r="B224" s="81"/>
      <c r="C224" s="81"/>
      <c r="D224" s="81"/>
      <c r="E224" s="81"/>
      <c r="F224" s="81"/>
      <c r="G224" s="85" t="s">
        <v>74</v>
      </c>
      <c r="H224" s="85"/>
      <c r="I224" s="85" t="s">
        <v>72</v>
      </c>
      <c r="J224" s="85"/>
      <c r="K224" s="85"/>
      <c r="L224" s="85" t="s">
        <v>74</v>
      </c>
      <c r="M224" s="85"/>
      <c r="N224" s="85" t="s">
        <v>72</v>
      </c>
      <c r="O224" s="85"/>
      <c r="P224" s="81"/>
      <c r="Q224" s="81"/>
      <c r="R224" s="81"/>
      <c r="S224" s="81"/>
      <c r="T224" s="81"/>
      <c r="U224" s="81"/>
      <c r="V224" s="81"/>
      <c r="W224" s="81"/>
      <c r="X224" s="81"/>
      <c r="Y224" s="81"/>
      <c r="Z224" s="81"/>
      <c r="AA224" s="81"/>
      <c r="AB224" s="81"/>
      <c r="AC224" s="81"/>
      <c r="AD224" s="81"/>
      <c r="AE224" s="81"/>
      <c r="AF224" s="81"/>
      <c r="AG224" s="81"/>
      <c r="AH224" s="81"/>
      <c r="AI224" s="81"/>
    </row>
    <row r="225" spans="1:35" x14ac:dyDescent="0.35">
      <c r="A225" s="81" t="s">
        <v>17</v>
      </c>
      <c r="B225" s="81"/>
      <c r="C225" s="81"/>
      <c r="D225" s="81"/>
      <c r="E225" s="81"/>
      <c r="F225" s="81"/>
      <c r="G225" s="88">
        <f>(1/(L215/L219))*(((G190/(L211^(-1/L207)))^(L207/(L207+1))+((G186/((1-L211)^(-1/L207)))^(L207/(L207+1))))^((L207+1)/L207))</f>
        <v>28.154042603741829</v>
      </c>
      <c r="H225" s="88"/>
      <c r="I225" s="88">
        <f>(1/(N215/N219))*(((I190/(N211^(-1/N207)))^(N207/(N207+1))+((I186/((1-N211)^(-1/N207)))^(N207/(N207+1))))^((N207+1)/N207))</f>
        <v>17.723422925290915</v>
      </c>
      <c r="J225" s="88"/>
      <c r="K225" s="88"/>
      <c r="L225" s="88">
        <f>(1/(G215*G219))*((((L190/(G211^(-1/G207)))^(G207/(G207+1)))+((L186/((1-G211)^(-1/G207)))^(G207/(G207+1))))^((G207+1)/G207))</f>
        <v>23.721070248484647</v>
      </c>
      <c r="M225" s="81"/>
      <c r="N225" s="88">
        <f>(1/(I215*I219))*((((N190/(I211^(-1/I207)))^(I207/(I207+1)))+((N186/((1-I211)^(-1/I207)))^(I207/(I207+1))))^((I207+1)/I207))</f>
        <v>17.597305942956307</v>
      </c>
      <c r="O225" s="81"/>
      <c r="P225" s="81"/>
      <c r="Q225" s="81"/>
      <c r="R225" s="81"/>
      <c r="S225" s="81"/>
      <c r="T225" s="81"/>
      <c r="U225" s="81"/>
      <c r="V225" s="81"/>
      <c r="W225" s="81"/>
      <c r="X225" s="81"/>
      <c r="Y225" s="81"/>
      <c r="Z225" s="81"/>
      <c r="AA225" s="81"/>
      <c r="AB225" s="81"/>
      <c r="AC225" s="81"/>
      <c r="AD225" s="81"/>
      <c r="AE225" s="81"/>
      <c r="AF225" s="81"/>
      <c r="AG225" s="81"/>
      <c r="AH225" s="81"/>
      <c r="AI225" s="81"/>
    </row>
    <row r="226" spans="1:35" x14ac:dyDescent="0.35">
      <c r="A226" s="81" t="s">
        <v>113</v>
      </c>
      <c r="B226" s="81"/>
      <c r="C226" s="81"/>
      <c r="D226" s="81"/>
      <c r="E226" s="81"/>
      <c r="F226" s="81"/>
      <c r="G226" s="88">
        <f>(1/(L216/L220))*((((G187/(L212^(-1/L208)))^(L208/(L208+1)))+((G225/((1-L212)^(-1/L208)))^(L208/(L208+1))))^((L208+1)/L208))</f>
        <v>987.31326196475572</v>
      </c>
      <c r="H226" s="88"/>
      <c r="I226" s="88">
        <f>(1/(N216/N220))*((((I187/(N212^(-1/N208)))^(N208/(N208+1)))+((I225/((1-N212)^(-1/N208)))^(N208/(N208+1))))^((N208+1)/N208))</f>
        <v>2102.3245096221717</v>
      </c>
      <c r="J226" s="88"/>
      <c r="K226" s="88"/>
      <c r="L226" s="88">
        <f>(1/(G216*G220))*((((L187/(G212^(-1/G208)))^(G208/(G208+1)))+((L225/((1-G212)^(-1/G208)))^(G208/(G208+1))))^((G208+1)/G208))</f>
        <v>239.02448881630485</v>
      </c>
      <c r="M226" s="81"/>
      <c r="N226" s="88">
        <f>(1/(I216*I220))*((((N187/(I212^(-1/I208)))^(I208/(I208+1)))+((N225/((1-I212)^(-1/I208)))^(I208/(I208+1))))^((I208+1)/I208))</f>
        <v>507.73106351325481</v>
      </c>
      <c r="O226" s="81"/>
      <c r="P226" s="81"/>
      <c r="Q226" s="81"/>
      <c r="R226" s="81"/>
      <c r="S226" s="81"/>
      <c r="T226" s="81"/>
      <c r="U226" s="81"/>
      <c r="V226" s="81"/>
      <c r="W226" s="81"/>
      <c r="X226" s="81"/>
      <c r="Y226" s="81"/>
      <c r="Z226" s="81"/>
      <c r="AA226" s="81"/>
      <c r="AB226" s="81"/>
      <c r="AC226" s="81"/>
      <c r="AD226" s="81"/>
      <c r="AE226" s="81"/>
      <c r="AF226" s="81"/>
      <c r="AG226" s="81"/>
      <c r="AH226" s="81"/>
      <c r="AI226" s="81"/>
    </row>
    <row r="227" spans="1:35" x14ac:dyDescent="0.35">
      <c r="A227" s="81"/>
      <c r="B227" s="81"/>
      <c r="C227" s="81"/>
      <c r="D227" s="81"/>
      <c r="E227" s="81"/>
      <c r="F227" s="81"/>
      <c r="G227" s="120"/>
      <c r="H227" s="120"/>
      <c r="I227" s="120"/>
      <c r="J227" s="120"/>
      <c r="K227" s="120"/>
      <c r="L227" s="120"/>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row>
    <row r="228" spans="1:35" x14ac:dyDescent="0.35">
      <c r="A228" s="81" t="s">
        <v>292</v>
      </c>
      <c r="B228" s="81"/>
      <c r="C228" s="81"/>
      <c r="D228" s="81"/>
      <c r="E228" s="81"/>
      <c r="F228" s="81"/>
      <c r="G228" s="100">
        <f>((1+L272)*L166+(1-L272)*L167+L172+G226)/1000</f>
        <v>1.5808612476711228</v>
      </c>
      <c r="H228" s="100"/>
      <c r="I228" s="100">
        <f>((1+N272)*N166+(1-N272)*N167+N176+I226)/1000</f>
        <v>2.2916450930916579</v>
      </c>
      <c r="J228" s="100"/>
      <c r="K228" s="100"/>
      <c r="L228" s="100">
        <f>((1+L272)*G166+(1-L272)*G167+G172+L226)/1000</f>
        <v>0.72990400636046271</v>
      </c>
      <c r="M228" s="100"/>
      <c r="N228" s="100">
        <f>((1+N272)*I166+(1-N272)*I167+I176+N226)/1000</f>
        <v>0.6239305583332202</v>
      </c>
      <c r="O228" s="81"/>
      <c r="P228" s="15"/>
      <c r="Q228" s="81"/>
      <c r="R228" s="81"/>
      <c r="S228" s="81"/>
      <c r="T228" s="81"/>
      <c r="U228" s="81"/>
      <c r="V228" s="81"/>
      <c r="W228" s="81"/>
      <c r="X228" s="81"/>
      <c r="Y228" s="81"/>
      <c r="Z228" s="81"/>
      <c r="AA228" s="81"/>
      <c r="AB228" s="81"/>
      <c r="AC228" s="81"/>
      <c r="AD228" s="81"/>
      <c r="AE228" s="81"/>
      <c r="AF228" s="81"/>
      <c r="AG228" s="81"/>
      <c r="AH228" s="81"/>
      <c r="AI228" s="81"/>
    </row>
    <row r="229" spans="1:35" x14ac:dyDescent="0.35">
      <c r="A229" s="81" t="s">
        <v>291</v>
      </c>
      <c r="B229" s="81"/>
      <c r="C229" s="81"/>
      <c r="D229" s="81"/>
      <c r="E229" s="81"/>
      <c r="F229" s="81"/>
      <c r="G229" s="100">
        <f>G228/(1+L272)*(1+L274)</f>
        <v>1.494632452343607</v>
      </c>
      <c r="H229" s="100"/>
      <c r="I229" s="100">
        <f>I228/(1+N272)*(1+N274)</f>
        <v>2.1666462698321127</v>
      </c>
      <c r="J229" s="100"/>
      <c r="K229" s="100"/>
      <c r="L229" s="100">
        <f>L228*(1+L272)*(1+L273)</f>
        <v>0.94741540025588067</v>
      </c>
      <c r="M229" s="100"/>
      <c r="N229" s="100">
        <f>N228*(1+N272)*(1+N273)</f>
        <v>0.80986186471651989</v>
      </c>
      <c r="O229" s="81"/>
      <c r="P229" s="81"/>
      <c r="Q229" s="81"/>
      <c r="R229" s="81"/>
      <c r="S229" s="81"/>
      <c r="T229" s="81"/>
      <c r="U229" s="81"/>
      <c r="V229" s="81"/>
      <c r="W229" s="81"/>
      <c r="X229" s="81"/>
      <c r="Y229" s="81"/>
      <c r="Z229" s="81"/>
      <c r="AA229" s="81"/>
      <c r="AB229" s="81"/>
      <c r="AC229" s="81"/>
      <c r="AD229" s="81"/>
      <c r="AE229" s="81"/>
      <c r="AF229" s="81"/>
      <c r="AG229" s="81"/>
      <c r="AH229" s="81"/>
      <c r="AI229" s="81"/>
    </row>
    <row r="230" spans="1:35" x14ac:dyDescent="0.35">
      <c r="A230" s="81"/>
      <c r="B230" s="81"/>
      <c r="C230" s="81"/>
      <c r="D230" s="81"/>
      <c r="E230" s="81"/>
      <c r="F230" s="81"/>
      <c r="G230" s="81"/>
      <c r="H230" s="81"/>
      <c r="I230" s="81"/>
      <c r="J230" s="81"/>
      <c r="K230" s="81"/>
      <c r="L230" s="81"/>
      <c r="M230" s="81"/>
      <c r="N230" s="81"/>
      <c r="O230" s="81"/>
      <c r="P230" s="81"/>
    </row>
    <row r="231" spans="1:35" x14ac:dyDescent="0.35">
      <c r="A231" s="81" t="s">
        <v>51</v>
      </c>
      <c r="B231" s="81"/>
      <c r="C231" s="81"/>
      <c r="D231" s="81"/>
      <c r="E231" s="81"/>
      <c r="F231" s="81"/>
      <c r="G231" s="81"/>
      <c r="H231" s="81"/>
      <c r="I231" s="81"/>
      <c r="J231" s="81"/>
      <c r="K231" s="81"/>
      <c r="L231" s="81"/>
      <c r="M231" s="81"/>
      <c r="N231" s="81"/>
      <c r="O231" s="81"/>
      <c r="P231" s="81"/>
    </row>
    <row r="232" spans="1:35" x14ac:dyDescent="0.35">
      <c r="A232" s="81"/>
      <c r="B232" s="81"/>
      <c r="C232" s="81"/>
      <c r="D232" s="81"/>
      <c r="E232" s="81"/>
      <c r="F232" s="81"/>
      <c r="G232" s="87" t="s">
        <v>41</v>
      </c>
      <c r="H232" s="81"/>
      <c r="I232" s="87" t="s">
        <v>41</v>
      </c>
      <c r="J232" s="81"/>
      <c r="K232" s="81"/>
      <c r="L232" s="87" t="s">
        <v>41</v>
      </c>
      <c r="M232" s="81"/>
      <c r="N232" s="81"/>
      <c r="O232" s="81"/>
      <c r="P232" s="81"/>
    </row>
    <row r="233" spans="1:35" x14ac:dyDescent="0.35">
      <c r="A233" s="81" t="s">
        <v>38</v>
      </c>
      <c r="B233" s="81"/>
      <c r="C233" s="81"/>
      <c r="D233" s="81"/>
      <c r="E233" s="81"/>
      <c r="F233" s="81"/>
      <c r="G233" s="81"/>
      <c r="H233" s="81"/>
      <c r="I233" s="81"/>
      <c r="J233" s="81"/>
      <c r="K233" s="81"/>
      <c r="L233" s="81"/>
      <c r="M233" s="81"/>
      <c r="N233" s="81"/>
      <c r="O233" s="81"/>
      <c r="P233" s="81"/>
    </row>
    <row r="234" spans="1:35" x14ac:dyDescent="0.35">
      <c r="A234" s="81" t="s">
        <v>101</v>
      </c>
      <c r="B234" s="81"/>
      <c r="C234" s="81"/>
      <c r="D234" s="81"/>
      <c r="E234" s="81"/>
      <c r="F234" s="100">
        <f>(1+L272)*L166</f>
        <v>188.63915344379024</v>
      </c>
      <c r="G234" s="100">
        <f>(1+L272)*L166/(G228*1000)*100</f>
        <v>11.932682499598732</v>
      </c>
      <c r="H234" s="100">
        <f>(1+N272)*N166</f>
        <v>59.241759386351667</v>
      </c>
      <c r="I234" s="100">
        <f>(1+N272)*N166/(I228*1000)*100</f>
        <v>2.5851192911564076</v>
      </c>
      <c r="J234" s="100"/>
      <c r="K234" s="100">
        <f>(1+L272)*G166</f>
        <v>44.223082598996669</v>
      </c>
      <c r="L234" s="100">
        <f>(1+L272)*G166/(L228*1000)*100</f>
        <v>6.0587532351695463</v>
      </c>
      <c r="M234" s="100">
        <f>(1+N272)*I166</f>
        <v>19.092567416915308</v>
      </c>
      <c r="N234" s="100">
        <f>(1+N272)*I166/(N228*1000)*100</f>
        <v>3.0600468532779592</v>
      </c>
      <c r="O234" s="81"/>
      <c r="P234" s="15"/>
      <c r="Q234" s="81"/>
      <c r="R234" s="81"/>
      <c r="S234" s="81"/>
      <c r="T234" s="81"/>
      <c r="U234" s="81"/>
      <c r="V234" s="81"/>
    </row>
    <row r="235" spans="1:35" x14ac:dyDescent="0.35">
      <c r="A235" s="81" t="s">
        <v>102</v>
      </c>
      <c r="B235" s="81"/>
      <c r="C235" s="81"/>
      <c r="D235" s="81"/>
      <c r="E235" s="81"/>
      <c r="F235" s="100">
        <f>((1-L272)*L167)</f>
        <v>170.61374762518057</v>
      </c>
      <c r="G235" s="100">
        <f>((1-L272)*L167)/(G228*1000)*100</f>
        <v>10.792455560317112</v>
      </c>
      <c r="H235" s="100">
        <f>((1-N272)*N167)</f>
        <v>63.517027045903049</v>
      </c>
      <c r="I235" s="100">
        <f>((1-N272)*N167)/(I228*1000)*100</f>
        <v>2.7716781816425264</v>
      </c>
      <c r="J235" s="100"/>
      <c r="K235" s="100">
        <f>((1-L272)*G167)</f>
        <v>116.78511635043662</v>
      </c>
      <c r="L235" s="100">
        <f>((1-L272)*G167)/(L228*1000)*100</f>
        <v>16.000065122640571</v>
      </c>
      <c r="M235" s="100">
        <f>((1-N272)*I167)</f>
        <v>43.405003127240953</v>
      </c>
      <c r="N235" s="100">
        <f>((1-N272)*I167)/(N228*1000)*100</f>
        <v>6.9567041632315449</v>
      </c>
      <c r="O235" s="81"/>
      <c r="P235" s="81"/>
    </row>
    <row r="236" spans="1:35" x14ac:dyDescent="0.35">
      <c r="A236" s="81" t="s">
        <v>39</v>
      </c>
      <c r="B236" s="81"/>
      <c r="C236" s="81"/>
      <c r="D236" s="81"/>
      <c r="E236" s="81"/>
      <c r="F236" s="100"/>
      <c r="G236" s="100"/>
      <c r="H236" s="100"/>
      <c r="I236" s="100"/>
      <c r="J236" s="100"/>
      <c r="K236" s="100"/>
      <c r="L236" s="100"/>
      <c r="M236" s="100"/>
      <c r="N236" s="100"/>
      <c r="O236" s="81"/>
      <c r="P236" s="81"/>
    </row>
    <row r="237" spans="1:35" s="15" customFormat="1" x14ac:dyDescent="0.35">
      <c r="A237" s="15" t="s">
        <v>114</v>
      </c>
      <c r="F237" s="55">
        <f>L172</f>
        <v>234.29508463739637</v>
      </c>
      <c r="G237" s="55">
        <f>L172/(G228*1000)*100</f>
        <v>14.820724145307048</v>
      </c>
      <c r="H237" s="55">
        <f>N176</f>
        <v>66.561797037231813</v>
      </c>
      <c r="I237" s="55">
        <f>N176/(I228*1000)*100</f>
        <v>2.9045421229442336</v>
      </c>
      <c r="J237" s="55"/>
      <c r="K237" s="55">
        <f>G172</f>
        <v>329.87131859472464</v>
      </c>
      <c r="L237" s="55">
        <f>G172/(L228*1000)*100</f>
        <v>45.193794762076955</v>
      </c>
      <c r="M237" s="55">
        <f>I176</f>
        <v>53.701924275809183</v>
      </c>
      <c r="N237" s="55">
        <f>I176/(N228*1000)*100</f>
        <v>8.6070354398523961</v>
      </c>
      <c r="O237" s="55"/>
    </row>
    <row r="238" spans="1:35" x14ac:dyDescent="0.35">
      <c r="A238" s="81" t="s">
        <v>115</v>
      </c>
      <c r="B238" s="81"/>
      <c r="C238" s="81"/>
      <c r="D238" s="81"/>
      <c r="E238" s="81"/>
      <c r="F238" s="100">
        <f>G226</f>
        <v>987.31326196475572</v>
      </c>
      <c r="G238" s="100">
        <f>G226/(G228*1000)*100</f>
        <v>62.454137794777111</v>
      </c>
      <c r="H238" s="100">
        <f>I226</f>
        <v>2102.3245096221717</v>
      </c>
      <c r="I238" s="100">
        <f>I226/(I228*1000)*100</f>
        <v>91.738660404256848</v>
      </c>
      <c r="J238" s="100"/>
      <c r="K238" s="100">
        <f>L226</f>
        <v>239.02448881630485</v>
      </c>
      <c r="L238" s="100">
        <f>L226/(L228*1000)*100</f>
        <v>32.747386880112934</v>
      </c>
      <c r="M238" s="100">
        <f>N226</f>
        <v>507.73106351325481</v>
      </c>
      <c r="N238" s="100">
        <f>N226/(N228*1000)*100</f>
        <v>81.376213543638116</v>
      </c>
      <c r="O238" s="81"/>
      <c r="P238" s="81"/>
    </row>
    <row r="239" spans="1:35" x14ac:dyDescent="0.35">
      <c r="A239" s="81" t="s">
        <v>153</v>
      </c>
      <c r="B239" s="81"/>
      <c r="C239" s="81"/>
      <c r="D239" s="81"/>
      <c r="E239" s="81"/>
      <c r="F239" s="100">
        <f>G239*G228*10</f>
        <v>31.479761018534699</v>
      </c>
      <c r="G239" s="100">
        <f>G250*G184/(G228*1000)*100</f>
        <v>1.9913044908216795</v>
      </c>
      <c r="H239" s="100">
        <f>I239*I228*10</f>
        <v>228.55490842438044</v>
      </c>
      <c r="I239" s="100">
        <f>I250*I184/(I228*1000)*100</f>
        <v>9.9733989836985213</v>
      </c>
      <c r="J239" s="81"/>
      <c r="K239" s="100">
        <f>L250*L184</f>
        <v>42.9396110713014</v>
      </c>
      <c r="L239" s="100">
        <f>L250*L184/(L228*1000)*100</f>
        <v>5.8829120948948033</v>
      </c>
      <c r="M239" s="100">
        <f>N250*N184</f>
        <v>110.15648396632604</v>
      </c>
      <c r="N239" s="100">
        <f>N250*N184/(N228*1000)*100</f>
        <v>17.655247446222241</v>
      </c>
      <c r="O239" s="81"/>
      <c r="P239" s="81"/>
    </row>
    <row r="240" spans="1:35" x14ac:dyDescent="0.35">
      <c r="A240" s="81" t="s">
        <v>154</v>
      </c>
      <c r="B240" s="81"/>
      <c r="C240" s="81"/>
      <c r="D240" s="81"/>
      <c r="E240" s="81"/>
      <c r="F240" s="100">
        <f>G240*G228*10</f>
        <v>585.50226706824515</v>
      </c>
      <c r="G240" s="100">
        <f>G251*G187/(G228*1000)*100</f>
        <v>37.036916929350348</v>
      </c>
      <c r="H240" s="100">
        <f>I240*I228*10</f>
        <v>1292.9074254346622</v>
      </c>
      <c r="I240" s="100">
        <f>I251*I187/(I228*1000)*100</f>
        <v>56.418309682080881</v>
      </c>
      <c r="J240" s="100"/>
      <c r="K240" s="100">
        <f>L251*L187</f>
        <v>39.085005768592332</v>
      </c>
      <c r="L240" s="100">
        <f>L251*L187/(L228*1000)*100</f>
        <v>5.3548145273900882</v>
      </c>
      <c r="M240" s="100">
        <f>N251*N187</f>
        <v>65.542965302475537</v>
      </c>
      <c r="N240" s="100">
        <f>N251*N187/(N228*1000)*100</f>
        <v>10.504849366180787</v>
      </c>
      <c r="O240" s="81"/>
      <c r="P240" s="81"/>
    </row>
    <row r="241" spans="1:18" x14ac:dyDescent="0.35">
      <c r="A241" s="81" t="s">
        <v>12</v>
      </c>
      <c r="B241" s="81"/>
      <c r="C241" s="81"/>
      <c r="D241" s="81"/>
      <c r="E241" s="81"/>
      <c r="F241" s="100">
        <f>G241*G228*10</f>
        <v>370.33123387797582</v>
      </c>
      <c r="G241" s="100">
        <f>G238-G240-G239</f>
        <v>23.425916374605084</v>
      </c>
      <c r="H241" s="100">
        <f>I241*I228*10</f>
        <v>580.86217576312902</v>
      </c>
      <c r="I241" s="100">
        <f>I238-I240-I239</f>
        <v>25.346951738477443</v>
      </c>
      <c r="J241" s="100"/>
      <c r="K241" s="100">
        <f>L241*L228*10</f>
        <v>156.9998719764111</v>
      </c>
      <c r="L241" s="100">
        <f>L238-L240-L239</f>
        <v>21.509660257828042</v>
      </c>
      <c r="M241" s="100">
        <f>N241*N228*10</f>
        <v>332.03161424445329</v>
      </c>
      <c r="N241" s="100">
        <f>N238-N240-N239</f>
        <v>53.216116731235083</v>
      </c>
      <c r="O241" s="81"/>
      <c r="P241" s="81"/>
    </row>
    <row r="242" spans="1:18" x14ac:dyDescent="0.35">
      <c r="A242" s="81" t="s">
        <v>40</v>
      </c>
      <c r="B242" s="81"/>
      <c r="C242" s="81"/>
      <c r="D242" s="81"/>
      <c r="E242" s="81"/>
      <c r="F242" s="100">
        <f>SUM(F234:F238)</f>
        <v>1580.8612476711228</v>
      </c>
      <c r="G242" s="100">
        <f>SUM(G234:G238)</f>
        <v>100</v>
      </c>
      <c r="H242" s="100">
        <f>SUM(H234:H238)</f>
        <v>2291.6450930916581</v>
      </c>
      <c r="I242" s="100">
        <f>SUM(I234:I238)</f>
        <v>100.00000000000001</v>
      </c>
      <c r="J242" s="100"/>
      <c r="K242" s="100">
        <f>SUM(K234:K238)</f>
        <v>729.90400636046274</v>
      </c>
      <c r="L242" s="100">
        <f>SUM(L234:L238)</f>
        <v>100</v>
      </c>
      <c r="M242" s="100">
        <f>SUM(M234:M238)</f>
        <v>623.93055833322023</v>
      </c>
      <c r="N242" s="100">
        <f>SUM(N234:N238)</f>
        <v>100.00000000000001</v>
      </c>
      <c r="O242" s="81"/>
      <c r="P242" s="81"/>
    </row>
    <row r="243" spans="1:18" x14ac:dyDescent="0.35">
      <c r="A243" s="81"/>
      <c r="B243" s="81"/>
      <c r="C243" s="81"/>
      <c r="D243" s="81"/>
      <c r="E243" s="81"/>
      <c r="F243" s="100"/>
      <c r="G243" s="100"/>
      <c r="H243" s="100"/>
      <c r="I243" s="100"/>
      <c r="J243" s="100"/>
      <c r="K243" s="100"/>
      <c r="L243" s="100"/>
      <c r="M243" s="81"/>
      <c r="N243" s="81"/>
      <c r="O243" s="81"/>
      <c r="P243" s="81"/>
    </row>
    <row r="244" spans="1:18" x14ac:dyDescent="0.35">
      <c r="A244" s="81" t="s">
        <v>13</v>
      </c>
      <c r="B244" s="81"/>
      <c r="C244" s="81"/>
      <c r="D244" s="81"/>
      <c r="E244" s="81"/>
      <c r="F244" s="100"/>
      <c r="G244" s="100"/>
      <c r="H244" s="100"/>
      <c r="I244" s="100"/>
      <c r="J244" s="100"/>
      <c r="K244" s="100"/>
      <c r="L244" s="100"/>
      <c r="M244" s="81"/>
      <c r="N244" s="81"/>
      <c r="O244" s="81"/>
      <c r="P244" s="81"/>
    </row>
    <row r="245" spans="1:18" x14ac:dyDescent="0.35">
      <c r="A245" s="81" t="s">
        <v>3</v>
      </c>
      <c r="B245" s="81"/>
      <c r="C245" s="81"/>
      <c r="D245" s="81"/>
      <c r="E245" s="81"/>
      <c r="F245" s="100"/>
      <c r="G245" s="118">
        <f>((G190/G186)*((1-L211)/L211))^(1/(1+L207))</f>
        <v>4.0858851758740843E-2</v>
      </c>
      <c r="H245" s="100"/>
      <c r="I245" s="118">
        <f>((I190/I186)*((1-N211)/N211))^(1/(1+N207))</f>
        <v>9.8553607333236523E-2</v>
      </c>
      <c r="J245" s="100"/>
      <c r="K245" s="100"/>
      <c r="L245" s="100">
        <f>(L190/L186*(1-G211)/G211)^(1/(1+G207))</f>
        <v>0.53098617603685627</v>
      </c>
      <c r="M245" s="81"/>
      <c r="N245" s="100">
        <f>(N190/N186*(1-I211)/I211)^(1/(1+I207))</f>
        <v>0.29377243360615624</v>
      </c>
      <c r="O245" s="81"/>
      <c r="P245" s="81"/>
      <c r="Q245" s="81"/>
      <c r="R245" s="81"/>
    </row>
    <row r="246" spans="1:18" x14ac:dyDescent="0.35">
      <c r="A246" s="81" t="s">
        <v>155</v>
      </c>
      <c r="B246" s="81"/>
      <c r="C246" s="81"/>
      <c r="D246" s="81"/>
      <c r="E246" s="81"/>
      <c r="F246" s="100"/>
      <c r="G246" s="118">
        <f>(G187/G225*(1-L212)/L212)^(1/(1+L208))</f>
        <v>0.72918945553315662</v>
      </c>
      <c r="H246" s="100"/>
      <c r="I246" s="118">
        <f>(I187/I225*(1-N212)/N212)^(1/(1+N208))</f>
        <v>0.99105386325181555</v>
      </c>
      <c r="J246" s="100"/>
      <c r="K246" s="100"/>
      <c r="L246" s="100">
        <f>(L187/L225*(1-G212)/G212)^(1/(1+G208))</f>
        <v>1.010764586505086</v>
      </c>
      <c r="M246" s="81"/>
      <c r="N246" s="100">
        <f>(N187/N225*(1-I212)/I212)^(1/(1+I208))</f>
        <v>1.5838109736293107</v>
      </c>
      <c r="O246" s="81"/>
      <c r="P246" s="81"/>
      <c r="Q246" s="81"/>
      <c r="R246" s="81"/>
    </row>
    <row r="247" spans="1:18" x14ac:dyDescent="0.35">
      <c r="A247" s="81"/>
      <c r="B247" s="81"/>
      <c r="C247" s="81"/>
      <c r="D247" s="81"/>
      <c r="E247" s="81"/>
      <c r="F247" s="100"/>
      <c r="G247" s="100"/>
      <c r="H247" s="100"/>
      <c r="I247" s="100"/>
      <c r="J247" s="100"/>
      <c r="K247" s="100"/>
      <c r="L247" s="100"/>
      <c r="M247" s="81"/>
      <c r="N247" s="100"/>
      <c r="O247" s="81"/>
      <c r="P247" s="81"/>
    </row>
    <row r="248" spans="1:18" x14ac:dyDescent="0.35">
      <c r="A248" s="81" t="s">
        <v>14</v>
      </c>
      <c r="B248" s="81"/>
      <c r="C248" s="81"/>
      <c r="D248" s="81"/>
      <c r="E248" s="81"/>
      <c r="F248" s="100"/>
      <c r="G248" s="100"/>
      <c r="H248" s="100"/>
      <c r="I248" s="100"/>
      <c r="J248" s="100"/>
      <c r="K248" s="100"/>
      <c r="L248" s="100"/>
      <c r="M248" s="81"/>
      <c r="N248" s="100"/>
      <c r="O248" s="81"/>
      <c r="P248" s="81"/>
    </row>
    <row r="249" spans="1:18" x14ac:dyDescent="0.35">
      <c r="A249" s="81" t="s">
        <v>1</v>
      </c>
      <c r="B249" s="81"/>
      <c r="C249" s="81"/>
      <c r="D249" s="81"/>
      <c r="E249" s="81"/>
      <c r="F249" s="100"/>
      <c r="G249" s="100">
        <f>G250+G251</f>
        <v>20.132792079799955</v>
      </c>
      <c r="H249" s="100"/>
      <c r="I249" s="100">
        <f>I250+I251</f>
        <v>50.226702944584545</v>
      </c>
      <c r="J249" s="100"/>
      <c r="K249" s="100"/>
      <c r="L249" s="100">
        <f>L250+L251</f>
        <v>14.1756650043405</v>
      </c>
      <c r="M249" s="81"/>
      <c r="N249" s="100">
        <f>N250+N251</f>
        <v>27.054173866648377</v>
      </c>
      <c r="O249" s="81"/>
      <c r="P249" s="81"/>
    </row>
    <row r="250" spans="1:18" x14ac:dyDescent="0.35">
      <c r="A250" s="81" t="s">
        <v>156</v>
      </c>
      <c r="B250" s="81"/>
      <c r="C250" s="81"/>
      <c r="D250" s="81"/>
      <c r="E250" s="81"/>
      <c r="F250" s="100"/>
      <c r="G250" s="100">
        <f>G252/G185*100</f>
        <v>0.56054575205294932</v>
      </c>
      <c r="H250" s="100"/>
      <c r="I250" s="100">
        <f>I252/I185*100</f>
        <v>4.1451074938513797</v>
      </c>
      <c r="J250" s="100"/>
      <c r="K250" s="100"/>
      <c r="L250" s="100">
        <f>L252/L185*100</f>
        <v>5.8366593597385172</v>
      </c>
      <c r="M250" s="81"/>
      <c r="N250" s="100">
        <f>N252/N185*100</f>
        <v>11.188536751407282</v>
      </c>
      <c r="O250" s="81"/>
      <c r="P250" s="81"/>
    </row>
    <row r="251" spans="1:18" x14ac:dyDescent="0.35">
      <c r="A251" s="81" t="s">
        <v>157</v>
      </c>
      <c r="B251" s="81"/>
      <c r="C251" s="81"/>
      <c r="D251" s="81"/>
      <c r="E251" s="81"/>
      <c r="F251" s="100"/>
      <c r="G251" s="100">
        <f>G226/(G187+G225*G246)</f>
        <v>19.572246327747006</v>
      </c>
      <c r="H251" s="100"/>
      <c r="I251" s="100">
        <f>I226/(I187+I225*I246)</f>
        <v>46.081595450733168</v>
      </c>
      <c r="J251" s="100"/>
      <c r="K251" s="100"/>
      <c r="L251" s="100">
        <f>L226/(L187+L225*L246)</f>
        <v>8.3390056446019827</v>
      </c>
      <c r="M251" s="81"/>
      <c r="N251" s="100">
        <f>N226/(N187+N225*N246)</f>
        <v>15.865637115241093</v>
      </c>
      <c r="O251" s="81"/>
      <c r="P251" s="81"/>
    </row>
    <row r="252" spans="1:18" x14ac:dyDescent="0.35">
      <c r="A252" s="81" t="s">
        <v>2</v>
      </c>
      <c r="B252" s="81"/>
      <c r="C252" s="81"/>
      <c r="D252" s="81"/>
      <c r="E252" s="81"/>
      <c r="F252" s="100"/>
      <c r="G252" s="100">
        <f>G253*G245</f>
        <v>0.56054575205294932</v>
      </c>
      <c r="H252" s="100"/>
      <c r="I252" s="100">
        <f>I253*I245</f>
        <v>4.1451074938513797</v>
      </c>
      <c r="J252" s="100"/>
      <c r="K252" s="100"/>
      <c r="L252" s="100">
        <f>L253*L245</f>
        <v>2.9183296798692586</v>
      </c>
      <c r="M252" s="81"/>
      <c r="N252" s="100">
        <f>N253*N245</f>
        <v>5.5942683757036411</v>
      </c>
      <c r="O252" s="81"/>
      <c r="P252" s="81"/>
    </row>
    <row r="253" spans="1:18" x14ac:dyDescent="0.35">
      <c r="A253" s="81" t="s">
        <v>0</v>
      </c>
      <c r="B253" s="81"/>
      <c r="C253" s="81"/>
      <c r="D253" s="81"/>
      <c r="E253" s="81"/>
      <c r="F253" s="100"/>
      <c r="G253" s="100">
        <f>G225/(G190+G186*G245)*(G251*G246)</f>
        <v>13.719077456282971</v>
      </c>
      <c r="H253" s="100"/>
      <c r="I253" s="100">
        <f>I225/(I190+I186*I245)*(I251*I246)</f>
        <v>42.059419294878218</v>
      </c>
      <c r="J253" s="100"/>
      <c r="K253" s="100"/>
      <c r="L253" s="100">
        <f>L225/(L190+L186*L245)*(L251*L246)</f>
        <v>5.4960558514930051</v>
      </c>
      <c r="M253" s="81"/>
      <c r="N253" s="100">
        <f>N225/(N190+N186*N245)*(N251*N246)</f>
        <v>19.042863576517714</v>
      </c>
      <c r="O253" s="81"/>
      <c r="P253" s="81"/>
    </row>
    <row r="254" spans="1:18" x14ac:dyDescent="0.35">
      <c r="A254" s="81"/>
      <c r="B254" s="81"/>
      <c r="C254" s="81"/>
      <c r="D254" s="81"/>
      <c r="E254" s="81"/>
      <c r="F254" s="81"/>
      <c r="G254" s="81"/>
      <c r="H254" s="81"/>
      <c r="I254" s="81"/>
      <c r="J254" s="81"/>
      <c r="K254" s="81"/>
      <c r="L254" s="81"/>
      <c r="M254" s="81"/>
      <c r="N254" s="81"/>
      <c r="O254" s="81"/>
      <c r="P254" s="81"/>
    </row>
    <row r="255" spans="1:18" x14ac:dyDescent="0.35">
      <c r="A255" s="15" t="s">
        <v>338</v>
      </c>
      <c r="B255" s="81"/>
      <c r="C255" s="81"/>
      <c r="D255" s="81"/>
      <c r="E255" s="81"/>
      <c r="F255" s="81"/>
      <c r="G255" s="100">
        <f>(G$194/G$176)/(G$249/G$226)</f>
        <v>0.77384052428913752</v>
      </c>
      <c r="H255" s="81"/>
      <c r="I255" s="100">
        <f>(I$194/I$172)/(I$249/I$226)</f>
        <v>0.66836507122477684</v>
      </c>
      <c r="J255" s="81"/>
      <c r="K255" s="81"/>
      <c r="L255" s="100">
        <f>(L194/L176)/(L249/L226)</f>
        <v>1.3533802691552961</v>
      </c>
      <c r="M255" s="81"/>
      <c r="N255" s="100">
        <f>(N194/N172)/(N249/N226)</f>
        <v>1.8605898817048323</v>
      </c>
      <c r="O255" s="81"/>
      <c r="P255" s="81"/>
    </row>
    <row r="256" spans="1:18" x14ac:dyDescent="0.35">
      <c r="A256" s="15" t="s">
        <v>339</v>
      </c>
      <c r="B256" s="81"/>
      <c r="C256" s="81"/>
      <c r="D256" s="81"/>
      <c r="E256" s="81"/>
      <c r="F256" s="81"/>
      <c r="G256" s="100">
        <f>(G$196/G$176)/(G$251/G$226)</f>
        <v>0.48156495750824946</v>
      </c>
      <c r="H256" s="81"/>
      <c r="I256" s="100">
        <f>(I$196/I$172)/(I$251/I$226)</f>
        <v>0.41534588594915633</v>
      </c>
      <c r="J256" s="81"/>
      <c r="K256" s="81"/>
      <c r="L256" s="100">
        <f>(L$196/L$176)/(L$251/L$226)</f>
        <v>2.2423365320383528</v>
      </c>
      <c r="M256" s="81"/>
      <c r="N256" s="100">
        <f>(N$196/N$172)/(N$251/N$226)</f>
        <v>2.9468852770076226</v>
      </c>
      <c r="O256" s="81"/>
      <c r="P256" s="81"/>
    </row>
    <row r="257" spans="1:46" x14ac:dyDescent="0.35">
      <c r="A257" s="15" t="s">
        <v>340</v>
      </c>
      <c r="B257" s="81"/>
      <c r="C257" s="81"/>
      <c r="D257" s="81"/>
      <c r="E257" s="81"/>
      <c r="F257" s="81"/>
      <c r="G257" s="100">
        <f>G$194/(G$249/G$228)</f>
        <v>0.61973102163077076</v>
      </c>
      <c r="H257" s="81"/>
      <c r="I257" s="100">
        <f>I$194/(I$249/I$228)</f>
        <v>0.64164669759982218</v>
      </c>
      <c r="J257" s="81"/>
      <c r="K257" s="81"/>
      <c r="L257" s="100">
        <f>L194/(L249/L228)</f>
        <v>1.6723078804302585</v>
      </c>
      <c r="M257" s="81"/>
      <c r="N257" s="100">
        <f>N194/(N249/N228)</f>
        <v>1.8497190481090551</v>
      </c>
      <c r="O257" s="81"/>
      <c r="P257" s="81"/>
    </row>
    <row r="258" spans="1:46" x14ac:dyDescent="0.35">
      <c r="A258" s="15" t="s">
        <v>341</v>
      </c>
      <c r="B258" s="81"/>
      <c r="C258" s="81"/>
      <c r="D258" s="81"/>
      <c r="E258" s="81"/>
      <c r="F258" s="81"/>
      <c r="G258" s="100">
        <f>(G194/G198)/(G249/G253)</f>
        <v>0.79662814944563065</v>
      </c>
      <c r="H258" s="81"/>
      <c r="I258" s="100">
        <f>(I194/I198)/(I249/I253)</f>
        <v>0.50440573054208682</v>
      </c>
      <c r="J258" s="81"/>
      <c r="K258" s="81"/>
      <c r="L258" s="100">
        <f>(L194/L198)/(L249/L253)</f>
        <v>1.4375658070075739</v>
      </c>
      <c r="M258" s="81"/>
      <c r="N258" s="100">
        <f>(N194/N198)/(N249/N253)</f>
        <v>2.2117731469050734</v>
      </c>
      <c r="O258" s="81"/>
      <c r="P258" s="81"/>
    </row>
    <row r="259" spans="1:46" x14ac:dyDescent="0.35">
      <c r="A259" s="81"/>
      <c r="B259" s="81"/>
      <c r="C259" s="81"/>
      <c r="D259" s="81"/>
      <c r="E259" s="81"/>
      <c r="F259" s="81"/>
      <c r="G259" s="81"/>
      <c r="H259" s="81"/>
      <c r="I259" s="81"/>
      <c r="J259" s="81"/>
      <c r="K259" s="81"/>
      <c r="L259" s="81"/>
      <c r="M259" s="81"/>
      <c r="N259" s="81"/>
      <c r="O259" s="81"/>
      <c r="P259" s="81"/>
    </row>
    <row r="260" spans="1:46" x14ac:dyDescent="0.35">
      <c r="A260" s="81" t="s">
        <v>15</v>
      </c>
      <c r="B260" s="81"/>
      <c r="C260" s="81"/>
      <c r="D260" s="81"/>
      <c r="E260" s="81"/>
      <c r="F260" s="81"/>
      <c r="G260" s="81"/>
      <c r="H260" s="81"/>
      <c r="I260" s="81"/>
      <c r="J260" s="81"/>
      <c r="K260" s="81"/>
      <c r="L260" s="81"/>
      <c r="M260" s="81"/>
      <c r="N260" s="81"/>
      <c r="O260" s="81"/>
      <c r="P260" s="81"/>
    </row>
    <row r="261" spans="1:46" x14ac:dyDescent="0.35">
      <c r="A261" s="81" t="s">
        <v>158</v>
      </c>
      <c r="B261" s="81"/>
      <c r="C261" s="81"/>
      <c r="D261" s="81"/>
      <c r="E261" s="81"/>
      <c r="F261" s="81"/>
      <c r="G261" s="100">
        <f>(G251/G253)/(G196/G198)</f>
        <v>2.0171627695714855</v>
      </c>
      <c r="H261" s="81"/>
      <c r="I261" s="100">
        <f>(I251/I253)/(I196/I198)</f>
        <v>3.1902434123488761</v>
      </c>
      <c r="J261" s="81"/>
      <c r="K261" s="81"/>
      <c r="L261" s="100">
        <f>1/((L251/L253)/(L196/L198))</f>
        <v>2.3818186209218273</v>
      </c>
      <c r="M261" s="81"/>
      <c r="N261" s="100">
        <f>1/((N251/N253)/(N196/N198))</f>
        <v>3.5031050027656674</v>
      </c>
      <c r="O261" s="81"/>
      <c r="P261" s="81"/>
    </row>
    <row r="262" spans="1:46" x14ac:dyDescent="0.35">
      <c r="A262" s="81" t="s">
        <v>159</v>
      </c>
      <c r="B262" s="81"/>
      <c r="C262" s="81"/>
      <c r="D262" s="81"/>
      <c r="E262" s="81"/>
      <c r="F262" s="81"/>
      <c r="G262" s="100">
        <f>1/((G196/G197)/(G251/G252))</f>
        <v>22.798699137931543</v>
      </c>
      <c r="H262" s="81"/>
      <c r="I262" s="100">
        <f>1/((I196/I197)/(I251/I252))</f>
        <v>8.3814624178222452</v>
      </c>
      <c r="J262" s="81"/>
      <c r="K262" s="81"/>
      <c r="L262" s="100">
        <f>(L196/L197)/(L251/L252)</f>
        <v>26.917997769690057</v>
      </c>
      <c r="M262" s="81"/>
      <c r="N262" s="100">
        <f>(N196/N197)/(N251/N252)</f>
        <v>9.2034179161668561</v>
      </c>
      <c r="O262" s="81"/>
      <c r="P262" s="81"/>
    </row>
    <row r="263" spans="1:46" x14ac:dyDescent="0.35">
      <c r="A263" s="81"/>
      <c r="B263" s="81"/>
      <c r="C263" s="81"/>
      <c r="D263" s="81"/>
      <c r="E263" s="81"/>
      <c r="F263" s="81"/>
      <c r="G263" s="81"/>
      <c r="H263" s="81"/>
      <c r="I263" s="81"/>
      <c r="J263" s="81"/>
      <c r="K263" s="81"/>
      <c r="L263" s="81"/>
      <c r="M263" s="81"/>
      <c r="N263" s="81"/>
      <c r="O263" s="81"/>
      <c r="P263" s="81"/>
    </row>
    <row r="264" spans="1:46" x14ac:dyDescent="0.35">
      <c r="A264" s="81" t="s">
        <v>48</v>
      </c>
      <c r="B264" s="81"/>
      <c r="C264" s="81"/>
      <c r="D264" s="81"/>
      <c r="E264" s="81"/>
      <c r="F264" s="81"/>
      <c r="G264" s="81"/>
      <c r="H264" s="81"/>
      <c r="I264" s="81"/>
      <c r="J264" s="81"/>
      <c r="K264" s="81"/>
      <c r="L264" s="81"/>
      <c r="M264" s="81"/>
      <c r="N264" s="81"/>
      <c r="O264" s="81"/>
    </row>
    <row r="265" spans="1:46" x14ac:dyDescent="0.35">
      <c r="A265" s="81"/>
      <c r="B265" s="81"/>
      <c r="C265" s="81"/>
      <c r="D265" s="81"/>
      <c r="E265" s="81"/>
      <c r="F265" s="81"/>
      <c r="G265" s="81"/>
      <c r="H265" s="81"/>
      <c r="I265" s="81"/>
      <c r="J265" s="81"/>
      <c r="K265" s="81"/>
      <c r="L265" s="81"/>
      <c r="M265" s="81"/>
      <c r="N265" s="81"/>
      <c r="O265" s="81"/>
    </row>
    <row r="266" spans="1:46" x14ac:dyDescent="0.35">
      <c r="A266" s="81" t="s">
        <v>43</v>
      </c>
      <c r="B266" s="81"/>
      <c r="C266" s="81"/>
      <c r="D266" s="81"/>
      <c r="E266" s="81"/>
      <c r="F266" s="81"/>
      <c r="G266" s="81"/>
      <c r="H266" s="81"/>
      <c r="I266" s="81"/>
      <c r="J266" s="81"/>
      <c r="K266" s="81"/>
      <c r="L266" s="112" t="s">
        <v>74</v>
      </c>
      <c r="M266" s="81"/>
      <c r="N266" s="85" t="s">
        <v>72</v>
      </c>
      <c r="O266" s="81"/>
    </row>
    <row r="267" spans="1:46" x14ac:dyDescent="0.35">
      <c r="A267" s="15" t="s">
        <v>337</v>
      </c>
      <c r="B267" s="81"/>
      <c r="C267" s="81"/>
      <c r="D267" s="81"/>
      <c r="E267" s="81"/>
      <c r="F267" s="81"/>
      <c r="G267" s="81"/>
      <c r="H267" s="81"/>
      <c r="I267" s="110"/>
      <c r="J267" s="100"/>
      <c r="K267" s="100"/>
      <c r="L267" s="99">
        <v>1</v>
      </c>
      <c r="M267" s="160"/>
      <c r="N267" s="99">
        <v>0.5</v>
      </c>
      <c r="O267" s="81"/>
      <c r="P267" s="81"/>
      <c r="Q267" s="81"/>
      <c r="R267" s="81"/>
      <c r="S267" s="81"/>
      <c r="T267" s="81"/>
      <c r="U267" s="81"/>
      <c r="V267" s="81"/>
      <c r="W267" s="81"/>
      <c r="X267" s="81"/>
      <c r="Y267" s="81"/>
      <c r="Z267" s="81"/>
    </row>
    <row r="268" spans="1:46" x14ac:dyDescent="0.35">
      <c r="A268" s="81" t="s">
        <v>116</v>
      </c>
      <c r="B268" s="81"/>
      <c r="C268" s="81"/>
      <c r="D268" s="81"/>
      <c r="E268" s="81"/>
      <c r="F268" s="81"/>
      <c r="G268" s="81"/>
      <c r="H268" s="81"/>
      <c r="I268" s="81"/>
      <c r="J268" s="99">
        <v>0.5</v>
      </c>
      <c r="K268" s="100"/>
      <c r="L268" s="100">
        <f>J268</f>
        <v>0.5</v>
      </c>
      <c r="M268" s="160"/>
      <c r="N268" s="100">
        <f>J268</f>
        <v>0.5</v>
      </c>
      <c r="O268" s="81"/>
      <c r="P268" s="81"/>
      <c r="Q268" s="81"/>
      <c r="R268" s="81"/>
      <c r="S268" s="81"/>
      <c r="T268" s="81"/>
      <c r="U268" s="81"/>
      <c r="V268" s="81"/>
      <c r="W268" s="81"/>
      <c r="X268" s="81"/>
      <c r="Y268" s="81"/>
      <c r="Z268" s="81"/>
    </row>
    <row r="269" spans="1:46" x14ac:dyDescent="0.35">
      <c r="A269" s="15" t="s">
        <v>315</v>
      </c>
      <c r="B269" s="81"/>
      <c r="C269" s="81"/>
      <c r="D269" s="81"/>
      <c r="E269" s="81"/>
      <c r="F269" s="81"/>
      <c r="G269" s="81"/>
      <c r="H269" s="81"/>
      <c r="I269" s="81"/>
      <c r="J269" s="99">
        <v>0</v>
      </c>
      <c r="K269" s="100"/>
      <c r="L269" s="100">
        <f>J269</f>
        <v>0</v>
      </c>
      <c r="M269" s="160"/>
      <c r="N269" s="100">
        <f>J269</f>
        <v>0</v>
      </c>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1"/>
      <c r="AR269" s="81"/>
      <c r="AS269" s="81"/>
      <c r="AT269" s="81"/>
    </row>
    <row r="270" spans="1:46" x14ac:dyDescent="0.35">
      <c r="A270" s="81" t="s">
        <v>251</v>
      </c>
      <c r="B270" s="81"/>
      <c r="C270" s="81"/>
      <c r="D270" s="81"/>
      <c r="E270" s="81"/>
      <c r="F270" s="81"/>
      <c r="G270" s="81"/>
      <c r="H270" s="81"/>
      <c r="I270" s="81"/>
      <c r="J270" s="100"/>
      <c r="K270" s="100"/>
      <c r="L270" s="99">
        <v>0.67</v>
      </c>
      <c r="M270" s="160"/>
      <c r="N270" s="100">
        <f>1-L270</f>
        <v>0.32999999999999996</v>
      </c>
      <c r="O270" s="81"/>
      <c r="P270" s="81"/>
      <c r="Q270" s="81"/>
      <c r="R270" s="81"/>
      <c r="S270" s="81"/>
      <c r="T270" s="81"/>
      <c r="U270" s="81"/>
      <c r="V270" s="81"/>
      <c r="W270" s="81"/>
      <c r="X270" s="81"/>
      <c r="Y270" s="81"/>
      <c r="Z270" s="81"/>
    </row>
    <row r="271" spans="1:46" x14ac:dyDescent="0.35">
      <c r="A271" s="81" t="s">
        <v>252</v>
      </c>
      <c r="B271" s="81"/>
      <c r="C271" s="81"/>
      <c r="D271" s="81"/>
      <c r="E271" s="81"/>
      <c r="F271" s="81"/>
      <c r="G271" s="81"/>
      <c r="H271" s="81"/>
      <c r="I271" s="81"/>
      <c r="J271" s="81"/>
      <c r="K271" s="81"/>
      <c r="L271" s="122">
        <v>7.1999999999999995E-2</v>
      </c>
      <c r="M271" s="121"/>
      <c r="N271" s="122">
        <v>5.1999999999999998E-2</v>
      </c>
      <c r="O271" s="81"/>
      <c r="P271" s="81"/>
      <c r="Q271" s="81"/>
      <c r="R271" s="81"/>
      <c r="S271" s="81"/>
      <c r="T271" s="81"/>
      <c r="U271" s="81"/>
      <c r="V271" s="81"/>
      <c r="W271" s="81"/>
      <c r="X271" s="81"/>
      <c r="Y271" s="81"/>
      <c r="Z271" s="81"/>
    </row>
    <row r="272" spans="1:46" x14ac:dyDescent="0.35">
      <c r="A272" s="81" t="s">
        <v>290</v>
      </c>
      <c r="B272" s="81"/>
      <c r="C272" s="81"/>
      <c r="D272" s="81"/>
      <c r="E272" s="81"/>
      <c r="F272" s="81"/>
      <c r="G272" s="81"/>
      <c r="H272" s="81"/>
      <c r="I272" s="81"/>
      <c r="J272" s="81"/>
      <c r="K272" s="81"/>
      <c r="L272" s="82">
        <v>0.1</v>
      </c>
      <c r="M272" s="121"/>
      <c r="N272" s="82">
        <v>0.1</v>
      </c>
      <c r="O272" s="81"/>
      <c r="P272" s="81"/>
      <c r="Q272" s="81"/>
      <c r="R272" s="81"/>
      <c r="S272" s="81"/>
      <c r="T272" s="81"/>
      <c r="U272" s="81"/>
      <c r="V272" s="81"/>
      <c r="W272" s="81"/>
      <c r="X272" s="81"/>
      <c r="Y272" s="81"/>
      <c r="Z272" s="81"/>
    </row>
    <row r="273" spans="1:26" x14ac:dyDescent="0.35">
      <c r="A273" s="81" t="s">
        <v>253</v>
      </c>
      <c r="B273" s="81"/>
      <c r="C273" s="81"/>
      <c r="D273" s="81"/>
      <c r="E273" s="81"/>
      <c r="F273" s="81"/>
      <c r="G273" s="81"/>
      <c r="H273" s="81"/>
      <c r="I273" s="81"/>
      <c r="J273" s="81"/>
      <c r="K273" s="81"/>
      <c r="L273" s="99">
        <v>0.18</v>
      </c>
      <c r="M273" s="121"/>
      <c r="N273" s="99">
        <v>0.18</v>
      </c>
      <c r="O273" s="81"/>
      <c r="P273" s="81"/>
      <c r="Q273" s="81"/>
      <c r="R273" s="81"/>
      <c r="S273" s="81"/>
      <c r="T273" s="81"/>
      <c r="U273" s="81"/>
      <c r="V273" s="81"/>
      <c r="W273" s="81"/>
      <c r="X273" s="81"/>
      <c r="Y273" s="81"/>
      <c r="Z273" s="81"/>
    </row>
    <row r="274" spans="1:26" x14ac:dyDescent="0.35">
      <c r="A274" s="81" t="s">
        <v>254</v>
      </c>
      <c r="B274" s="81"/>
      <c r="C274" s="81"/>
      <c r="D274" s="81"/>
      <c r="E274" s="81"/>
      <c r="F274" s="81"/>
      <c r="G274" s="81"/>
      <c r="H274" s="81"/>
      <c r="I274" s="81"/>
      <c r="J274" s="81"/>
      <c r="K274" s="81"/>
      <c r="L274" s="82">
        <v>0.04</v>
      </c>
      <c r="M274" s="121"/>
      <c r="N274" s="82">
        <v>0.04</v>
      </c>
      <c r="O274" s="81"/>
      <c r="P274" s="81"/>
      <c r="Q274" s="81"/>
      <c r="R274" s="81"/>
      <c r="S274" s="81"/>
      <c r="T274" s="81"/>
      <c r="U274" s="81"/>
      <c r="V274" s="81"/>
      <c r="W274" s="81"/>
      <c r="X274" s="81"/>
      <c r="Y274" s="81"/>
      <c r="Z274" s="81"/>
    </row>
    <row r="275" spans="1:26" x14ac:dyDescent="0.35">
      <c r="A275" s="81" t="s">
        <v>248</v>
      </c>
      <c r="B275" s="81"/>
      <c r="C275" s="81"/>
      <c r="D275" s="81"/>
      <c r="E275" s="81"/>
      <c r="F275" s="81"/>
      <c r="G275" s="81"/>
      <c r="H275" s="81"/>
      <c r="I275" s="81"/>
      <c r="J275" s="123">
        <v>0.5</v>
      </c>
      <c r="K275" s="81"/>
      <c r="L275" s="88">
        <f>J275</f>
        <v>0.5</v>
      </c>
      <c r="M275" s="81"/>
      <c r="N275" s="88">
        <f>J275</f>
        <v>0.5</v>
      </c>
      <c r="O275" s="81"/>
      <c r="P275" s="81"/>
      <c r="Q275" s="81"/>
      <c r="R275" s="81"/>
      <c r="S275" s="81"/>
      <c r="T275" s="81"/>
      <c r="U275" s="81"/>
      <c r="V275" s="81"/>
      <c r="W275" s="81"/>
      <c r="X275" s="81"/>
      <c r="Y275" s="81"/>
      <c r="Z275" s="81"/>
    </row>
    <row r="276" spans="1:26" x14ac:dyDescent="0.35">
      <c r="A276" s="81"/>
      <c r="B276" s="15"/>
      <c r="C276" s="81"/>
      <c r="D276" s="81"/>
      <c r="E276" s="81"/>
      <c r="F276" s="81"/>
      <c r="G276" s="81"/>
      <c r="H276" s="81"/>
      <c r="I276" s="81"/>
      <c r="J276" s="81"/>
      <c r="K276" s="81"/>
      <c r="L276" s="88"/>
      <c r="M276" s="81"/>
      <c r="N276" s="88"/>
      <c r="O276" s="81"/>
      <c r="P276" s="81"/>
      <c r="Q276" s="81"/>
      <c r="R276" s="81"/>
      <c r="S276" s="81"/>
      <c r="T276" s="81"/>
      <c r="U276" s="81"/>
      <c r="V276" s="81"/>
      <c r="W276" s="81"/>
      <c r="X276" s="81"/>
      <c r="Y276" s="81"/>
      <c r="Z276" s="81"/>
    </row>
    <row r="277" spans="1:26" x14ac:dyDescent="0.35">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x14ac:dyDescent="0.35">
      <c r="A278" s="81" t="s">
        <v>163</v>
      </c>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x14ac:dyDescent="0.35">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x14ac:dyDescent="0.35">
      <c r="A280" s="81" t="s">
        <v>18</v>
      </c>
      <c r="B280" s="81"/>
      <c r="C280" s="81"/>
      <c r="D280" s="81"/>
      <c r="E280" s="81"/>
      <c r="F280" s="81"/>
      <c r="G280" s="81"/>
      <c r="H280" s="81"/>
      <c r="I280" s="85" t="s">
        <v>62</v>
      </c>
      <c r="J280" s="81"/>
      <c r="K280" s="81"/>
      <c r="L280" s="112" t="s">
        <v>74</v>
      </c>
      <c r="M280" s="81"/>
      <c r="N280" s="85" t="s">
        <v>72</v>
      </c>
      <c r="O280" s="81"/>
      <c r="P280" s="81"/>
      <c r="Q280" s="81"/>
      <c r="R280" s="81"/>
      <c r="S280" s="81"/>
      <c r="T280" s="81"/>
      <c r="U280" s="81"/>
      <c r="V280" s="81"/>
      <c r="W280" s="81"/>
      <c r="X280" s="81"/>
      <c r="Y280" s="81"/>
      <c r="Z280" s="81"/>
    </row>
    <row r="281" spans="1:26" x14ac:dyDescent="0.35">
      <c r="A281" s="81"/>
      <c r="B281" s="81" t="s">
        <v>117</v>
      </c>
      <c r="C281" s="81"/>
      <c r="D281" s="81"/>
      <c r="E281" s="81"/>
      <c r="F281" s="81"/>
      <c r="G281" s="81"/>
      <c r="H281" s="81"/>
      <c r="I281" s="110">
        <f t="shared" ref="I281:I286" ca="1" si="0">L281+N281</f>
        <v>3044.5590036707986</v>
      </c>
      <c r="J281" s="110"/>
      <c r="K281" s="110"/>
      <c r="L281" s="110">
        <f>O294</f>
        <v>2153.3555899999997</v>
      </c>
      <c r="M281" s="110"/>
      <c r="N281" s="110">
        <f ca="1">O296</f>
        <v>891.20341367079902</v>
      </c>
      <c r="O281" s="81"/>
      <c r="P281" s="81"/>
      <c r="Q281" s="81"/>
      <c r="R281" s="81"/>
      <c r="S281" s="81"/>
      <c r="T281" s="81"/>
      <c r="U281" s="81"/>
      <c r="V281" s="81"/>
      <c r="W281" s="81"/>
      <c r="X281" s="81"/>
      <c r="Y281" s="81"/>
      <c r="Z281" s="81"/>
    </row>
    <row r="282" spans="1:26" x14ac:dyDescent="0.35">
      <c r="A282" s="81"/>
      <c r="B282" s="81" t="s">
        <v>246</v>
      </c>
      <c r="C282" s="81"/>
      <c r="D282" s="81"/>
      <c r="E282" s="81"/>
      <c r="F282" s="81"/>
      <c r="G282" s="81"/>
      <c r="H282" s="81"/>
      <c r="I282" s="110">
        <f t="shared" ca="1" si="0"/>
        <v>-213.60476164600666</v>
      </c>
      <c r="J282" s="110" t="s">
        <v>245</v>
      </c>
      <c r="K282" s="110"/>
      <c r="L282" s="110">
        <f ca="1">G305*L36/100+G306*G43/100*(1-L272)</f>
        <v>-214.44449626652869</v>
      </c>
      <c r="M282" s="110"/>
      <c r="N282" s="110">
        <f ca="1">I305*N36/100+I306*I43/100*(1-N272)</f>
        <v>0.83973462052201953</v>
      </c>
      <c r="O282" s="81"/>
      <c r="P282" s="81"/>
      <c r="Q282" s="81"/>
      <c r="R282" s="81"/>
      <c r="S282" s="81"/>
      <c r="T282" s="81"/>
      <c r="U282" s="81"/>
      <c r="V282" s="81"/>
      <c r="W282" s="81"/>
      <c r="X282" s="81"/>
      <c r="Y282" s="81"/>
      <c r="Z282" s="81"/>
    </row>
    <row r="283" spans="1:26" x14ac:dyDescent="0.35">
      <c r="A283" s="81"/>
      <c r="B283" s="81" t="s">
        <v>118</v>
      </c>
      <c r="C283" s="81"/>
      <c r="D283" s="81"/>
      <c r="E283" s="81"/>
      <c r="F283" s="81"/>
      <c r="G283" s="81"/>
      <c r="H283" s="81"/>
      <c r="I283" s="110">
        <f t="shared" ca="1" si="0"/>
        <v>-23.550514452544846</v>
      </c>
      <c r="J283" s="110" t="s">
        <v>247</v>
      </c>
      <c r="K283" s="110"/>
      <c r="L283" s="110">
        <f ca="1">L305*L43/100+L306*G43/100</f>
        <v>-19.040882537355063</v>
      </c>
      <c r="M283" s="110"/>
      <c r="N283" s="110">
        <f ca="1">N305*N43/100+N306*I43/100</f>
        <v>-4.5096319151897823</v>
      </c>
      <c r="P283" s="81"/>
      <c r="Q283" s="81"/>
      <c r="R283" s="81"/>
      <c r="S283" s="81"/>
      <c r="T283" s="81"/>
      <c r="U283" s="81"/>
      <c r="V283" s="81"/>
      <c r="W283" s="81"/>
      <c r="X283" s="81"/>
      <c r="Y283" s="81"/>
      <c r="Z283" s="81"/>
    </row>
    <row r="284" spans="1:26" x14ac:dyDescent="0.35">
      <c r="A284" s="81"/>
      <c r="B284" s="81" t="s">
        <v>119</v>
      </c>
      <c r="C284" s="81"/>
      <c r="D284" s="81"/>
      <c r="E284" s="81"/>
      <c r="F284" s="81"/>
      <c r="G284" s="81"/>
      <c r="H284" s="81"/>
      <c r="I284" s="110">
        <f t="shared" ca="1" si="0"/>
        <v>187.58314788183165</v>
      </c>
      <c r="J284" s="110" t="s">
        <v>247</v>
      </c>
      <c r="K284" s="110"/>
      <c r="L284" s="110">
        <f ca="1">L305*L44/100</f>
        <v>165.11718007689407</v>
      </c>
      <c r="M284" s="110"/>
      <c r="N284" s="110">
        <f ca="1">N305*N44/100</f>
        <v>22.465967804937588</v>
      </c>
      <c r="P284" s="81"/>
      <c r="Q284" s="81"/>
      <c r="R284" s="81"/>
      <c r="S284" s="81"/>
      <c r="T284" s="81"/>
      <c r="U284" s="81"/>
      <c r="V284" s="81"/>
      <c r="W284" s="81"/>
      <c r="X284" s="81"/>
      <c r="Y284" s="81"/>
      <c r="Z284" s="81"/>
    </row>
    <row r="285" spans="1:26" x14ac:dyDescent="0.35">
      <c r="A285" s="81"/>
      <c r="B285" s="81" t="s">
        <v>120</v>
      </c>
      <c r="C285" s="81"/>
      <c r="D285" s="81"/>
      <c r="E285" s="81"/>
      <c r="F285" s="81"/>
      <c r="G285" s="81"/>
      <c r="H285" s="81"/>
      <c r="I285" s="110">
        <f t="shared" ca="1" si="0"/>
        <v>262.36999297288412</v>
      </c>
      <c r="J285" s="110" t="s">
        <v>247</v>
      </c>
      <c r="K285" s="110"/>
      <c r="L285" s="110">
        <f ca="1">L305*L45/100</f>
        <v>210.05267200954054</v>
      </c>
      <c r="M285" s="110"/>
      <c r="N285" s="110">
        <f ca="1">N305*N45/100</f>
        <v>52.317320963343583</v>
      </c>
      <c r="P285" s="81"/>
      <c r="Q285" s="81"/>
      <c r="R285" s="81"/>
      <c r="S285" s="81"/>
      <c r="T285" s="81"/>
      <c r="U285" s="81"/>
      <c r="V285" s="81"/>
      <c r="W285" s="81"/>
      <c r="X285" s="81"/>
      <c r="Y285" s="81"/>
      <c r="Z285" s="81"/>
    </row>
    <row r="286" spans="1:26" x14ac:dyDescent="0.35">
      <c r="A286" s="81"/>
      <c r="B286" s="81" t="s">
        <v>121</v>
      </c>
      <c r="C286" s="81"/>
      <c r="D286" s="81"/>
      <c r="E286" s="81"/>
      <c r="F286" s="81"/>
      <c r="G286" s="81"/>
      <c r="H286" s="81"/>
      <c r="I286" s="110">
        <f t="shared" ca="1" si="0"/>
        <v>2404.5516156226213</v>
      </c>
      <c r="J286" s="110"/>
      <c r="K286" s="110"/>
      <c r="L286" s="110">
        <f ca="1">L281+L282-SUM(L283:L285)</f>
        <v>1582.7821241843915</v>
      </c>
      <c r="M286" s="110"/>
      <c r="N286" s="110">
        <f ca="1">N281+N282-SUM(N283:N285)</f>
        <v>821.76949143822958</v>
      </c>
      <c r="O286" s="81"/>
      <c r="P286" s="81"/>
      <c r="Q286" s="81"/>
      <c r="R286" s="81"/>
      <c r="S286" s="81"/>
      <c r="T286" s="81"/>
      <c r="U286" s="81"/>
      <c r="V286" s="81"/>
      <c r="W286" s="81"/>
      <c r="X286" s="81"/>
      <c r="Y286" s="81"/>
      <c r="Z286" s="81"/>
    </row>
    <row r="287" spans="1:26" x14ac:dyDescent="0.35">
      <c r="A287" s="81"/>
      <c r="B287" s="81"/>
      <c r="C287" s="81" t="s">
        <v>123</v>
      </c>
      <c r="D287" s="81"/>
      <c r="E287" s="81"/>
      <c r="F287" s="81"/>
      <c r="G287" s="81"/>
      <c r="H287" s="81"/>
      <c r="I287" s="93">
        <v>0</v>
      </c>
      <c r="J287" s="110"/>
      <c r="K287" s="110"/>
      <c r="L287" s="110"/>
      <c r="M287" s="110"/>
      <c r="N287" s="110"/>
      <c r="O287" s="81"/>
      <c r="P287" s="81"/>
      <c r="Q287" s="81"/>
      <c r="R287" s="81"/>
      <c r="S287" s="81"/>
      <c r="T287" s="81"/>
      <c r="U287" s="81"/>
      <c r="V287" s="81"/>
      <c r="W287" s="81"/>
      <c r="X287" s="81"/>
    </row>
    <row r="288" spans="1:26" x14ac:dyDescent="0.35">
      <c r="A288" s="81"/>
      <c r="B288" s="81"/>
      <c r="C288" s="81" t="s">
        <v>122</v>
      </c>
      <c r="D288" s="81"/>
      <c r="E288" s="81"/>
      <c r="F288" s="81"/>
      <c r="G288" s="81"/>
      <c r="H288" s="81"/>
      <c r="I288" s="110">
        <f ca="1">I286-I287</f>
        <v>2404.5516156226213</v>
      </c>
      <c r="J288" s="110"/>
      <c r="K288" s="110"/>
      <c r="L288" s="110">
        <f ca="1">I288*L270</f>
        <v>1611.0495824671564</v>
      </c>
      <c r="M288" s="110"/>
      <c r="N288" s="110">
        <f ca="1">I288*N270</f>
        <v>793.50203315546491</v>
      </c>
      <c r="O288" s="81"/>
      <c r="P288" s="110"/>
      <c r="Q288" s="81"/>
      <c r="R288" s="81"/>
      <c r="S288" s="81"/>
      <c r="T288" s="81"/>
      <c r="U288" s="81"/>
      <c r="V288" s="81"/>
      <c r="W288" s="81"/>
      <c r="X288" s="81"/>
    </row>
    <row r="289" spans="1:34" x14ac:dyDescent="0.35">
      <c r="A289" s="81"/>
      <c r="B289" s="81"/>
      <c r="C289" s="81"/>
      <c r="D289" s="81"/>
      <c r="E289" s="81"/>
      <c r="F289" s="81"/>
      <c r="G289" s="81"/>
      <c r="H289" s="81"/>
      <c r="I289" s="81"/>
      <c r="J289" s="81"/>
      <c r="K289" s="81"/>
      <c r="L289" s="81"/>
      <c r="M289" s="81"/>
      <c r="N289" s="81"/>
      <c r="O289" s="81"/>
      <c r="S289" s="81"/>
      <c r="T289" s="81"/>
      <c r="U289" s="81"/>
      <c r="V289" s="81"/>
      <c r="W289" s="81"/>
      <c r="X289" s="81"/>
      <c r="Y289" s="81"/>
      <c r="Z289" s="81"/>
    </row>
    <row r="290" spans="1:34" x14ac:dyDescent="0.35">
      <c r="A290" s="81" t="s">
        <v>160</v>
      </c>
      <c r="B290" s="81"/>
      <c r="C290" s="81"/>
      <c r="D290" s="81"/>
      <c r="E290" s="81"/>
      <c r="F290" s="81"/>
      <c r="G290" s="81"/>
      <c r="H290" s="81"/>
      <c r="I290" s="81"/>
      <c r="J290" s="81"/>
      <c r="K290" s="81"/>
      <c r="L290" s="81"/>
      <c r="M290" s="81"/>
      <c r="N290" s="81"/>
      <c r="O290" s="81"/>
      <c r="P290" s="81"/>
      <c r="Q290" s="81"/>
      <c r="S290" s="81"/>
      <c r="T290" s="81"/>
      <c r="U290" s="81"/>
      <c r="V290" s="81"/>
      <c r="W290" s="81"/>
      <c r="X290" s="81"/>
      <c r="Y290" s="81"/>
      <c r="Z290" s="81"/>
    </row>
    <row r="291" spans="1:34" x14ac:dyDescent="0.35">
      <c r="A291" s="81"/>
      <c r="B291" s="81"/>
      <c r="C291" s="81"/>
      <c r="D291" s="81"/>
      <c r="E291" s="86" t="s">
        <v>161</v>
      </c>
      <c r="F291" s="81"/>
      <c r="G291" s="81"/>
      <c r="H291" s="81"/>
      <c r="I291" s="124" t="s">
        <v>162</v>
      </c>
      <c r="J291" s="81"/>
      <c r="K291" s="81"/>
      <c r="L291" s="81"/>
      <c r="M291" s="81"/>
      <c r="N291" s="81"/>
      <c r="O291" s="125" t="s">
        <v>124</v>
      </c>
      <c r="S291" s="81"/>
      <c r="T291" s="81"/>
      <c r="U291" s="81"/>
      <c r="V291" s="81"/>
      <c r="W291" s="81"/>
      <c r="X291" s="81"/>
      <c r="Y291" s="81"/>
      <c r="Z291" s="81"/>
    </row>
    <row r="292" spans="1:34" x14ac:dyDescent="0.35">
      <c r="A292" s="81"/>
      <c r="D292" s="81"/>
      <c r="E292" s="81" t="s">
        <v>56</v>
      </c>
      <c r="F292" s="81" t="s">
        <v>57</v>
      </c>
      <c r="G292" s="81" t="s">
        <v>49</v>
      </c>
      <c r="H292" s="81"/>
      <c r="K292" s="81" t="s">
        <v>56</v>
      </c>
      <c r="L292" s="81" t="s">
        <v>57</v>
      </c>
      <c r="M292" s="81" t="s">
        <v>49</v>
      </c>
      <c r="N292" s="126"/>
      <c r="O292" s="81" t="s">
        <v>56</v>
      </c>
      <c r="P292" s="81" t="s">
        <v>57</v>
      </c>
      <c r="Q292" s="81" t="s">
        <v>49</v>
      </c>
      <c r="R292" s="81"/>
      <c r="S292" s="81"/>
      <c r="T292" s="81"/>
      <c r="U292" s="81"/>
      <c r="V292" s="81"/>
      <c r="W292" s="81"/>
      <c r="X292" s="81"/>
      <c r="Y292" s="81"/>
      <c r="Z292" s="81"/>
      <c r="AA292" s="81"/>
      <c r="AB292" s="81"/>
      <c r="AC292" s="81"/>
      <c r="AD292" s="81"/>
      <c r="AE292" s="81"/>
      <c r="AF292" s="81"/>
    </row>
    <row r="293" spans="1:34" x14ac:dyDescent="0.35">
      <c r="A293" s="81"/>
      <c r="B293" s="81" t="s">
        <v>70</v>
      </c>
      <c r="C293" s="81"/>
      <c r="D293" s="81"/>
      <c r="E293" s="110">
        <f ca="1">K293-O293</f>
        <v>1105.5257316460068</v>
      </c>
      <c r="F293" s="110">
        <f ca="1">L293-P293</f>
        <v>211.77779445254487</v>
      </c>
      <c r="G293" s="110">
        <f ca="1">E293-F293</f>
        <v>893.74793719346189</v>
      </c>
      <c r="H293" s="81"/>
      <c r="I293" s="81" t="s">
        <v>70</v>
      </c>
      <c r="J293" s="81"/>
      <c r="K293" s="103">
        <f>E25</f>
        <v>891.92097000000001</v>
      </c>
      <c r="L293" s="103">
        <f>C25</f>
        <v>188.22728000000001</v>
      </c>
      <c r="M293" s="110">
        <f>K293-L293</f>
        <v>703.69369000000006</v>
      </c>
      <c r="N293" s="126"/>
      <c r="O293" s="103">
        <f ca="1">I282</f>
        <v>-213.60476164600666</v>
      </c>
      <c r="P293" s="103">
        <f ca="1">I283</f>
        <v>-23.550514452544846</v>
      </c>
      <c r="Q293" s="90">
        <f ca="1">M293-G293</f>
        <v>-190.05424719346183</v>
      </c>
      <c r="R293" s="81"/>
      <c r="S293" s="81"/>
      <c r="T293" s="81"/>
      <c r="U293" s="81"/>
      <c r="V293" s="81"/>
      <c r="W293" s="81"/>
      <c r="X293" s="81"/>
      <c r="Y293" s="81"/>
      <c r="Z293" s="81"/>
      <c r="AA293" s="81"/>
      <c r="AB293" s="81"/>
      <c r="AC293" s="81"/>
      <c r="AD293" s="81"/>
      <c r="AE293" s="81"/>
      <c r="AF293" s="81"/>
    </row>
    <row r="294" spans="1:34" x14ac:dyDescent="0.35">
      <c r="A294" s="81"/>
      <c r="B294" s="81" t="s">
        <v>127</v>
      </c>
      <c r="C294" s="81"/>
      <c r="D294" s="81"/>
      <c r="E294" s="110">
        <v>0</v>
      </c>
      <c r="F294" s="110">
        <f ca="1">L294-P294</f>
        <v>492.08799965101252</v>
      </c>
      <c r="G294" s="110">
        <f ca="1">E294-F294</f>
        <v>-492.08799965101252</v>
      </c>
      <c r="H294" s="81"/>
      <c r="I294" s="81" t="s">
        <v>71</v>
      </c>
      <c r="J294" s="81"/>
      <c r="K294" s="103">
        <f>E26</f>
        <v>2153.3555899999997</v>
      </c>
      <c r="L294" s="103">
        <f>C26</f>
        <v>2290.7207300000005</v>
      </c>
      <c r="M294" s="110">
        <f>K294-L294</f>
        <v>-137.36514000000079</v>
      </c>
      <c r="N294" s="126"/>
      <c r="O294" s="103">
        <f>K294-E294</f>
        <v>2153.3555899999997</v>
      </c>
      <c r="P294" s="103">
        <f ca="1">L288+I284</f>
        <v>1798.6327303489879</v>
      </c>
      <c r="Q294" s="90">
        <f ca="1">M294-G294</f>
        <v>354.72285965101173</v>
      </c>
      <c r="R294" s="81"/>
      <c r="S294" s="81"/>
      <c r="T294" s="81"/>
      <c r="U294" s="81"/>
      <c r="V294" s="81"/>
      <c r="W294" s="81"/>
      <c r="X294" s="81"/>
      <c r="Y294" s="81"/>
      <c r="Z294" s="81"/>
      <c r="AA294" s="81"/>
      <c r="AB294" s="81"/>
      <c r="AC294" s="81"/>
      <c r="AD294" s="81"/>
      <c r="AE294" s="81"/>
      <c r="AF294" s="81"/>
    </row>
    <row r="295" spans="1:34" x14ac:dyDescent="0.35">
      <c r="A295" s="81"/>
      <c r="B295" s="81" t="s">
        <v>28</v>
      </c>
      <c r="C295" s="81"/>
      <c r="D295" s="81"/>
      <c r="E295" s="110">
        <f>E294</f>
        <v>0</v>
      </c>
      <c r="F295" s="110">
        <f ca="1">G293*L270*L269</f>
        <v>0</v>
      </c>
      <c r="G295" s="110"/>
      <c r="H295" s="81"/>
      <c r="I295" s="81"/>
      <c r="J295" s="81"/>
      <c r="K295" s="103">
        <f>K294</f>
        <v>2153.3555899999997</v>
      </c>
      <c r="L295" s="81">
        <v>0</v>
      </c>
      <c r="M295" s="110"/>
      <c r="N295" s="81"/>
      <c r="O295" s="103">
        <f>K295-E295</f>
        <v>2153.3555899999997</v>
      </c>
      <c r="P295" s="103">
        <f ca="1">L295-F295</f>
        <v>0</v>
      </c>
      <c r="R295" s="81"/>
      <c r="S295" s="81"/>
      <c r="T295" s="81"/>
      <c r="U295" s="81"/>
      <c r="V295" s="81"/>
      <c r="W295" s="81"/>
      <c r="X295" s="81"/>
      <c r="Y295" s="81"/>
      <c r="Z295" s="81"/>
      <c r="AA295" s="81"/>
      <c r="AB295" s="81"/>
      <c r="AC295" s="81"/>
      <c r="AD295" s="81"/>
      <c r="AE295" s="81"/>
      <c r="AF295" s="81"/>
    </row>
    <row r="296" spans="1:34" x14ac:dyDescent="0.35">
      <c r="A296" s="81"/>
      <c r="B296" s="81" t="s">
        <v>128</v>
      </c>
      <c r="C296" s="81"/>
      <c r="D296" s="81"/>
      <c r="E296" s="110">
        <f ca="1">E293*2*L272</f>
        <v>221.10514632920138</v>
      </c>
      <c r="F296" s="110">
        <f ca="1">L296-P296</f>
        <v>140.08804387165105</v>
      </c>
      <c r="G296" s="110">
        <f ca="1">E296-F296</f>
        <v>81.017102457550322</v>
      </c>
      <c r="H296" s="81"/>
      <c r="I296" s="81" t="s">
        <v>72</v>
      </c>
      <c r="J296" s="81"/>
      <c r="K296" s="103">
        <f>E27</f>
        <v>1112.3085600000004</v>
      </c>
      <c r="L296" s="103">
        <f>C27</f>
        <v>1195.9600700000001</v>
      </c>
      <c r="M296" s="110">
        <f>K296-L296</f>
        <v>-83.651509999999689</v>
      </c>
      <c r="N296" s="126"/>
      <c r="O296" s="103">
        <f t="shared" ref="O296:P298" ca="1" si="1">K296-E296</f>
        <v>891.20341367079902</v>
      </c>
      <c r="P296" s="103">
        <f ca="1">N288+I285</f>
        <v>1055.872026128349</v>
      </c>
      <c r="Q296" s="90">
        <f ca="1">M296-G296</f>
        <v>-164.66861245755001</v>
      </c>
      <c r="R296" s="81"/>
      <c r="S296" s="81"/>
      <c r="T296" s="81"/>
      <c r="U296" s="81"/>
      <c r="V296" s="81"/>
      <c r="W296" s="81"/>
      <c r="X296" s="81"/>
      <c r="Y296" s="81"/>
      <c r="Z296" s="81"/>
      <c r="AA296" s="81"/>
      <c r="AB296" s="81"/>
      <c r="AC296" s="81"/>
      <c r="AD296" s="81"/>
      <c r="AE296" s="81"/>
      <c r="AF296" s="81"/>
      <c r="AG296" s="81"/>
      <c r="AH296" s="81"/>
    </row>
    <row r="297" spans="1:34" x14ac:dyDescent="0.35">
      <c r="A297" s="81"/>
      <c r="B297" s="81" t="s">
        <v>28</v>
      </c>
      <c r="C297" s="81"/>
      <c r="D297" s="81"/>
      <c r="E297" s="110">
        <f ca="1">E296</f>
        <v>221.10514632920138</v>
      </c>
      <c r="F297" s="110">
        <f ca="1">G293*N270*N269</f>
        <v>0</v>
      </c>
      <c r="G297" s="110"/>
      <c r="H297" s="81"/>
      <c r="I297" s="81"/>
      <c r="J297" s="81"/>
      <c r="K297" s="103">
        <f>K296</f>
        <v>1112.3085600000004</v>
      </c>
      <c r="L297" s="103">
        <v>0</v>
      </c>
      <c r="M297" s="110"/>
      <c r="N297" s="126"/>
      <c r="O297" s="103">
        <f ca="1">K297-E297</f>
        <v>891.20341367079902</v>
      </c>
      <c r="P297" s="103">
        <f ca="1">L297-F297</f>
        <v>0</v>
      </c>
      <c r="Q297" s="90"/>
      <c r="R297" s="81"/>
      <c r="S297" s="81"/>
      <c r="T297" s="81"/>
      <c r="U297" s="81"/>
      <c r="V297" s="81"/>
      <c r="W297" s="81"/>
      <c r="X297" s="81"/>
      <c r="Y297" s="81"/>
      <c r="Z297" s="81"/>
      <c r="AA297" s="81"/>
      <c r="AB297" s="81"/>
      <c r="AC297" s="81"/>
      <c r="AD297" s="81"/>
      <c r="AE297" s="81"/>
      <c r="AF297" s="81"/>
    </row>
    <row r="298" spans="1:34" x14ac:dyDescent="0.35">
      <c r="A298" s="81"/>
      <c r="B298" s="81" t="s">
        <v>62</v>
      </c>
      <c r="C298" s="81"/>
      <c r="D298" s="81"/>
      <c r="E298" s="110">
        <f ca="1">E293+E294+E296</f>
        <v>1326.630877975208</v>
      </c>
      <c r="F298" s="110">
        <f ca="1">F293+F294+F296</f>
        <v>843.95383797520844</v>
      </c>
      <c r="G298" s="110">
        <f ca="1">G293+G294+G296</f>
        <v>482.67703999999969</v>
      </c>
      <c r="H298" s="81"/>
      <c r="I298" s="81" t="s">
        <v>62</v>
      </c>
      <c r="J298" s="81"/>
      <c r="K298" s="103">
        <f>E28</f>
        <v>4157.5851399999992</v>
      </c>
      <c r="L298" s="103">
        <f>C28</f>
        <v>3674.9081299999998</v>
      </c>
      <c r="M298" s="110">
        <f>K298-L298</f>
        <v>482.67700999999943</v>
      </c>
      <c r="N298" s="126"/>
      <c r="O298" s="103">
        <f t="shared" ca="1" si="1"/>
        <v>2830.9542620247912</v>
      </c>
      <c r="P298" s="90">
        <f t="shared" ca="1" si="1"/>
        <v>2830.9542920247914</v>
      </c>
      <c r="Q298" s="90">
        <f ca="1">M298-G298</f>
        <v>-3.0000000265317794E-5</v>
      </c>
      <c r="R298" s="81"/>
      <c r="S298" s="81"/>
      <c r="T298" s="81"/>
      <c r="U298" s="81"/>
      <c r="V298" s="81"/>
      <c r="W298" s="81"/>
      <c r="X298" s="81"/>
      <c r="Y298" s="81"/>
      <c r="Z298" s="81"/>
      <c r="AA298" s="81"/>
      <c r="AB298" s="81"/>
      <c r="AC298" s="81"/>
      <c r="AD298" s="81"/>
      <c r="AE298" s="81"/>
      <c r="AF298" s="81"/>
    </row>
    <row r="299" spans="1:34" x14ac:dyDescent="0.35">
      <c r="A299" s="81"/>
      <c r="B299" s="81"/>
      <c r="C299" s="81"/>
      <c r="D299" s="81"/>
      <c r="E299" s="81"/>
      <c r="F299" s="81"/>
      <c r="G299" s="81"/>
      <c r="H299" s="81"/>
      <c r="I299" s="81"/>
      <c r="J299" s="81"/>
      <c r="K299" s="81"/>
      <c r="L299" s="81"/>
      <c r="M299" s="81"/>
      <c r="N299" s="81"/>
      <c r="O299" s="81"/>
    </row>
    <row r="300" spans="1:34" x14ac:dyDescent="0.35">
      <c r="A300" s="81" t="s">
        <v>50</v>
      </c>
      <c r="B300" s="81"/>
      <c r="C300" s="81"/>
      <c r="D300" s="81"/>
      <c r="E300" s="81"/>
      <c r="F300" s="81"/>
      <c r="G300" s="81"/>
      <c r="H300" s="81"/>
      <c r="I300" s="81"/>
      <c r="J300" s="81"/>
      <c r="K300" s="81"/>
      <c r="L300" s="81"/>
      <c r="M300" s="81"/>
      <c r="N300" s="81"/>
      <c r="O300" s="81"/>
    </row>
    <row r="301" spans="1:34" x14ac:dyDescent="0.35">
      <c r="A301" s="81"/>
      <c r="B301" s="81"/>
      <c r="C301" s="81"/>
      <c r="D301" s="81"/>
      <c r="E301" s="81"/>
      <c r="F301" s="81"/>
      <c r="G301" s="81"/>
      <c r="H301" s="81"/>
      <c r="I301" s="81"/>
      <c r="J301" s="81"/>
      <c r="K301" s="81"/>
      <c r="L301" s="81"/>
      <c r="M301" s="81"/>
      <c r="N301" s="81"/>
      <c r="O301" s="81"/>
    </row>
    <row r="302" spans="1:34" x14ac:dyDescent="0.35">
      <c r="A302" s="81" t="s">
        <v>125</v>
      </c>
      <c r="B302" s="81"/>
      <c r="C302" s="81"/>
      <c r="D302" s="81"/>
      <c r="E302" s="81"/>
      <c r="F302" s="81"/>
      <c r="G302" s="81" t="s">
        <v>53</v>
      </c>
      <c r="H302" s="81"/>
      <c r="I302" s="81" t="s">
        <v>53</v>
      </c>
      <c r="J302" s="81"/>
      <c r="K302" s="81"/>
      <c r="L302" s="81" t="s">
        <v>54</v>
      </c>
      <c r="M302" s="81"/>
      <c r="N302" s="81" t="s">
        <v>54</v>
      </c>
      <c r="O302" s="81"/>
    </row>
    <row r="303" spans="1:34" x14ac:dyDescent="0.35">
      <c r="A303" s="81"/>
      <c r="B303" s="81"/>
      <c r="C303" s="81"/>
      <c r="D303" s="81"/>
      <c r="E303" s="81"/>
      <c r="F303" s="81"/>
      <c r="G303" s="81" t="s">
        <v>52</v>
      </c>
      <c r="H303" s="81"/>
      <c r="I303" s="81" t="s">
        <v>52</v>
      </c>
      <c r="J303" s="81"/>
      <c r="K303" s="81"/>
      <c r="L303" s="81" t="s">
        <v>52</v>
      </c>
      <c r="M303" s="81"/>
      <c r="N303" s="81" t="s">
        <v>52</v>
      </c>
      <c r="O303" s="81"/>
    </row>
    <row r="304" spans="1:34" x14ac:dyDescent="0.35">
      <c r="A304" s="81"/>
      <c r="B304" s="81"/>
      <c r="C304" s="81"/>
      <c r="D304" s="81"/>
      <c r="E304" s="81"/>
      <c r="F304" s="81"/>
      <c r="G304" s="81" t="s">
        <v>59</v>
      </c>
      <c r="H304" s="81"/>
      <c r="I304" s="81" t="s">
        <v>72</v>
      </c>
      <c r="J304" s="81"/>
      <c r="K304" s="81"/>
      <c r="L304" s="81" t="s">
        <v>59</v>
      </c>
      <c r="M304" s="81"/>
      <c r="N304" s="81" t="s">
        <v>72</v>
      </c>
      <c r="O304" s="81"/>
    </row>
    <row r="305" spans="1:61" x14ac:dyDescent="0.35">
      <c r="A305" s="81" t="s">
        <v>131</v>
      </c>
      <c r="B305" s="81"/>
      <c r="C305" s="81"/>
      <c r="D305" s="81"/>
      <c r="E305" s="81"/>
      <c r="F305" s="81"/>
      <c r="G305" s="88">
        <f ca="1">(-F295/G228-L267*O295*(EXP(-L268*LN(G228/((1+L272)*(1+L274))))))*(1-L271)</f>
        <v>-1699.9254025953214</v>
      </c>
      <c r="H305" s="88"/>
      <c r="I305" s="88">
        <f ca="1">(-F297/I228-N267*O297*(EXP(-N268*LN(I228/((1+N272)*(1+N274))))))*(1-N271)</f>
        <v>-298.46575968184908</v>
      </c>
      <c r="J305" s="88"/>
      <c r="K305" s="81"/>
      <c r="L305" s="88">
        <f ca="1">((F295/G228*EXP(-L268*LN(1/(G228*(1+L272)*(1+L273)))))+O295+N305*N37/L37+N306*I37/G37)*(1-L271)</f>
        <v>2121.0748612378729</v>
      </c>
      <c r="M305" s="100"/>
      <c r="N305" s="88">
        <f ca="1">((F297/I228*EXP(-N268*LN(1/(I228*(1+N272)*(1+N273)))))+O297+L305*L38/N38+L306*G38/I38)*(1-N271)</f>
        <v>1130.8664149018673</v>
      </c>
      <c r="O305" s="100"/>
      <c r="P305" s="204"/>
      <c r="Q305" s="81"/>
      <c r="R305" s="81"/>
      <c r="S305" s="81"/>
      <c r="T305" s="81"/>
      <c r="U305" s="81"/>
      <c r="V305" s="81"/>
      <c r="W305" s="81"/>
      <c r="X305" s="81"/>
      <c r="Y305" s="81"/>
      <c r="Z305" s="81"/>
      <c r="AA305" s="81"/>
      <c r="AB305" s="81"/>
      <c r="AC305" s="81"/>
      <c r="AD305" s="81"/>
      <c r="AE305" s="81"/>
      <c r="AF305" s="81"/>
      <c r="AG305" s="81"/>
      <c r="AH305" s="81"/>
      <c r="AI305" s="81"/>
      <c r="AJ305" s="81"/>
      <c r="AK305" s="81"/>
      <c r="AL305" s="81"/>
      <c r="AM305" s="81"/>
      <c r="AN305" s="81"/>
      <c r="AO305" s="81"/>
      <c r="AP305" s="81"/>
      <c r="AQ305" s="81"/>
      <c r="AR305" s="81"/>
      <c r="AS305" s="81"/>
      <c r="AT305" s="81"/>
      <c r="AU305" s="81"/>
      <c r="AV305" s="81"/>
      <c r="AW305" s="81"/>
      <c r="AX305" s="81"/>
      <c r="AY305" s="81"/>
      <c r="AZ305" s="81"/>
      <c r="BA305" s="81"/>
      <c r="BB305" s="81"/>
      <c r="BC305" s="81"/>
      <c r="BD305" s="81"/>
      <c r="BE305" s="81"/>
      <c r="BF305" s="81"/>
      <c r="BG305" s="81"/>
      <c r="BH305" s="81"/>
      <c r="BI305" s="81"/>
    </row>
    <row r="306" spans="1:61" x14ac:dyDescent="0.35">
      <c r="A306" s="81" t="s">
        <v>132</v>
      </c>
      <c r="B306" s="81"/>
      <c r="C306" s="81"/>
      <c r="D306" s="81"/>
      <c r="E306" s="81"/>
      <c r="F306" s="81"/>
      <c r="G306" s="88">
        <f ca="1">((1-L272)*P294+I306*I37/G37+I305*N37/L37)*(1-L271)</f>
        <v>1554.9270211425846</v>
      </c>
      <c r="H306" s="88"/>
      <c r="I306" s="88">
        <f ca="1">((1-N272)*P296+G306*G38/I38+G305*L38/N38)*(1-N271)</f>
        <v>986.27161342390139</v>
      </c>
      <c r="J306" s="88"/>
      <c r="K306" s="81"/>
      <c r="L306" s="88">
        <f ca="1">-L275*P294*(1-L271)</f>
        <v>-834.56558688193047</v>
      </c>
      <c r="M306" s="81"/>
      <c r="N306" s="88">
        <f ca="1">-N275*P296*(1-N271)</f>
        <v>-500.48334038483739</v>
      </c>
      <c r="O306" s="81"/>
      <c r="P306" s="205"/>
      <c r="Q306" s="15"/>
      <c r="R306" s="15"/>
      <c r="S306" s="15"/>
      <c r="T306" s="15"/>
      <c r="U306" s="15"/>
      <c r="V306" s="15"/>
      <c r="W306" s="15"/>
      <c r="X306" s="15"/>
      <c r="Y306" s="15"/>
      <c r="Z306" s="15"/>
      <c r="AA306" s="15"/>
      <c r="AB306" s="15"/>
      <c r="AC306" s="15"/>
      <c r="AD306" s="38"/>
      <c r="AE306" s="38"/>
      <c r="AF306" s="38"/>
      <c r="AG306" s="38"/>
      <c r="AH306" s="81"/>
      <c r="AI306" s="81"/>
      <c r="AJ306" s="81"/>
      <c r="AK306" s="81"/>
      <c r="AL306" s="81"/>
      <c r="AM306" s="81"/>
      <c r="AN306" s="81"/>
      <c r="AO306" s="81"/>
      <c r="AP306" s="81"/>
      <c r="AQ306" s="81"/>
      <c r="AR306" s="81"/>
      <c r="AS306" s="81"/>
      <c r="AT306" s="81"/>
      <c r="AU306" s="81"/>
      <c r="AV306" s="81"/>
      <c r="AW306" s="81"/>
      <c r="AX306" s="81"/>
      <c r="AY306" s="81"/>
      <c r="AZ306" s="81"/>
      <c r="BA306" s="81"/>
      <c r="BB306" s="81"/>
      <c r="BC306" s="81"/>
      <c r="BD306" s="81"/>
      <c r="BE306" s="81"/>
      <c r="BF306" s="81"/>
      <c r="BG306" s="81"/>
      <c r="BH306" s="81"/>
      <c r="BI306" s="81"/>
    </row>
    <row r="307" spans="1:61" x14ac:dyDescent="0.35">
      <c r="A307" s="81" t="s">
        <v>35</v>
      </c>
      <c r="B307" s="81"/>
      <c r="C307" s="81"/>
      <c r="D307" s="81"/>
      <c r="E307" s="81"/>
      <c r="F307" s="81"/>
      <c r="G307" s="88">
        <f ca="1">G305*G228+G306</f>
        <v>-1132.4191717520907</v>
      </c>
      <c r="H307" s="81"/>
      <c r="I307" s="88">
        <f ca="1">I305*I228+I306</f>
        <v>302.29401979311797</v>
      </c>
      <c r="J307" s="81"/>
      <c r="K307" s="81"/>
      <c r="L307" s="88">
        <f ca="1">L305+L306*L228</f>
        <v>1511.922095802181</v>
      </c>
      <c r="M307" s="81"/>
      <c r="N307" s="88">
        <f ca="1">N305+N306*N228</f>
        <v>818.59956489908063</v>
      </c>
      <c r="O307" s="81"/>
    </row>
    <row r="308" spans="1:61" x14ac:dyDescent="0.35">
      <c r="A308" s="81"/>
      <c r="B308" s="81"/>
      <c r="C308" s="81"/>
      <c r="D308" s="81"/>
      <c r="E308" s="81"/>
      <c r="F308" s="81"/>
      <c r="G308" s="81"/>
      <c r="H308" s="81"/>
      <c r="I308" s="81"/>
      <c r="J308" s="81"/>
      <c r="K308" s="81"/>
      <c r="L308" s="81"/>
      <c r="M308" s="81"/>
      <c r="N308" s="81"/>
      <c r="O308" s="81"/>
    </row>
    <row r="309" spans="1:61" x14ac:dyDescent="0.35">
      <c r="A309" s="81" t="s">
        <v>126</v>
      </c>
      <c r="B309" s="81"/>
      <c r="C309" s="81"/>
      <c r="D309" s="81"/>
      <c r="E309" s="81"/>
      <c r="F309" s="81"/>
      <c r="G309" s="81"/>
      <c r="H309" s="81"/>
      <c r="I309" s="81"/>
      <c r="J309" s="81"/>
      <c r="K309" s="81"/>
      <c r="L309" s="81"/>
      <c r="M309" s="81"/>
      <c r="N309" s="81"/>
      <c r="O309" s="81"/>
      <c r="T309" s="39"/>
    </row>
    <row r="310" spans="1:61" x14ac:dyDescent="0.35">
      <c r="A310" s="81" t="s">
        <v>32</v>
      </c>
      <c r="B310" s="81"/>
      <c r="C310" s="81"/>
      <c r="D310" s="81"/>
      <c r="E310" s="81"/>
      <c r="F310" s="88"/>
      <c r="G310" s="88">
        <f ca="1">(G305*G226+G306*G176)/1000</f>
        <v>-900.63938267129572</v>
      </c>
      <c r="H310" s="88"/>
      <c r="I310" s="88">
        <f ca="1">(I305*I226+I306*I172)/1000</f>
        <v>241.15075974201423</v>
      </c>
      <c r="J310" s="88"/>
      <c r="K310" s="81"/>
      <c r="L310" s="88">
        <f ca="1">(L305*L176+L306*L226)/1000</f>
        <v>658.79848707171493</v>
      </c>
      <c r="M310" s="81"/>
      <c r="N310" s="88">
        <f ca="1">(N305*N172+N306*N226)/1000</f>
        <v>660.76856596322602</v>
      </c>
      <c r="O310" s="81"/>
      <c r="P310" s="81"/>
      <c r="Q310" s="81"/>
    </row>
    <row r="311" spans="1:61" x14ac:dyDescent="0.35">
      <c r="A311" s="81"/>
      <c r="B311" s="81"/>
      <c r="C311" s="81"/>
      <c r="D311" s="81"/>
      <c r="E311" s="81"/>
      <c r="F311" s="81"/>
      <c r="G311" s="81"/>
      <c r="H311" s="81"/>
      <c r="I311" s="81"/>
      <c r="J311" s="81"/>
      <c r="K311" s="81"/>
      <c r="L311" s="81"/>
      <c r="M311" s="81"/>
      <c r="N311" s="81"/>
      <c r="O311" s="81"/>
    </row>
    <row r="312" spans="1:61" x14ac:dyDescent="0.35">
      <c r="A312" s="81"/>
      <c r="B312" s="81"/>
      <c r="C312" s="81"/>
      <c r="D312" s="81"/>
      <c r="E312" s="81"/>
      <c r="F312" s="81"/>
      <c r="G312" s="81"/>
      <c r="H312" s="81"/>
      <c r="I312" s="81"/>
      <c r="J312" s="81"/>
      <c r="K312" s="81"/>
      <c r="L312" s="81"/>
      <c r="M312" s="81"/>
      <c r="N312" s="81"/>
      <c r="O312" s="81"/>
    </row>
    <row r="313" spans="1:61" x14ac:dyDescent="0.35">
      <c r="A313" s="126" t="s">
        <v>143</v>
      </c>
      <c r="B313" s="126"/>
      <c r="C313" s="126"/>
      <c r="D313" s="126"/>
      <c r="E313" s="126"/>
      <c r="F313" s="126"/>
      <c r="G313" s="126"/>
      <c r="H313" s="126"/>
      <c r="I313" s="126"/>
      <c r="J313" s="126"/>
      <c r="K313" s="126"/>
      <c r="L313" s="126"/>
      <c r="M313" s="126"/>
      <c r="N313" s="126"/>
      <c r="O313" s="126"/>
      <c r="P313" s="126"/>
      <c r="Q313" s="126"/>
      <c r="R313" s="81"/>
      <c r="S313" s="81"/>
      <c r="T313" s="81"/>
    </row>
    <row r="314" spans="1:61" x14ac:dyDescent="0.35">
      <c r="A314" s="126"/>
      <c r="B314" s="126"/>
      <c r="C314" s="126"/>
      <c r="D314" s="126"/>
      <c r="E314" s="126"/>
      <c r="F314" s="126"/>
      <c r="G314" s="126"/>
      <c r="H314" s="126"/>
      <c r="I314" s="126"/>
      <c r="J314" s="126"/>
      <c r="K314" s="126"/>
      <c r="L314" s="126"/>
      <c r="M314" s="126"/>
      <c r="N314" s="126"/>
      <c r="O314" s="126"/>
      <c r="P314" s="126"/>
      <c r="Q314" s="126"/>
      <c r="R314" s="81"/>
      <c r="S314" s="81"/>
      <c r="T314" s="81"/>
    </row>
    <row r="315" spans="1:61" x14ac:dyDescent="0.35">
      <c r="A315" s="126"/>
      <c r="B315" s="126"/>
      <c r="C315" s="126"/>
      <c r="D315" s="126"/>
      <c r="E315" s="126"/>
      <c r="F315" s="127" t="s">
        <v>59</v>
      </c>
      <c r="G315" s="126"/>
      <c r="H315" s="126"/>
      <c r="I315" s="127" t="s">
        <v>72</v>
      </c>
      <c r="J315" s="126"/>
      <c r="K315" s="126"/>
      <c r="L315" s="126"/>
      <c r="M315" s="127" t="s">
        <v>59</v>
      </c>
      <c r="N315" s="126"/>
      <c r="O315" s="126"/>
      <c r="P315" s="127" t="s">
        <v>72</v>
      </c>
      <c r="Q315" s="126"/>
      <c r="R315" s="81"/>
      <c r="S315" s="81"/>
      <c r="T315" s="81"/>
    </row>
    <row r="316" spans="1:61" x14ac:dyDescent="0.35">
      <c r="A316" s="126"/>
      <c r="B316" s="126"/>
      <c r="C316" s="126"/>
      <c r="D316" s="126"/>
      <c r="E316" s="126" t="s">
        <v>21</v>
      </c>
      <c r="F316" s="126"/>
      <c r="G316" s="126"/>
      <c r="H316" s="126" t="s">
        <v>21</v>
      </c>
      <c r="I316" s="126"/>
      <c r="J316" s="126"/>
      <c r="K316" s="126"/>
      <c r="L316" s="126" t="s">
        <v>31</v>
      </c>
      <c r="M316" s="126"/>
      <c r="N316" s="126"/>
      <c r="O316" s="126" t="s">
        <v>31</v>
      </c>
      <c r="P316" s="126"/>
      <c r="Q316" s="126"/>
      <c r="R316" s="81"/>
      <c r="S316" s="81"/>
      <c r="T316" s="81"/>
    </row>
    <row r="317" spans="1:61" x14ac:dyDescent="0.35">
      <c r="A317" s="126" t="s">
        <v>44</v>
      </c>
      <c r="B317" s="126"/>
      <c r="C317" s="126"/>
      <c r="D317" s="126"/>
      <c r="E317" s="126" t="s">
        <v>61</v>
      </c>
      <c r="F317" s="126" t="s">
        <v>58</v>
      </c>
      <c r="G317" s="126" t="s">
        <v>60</v>
      </c>
      <c r="H317" s="126" t="s">
        <v>61</v>
      </c>
      <c r="I317" s="126" t="s">
        <v>58</v>
      </c>
      <c r="J317" s="126" t="s">
        <v>60</v>
      </c>
      <c r="K317" s="126"/>
      <c r="L317" s="126" t="s">
        <v>61</v>
      </c>
      <c r="M317" s="126" t="s">
        <v>58</v>
      </c>
      <c r="N317" s="126" t="s">
        <v>60</v>
      </c>
      <c r="O317" s="126" t="s">
        <v>61</v>
      </c>
      <c r="P317" s="126" t="s">
        <v>58</v>
      </c>
      <c r="Q317" s="126" t="s">
        <v>60</v>
      </c>
      <c r="R317" s="81"/>
      <c r="S317" s="81"/>
      <c r="T317" s="81"/>
    </row>
    <row r="318" spans="1:61" x14ac:dyDescent="0.35">
      <c r="A318" s="126" t="s">
        <v>34</v>
      </c>
      <c r="B318" s="126"/>
      <c r="C318" s="126"/>
      <c r="D318" s="126"/>
      <c r="E318" s="126">
        <f ca="1">G306*G197/1000</f>
        <v>4.8477926291593905</v>
      </c>
      <c r="F318" s="126">
        <f ca="1">G305*G252/1000</f>
        <v>-0.95288596323170716</v>
      </c>
      <c r="G318" s="126">
        <f ca="1">(G305*G252+G306*G197)/1000</f>
        <v>3.8949066659276834</v>
      </c>
      <c r="H318" s="126">
        <f ca="1">I306*I197/1000</f>
        <v>5.962067719147246</v>
      </c>
      <c r="I318" s="126">
        <f ca="1">I305*I252/1000</f>
        <v>-1.2371726571152777</v>
      </c>
      <c r="J318" s="126">
        <f ca="1">(I305*I252+I306*I197)/1000</f>
        <v>4.7248950620319681</v>
      </c>
      <c r="K318" s="126"/>
      <c r="L318" s="126">
        <f ca="1">L306*L252/1000</f>
        <v>-2.4355375219950441</v>
      </c>
      <c r="M318" s="126">
        <f ca="1">L305*L197/1000</f>
        <v>0.87292923121441302</v>
      </c>
      <c r="N318" s="126">
        <f ca="1">(L305*L197+L306*L252)/1000</f>
        <v>-1.5626082907806313</v>
      </c>
      <c r="O318" s="126">
        <f ca="1">N306*N252/1000</f>
        <v>-2.7998381236814165</v>
      </c>
      <c r="P318" s="126">
        <f ca="1">N305*N197/1000</f>
        <v>3.2276582641109255</v>
      </c>
      <c r="Q318" s="126">
        <f ca="1">(N305*N197+N306*N252)/1000</f>
        <v>0.42782014042950867</v>
      </c>
      <c r="R318" s="81"/>
      <c r="S318" s="81"/>
      <c r="T318" s="81"/>
      <c r="U318" s="81"/>
    </row>
    <row r="319" spans="1:61" x14ac:dyDescent="0.35">
      <c r="A319" s="126" t="s">
        <v>244</v>
      </c>
      <c r="B319" s="126"/>
      <c r="C319" s="126"/>
      <c r="D319" s="126"/>
      <c r="E319" s="126">
        <f ca="1">G306*G196/1000</f>
        <v>7.4244378101512991</v>
      </c>
      <c r="F319" s="126">
        <f ca="1">G305*G251/1000</f>
        <v>-33.271358718390132</v>
      </c>
      <c r="G319" s="126">
        <f ca="1">(G305*G251+G306*G196)/1000</f>
        <v>-25.846920908238832</v>
      </c>
      <c r="H319" s="126">
        <f ca="1">I306*I196/1000</f>
        <v>7.908039175266488</v>
      </c>
      <c r="I319" s="126">
        <f ca="1">I305*I251/1000</f>
        <v>-13.753778393554716</v>
      </c>
      <c r="J319" s="126">
        <f ca="1">(I305*I251+I306*I196)/1000</f>
        <v>-5.8457392182882275</v>
      </c>
      <c r="K319" s="126"/>
      <c r="L319" s="126">
        <f ca="1">L306*L251/1000</f>
        <v>-6.9594471397989848</v>
      </c>
      <c r="M319" s="126">
        <f ca="1">L305*L196/1000</f>
        <v>67.143148933332427</v>
      </c>
      <c r="N319" s="126">
        <f ca="1">(L305*L196+L306*L251)/1000</f>
        <v>60.183701793533444</v>
      </c>
      <c r="O319" s="126">
        <f ca="1">N306*N251/1000</f>
        <v>-7.9404870607695175</v>
      </c>
      <c r="P319" s="126">
        <f ca="1">N305*N196/1000</f>
        <v>84.246314195978016</v>
      </c>
      <c r="Q319" s="126">
        <f ca="1">(N305*N196+N306*N251)/1000</f>
        <v>76.305827135208503</v>
      </c>
      <c r="R319" s="81"/>
      <c r="S319" s="81"/>
      <c r="T319" s="81"/>
      <c r="U319" s="81"/>
    </row>
    <row r="320" spans="1:61" x14ac:dyDescent="0.35">
      <c r="A320" s="126" t="s">
        <v>29</v>
      </c>
      <c r="B320" s="126"/>
      <c r="C320" s="126"/>
      <c r="D320" s="126"/>
      <c r="E320" s="126">
        <f ca="1">G306*G198/10</f>
        <v>1049.7569359047434</v>
      </c>
      <c r="F320" s="126">
        <f ca="1">G305*G253/10</f>
        <v>-2332.140826810823</v>
      </c>
      <c r="G320" s="126">
        <f ca="1">G305/10*G253+G306/10*G198</f>
        <v>-1282.3838909060794</v>
      </c>
      <c r="H320" s="126">
        <f ca="1">I306*I198/10</f>
        <v>2302.6524766798025</v>
      </c>
      <c r="I320" s="126">
        <f ca="1">I305*I253/10</f>
        <v>-1255.3296531623248</v>
      </c>
      <c r="J320" s="126">
        <f ca="1">I305/10*I253+I306/10*I198</f>
        <v>1047.3228235174777</v>
      </c>
      <c r="K320" s="126"/>
      <c r="L320" s="126">
        <f ca="1">L306*L253/10*L188/100</f>
        <v>-275.2091446342277</v>
      </c>
      <c r="M320" s="126">
        <f ca="1">L305*L198/10*L188/100</f>
        <v>1114.7593894937879</v>
      </c>
      <c r="N320" s="126">
        <f ca="1">(L305*L198+L306*L253)/10*L188/100</f>
        <v>839.55024485956028</v>
      </c>
      <c r="O320" s="126">
        <f ca="1">N306*N253/10*N188/100</f>
        <v>-571.83815839610031</v>
      </c>
      <c r="P320" s="126">
        <f ca="1">N305*N198/10*N188/100</f>
        <v>1731.903716133842</v>
      </c>
      <c r="Q320" s="126">
        <f ca="1">(N305*N198+N306*N253)/10*N188/100</f>
        <v>1160.0655577377415</v>
      </c>
      <c r="R320" s="81"/>
      <c r="S320" s="81"/>
      <c r="T320" s="81"/>
      <c r="U320" s="81"/>
    </row>
    <row r="321" spans="1:21" x14ac:dyDescent="0.35">
      <c r="A321" s="126"/>
      <c r="B321" s="126"/>
      <c r="C321" s="126"/>
      <c r="D321" s="126"/>
      <c r="E321" s="126"/>
      <c r="F321" s="126"/>
      <c r="G321" s="126"/>
      <c r="H321" s="126"/>
      <c r="I321" s="126"/>
      <c r="J321" s="126"/>
      <c r="K321" s="126"/>
      <c r="L321" s="126"/>
      <c r="M321" s="126"/>
      <c r="N321" s="126"/>
      <c r="O321" s="126"/>
      <c r="P321" s="126"/>
      <c r="Q321" s="126"/>
      <c r="R321" s="81"/>
      <c r="S321" s="81"/>
      <c r="T321" s="81"/>
      <c r="U321" s="81"/>
    </row>
    <row r="322" spans="1:21" x14ac:dyDescent="0.35">
      <c r="A322" s="126" t="s">
        <v>130</v>
      </c>
      <c r="B322" s="103"/>
      <c r="C322" s="103"/>
      <c r="D322" s="103"/>
      <c r="E322" s="103"/>
      <c r="F322" s="103"/>
      <c r="G322" s="103">
        <f>G98</f>
        <v>1903.4354964816262</v>
      </c>
      <c r="H322" s="103"/>
      <c r="I322" s="103"/>
      <c r="J322" s="103">
        <f>I98</f>
        <v>1744.8264268960127</v>
      </c>
      <c r="K322" s="103"/>
      <c r="L322" s="103"/>
      <c r="M322" s="103"/>
      <c r="N322" s="103">
        <f>L98</f>
        <v>2282.6452304394425</v>
      </c>
      <c r="O322" s="103"/>
      <c r="P322" s="103"/>
      <c r="Q322" s="103">
        <f>N98</f>
        <v>2125.7963558413712</v>
      </c>
      <c r="R322" s="103"/>
      <c r="S322" s="81"/>
      <c r="T322" s="81"/>
      <c r="U322" s="81"/>
    </row>
    <row r="323" spans="1:21" x14ac:dyDescent="0.35">
      <c r="A323" s="126"/>
      <c r="B323" s="126"/>
      <c r="C323" s="126"/>
      <c r="D323" s="126"/>
      <c r="E323" s="126"/>
      <c r="F323" s="126"/>
      <c r="G323" s="126"/>
      <c r="H323" s="126"/>
      <c r="I323" s="126"/>
      <c r="J323" s="126"/>
      <c r="K323" s="128" t="s">
        <v>142</v>
      </c>
      <c r="L323" s="126"/>
      <c r="M323" s="126"/>
      <c r="N323" s="126"/>
      <c r="O323" s="126"/>
      <c r="P323" s="126"/>
      <c r="Q323" s="126"/>
      <c r="R323" s="128" t="s">
        <v>142</v>
      </c>
      <c r="S323" s="81"/>
      <c r="T323" s="81"/>
    </row>
    <row r="324" spans="1:21" x14ac:dyDescent="0.35">
      <c r="A324" s="126" t="s">
        <v>258</v>
      </c>
      <c r="B324" s="126"/>
      <c r="C324" s="126"/>
      <c r="D324" s="126"/>
      <c r="E324" s="126">
        <f ca="1">E318*1000/G322*100/G185</f>
        <v>2.5468646760660985</v>
      </c>
      <c r="F324" s="126">
        <f ca="1">F318*1000/G322*100/G185</f>
        <v>-0.50061374025705285</v>
      </c>
      <c r="G324" s="126">
        <f ca="1">G318*1000/G322*100/G185</f>
        <v>2.0462509358090459</v>
      </c>
      <c r="H324" s="126">
        <f ca="1">H318*1000/J322*100/I185</f>
        <v>3.4169976034542087</v>
      </c>
      <c r="I324" s="126">
        <f ca="1">I318*1000/J322*100/I185</f>
        <v>-0.7090519939660509</v>
      </c>
      <c r="J324" s="126">
        <f ca="1">J318*1000/J322*100/I185</f>
        <v>2.7079456094881582</v>
      </c>
      <c r="K324" s="126">
        <f ca="1">G324+J324</f>
        <v>4.7541965452972041</v>
      </c>
      <c r="L324" s="126">
        <f ca="1">L318*1000/N322*100/L185</f>
        <v>-2.1339606256081836</v>
      </c>
      <c r="M324" s="126">
        <f ca="1">M318*1000/N322*100/L185</f>
        <v>0.7648400369656756</v>
      </c>
      <c r="N324" s="126">
        <f ca="1">N318*1000/N322*100/L185</f>
        <v>-1.3691205886425082</v>
      </c>
      <c r="O324" s="126">
        <f ca="1">O318*1000/Q322*100/N185</f>
        <v>-2.6341545990403823</v>
      </c>
      <c r="P324" s="126">
        <f ca="1">P318*1000/Q322*100/N185</f>
        <v>3.0366580084134607</v>
      </c>
      <c r="Q324" s="126">
        <f ca="1">Q318*1000/Q322*100/N185</f>
        <v>0.40250340937307827</v>
      </c>
      <c r="R324" s="126">
        <f ca="1">N324+Q324</f>
        <v>-0.96661717926942992</v>
      </c>
      <c r="S324" s="81"/>
      <c r="T324" s="81"/>
    </row>
    <row r="325" spans="1:21" x14ac:dyDescent="0.35">
      <c r="A325" s="126" t="s">
        <v>259</v>
      </c>
      <c r="B325" s="126"/>
      <c r="C325" s="126"/>
      <c r="D325" s="126"/>
      <c r="E325" s="126">
        <f ca="1">E319*1000/G322</f>
        <v>3.9005460515341226</v>
      </c>
      <c r="F325" s="126">
        <f ca="1">F319*1000/G322</f>
        <v>-17.479635522133545</v>
      </c>
      <c r="G325" s="126">
        <f ca="1">G319*1000/$G$322</f>
        <v>-13.579089470599422</v>
      </c>
      <c r="H325" s="126">
        <f ca="1">H319*1000/J322</f>
        <v>4.5322784280237105</v>
      </c>
      <c r="I325" s="126">
        <f ca="1">I319*1000/J322</f>
        <v>-7.8826055024981621</v>
      </c>
      <c r="J325" s="126">
        <f ca="1">J319*1000/J322</f>
        <v>-3.3503270744744511</v>
      </c>
      <c r="K325" s="126">
        <f ca="1">G325+J325</f>
        <v>-16.929416545073874</v>
      </c>
      <c r="L325" s="126">
        <f ca="1">L319*1000/N322</f>
        <v>-3.0488518526635828</v>
      </c>
      <c r="M325" s="126">
        <f ca="1">M319*1000/N322</f>
        <v>29.414623016300432</v>
      </c>
      <c r="N325" s="126">
        <f ca="1">N319*1000/N322</f>
        <v>26.36577116363685</v>
      </c>
      <c r="O325" s="126">
        <f ca="1">O319*1000/Q322</f>
        <v>-3.7352999683860797</v>
      </c>
      <c r="P325" s="126">
        <f ca="1">P319*1000/Q322</f>
        <v>39.630472582419159</v>
      </c>
      <c r="Q325" s="126">
        <f ca="1">Q319*1000/Q322</f>
        <v>35.895172614033079</v>
      </c>
      <c r="R325" s="126">
        <f ca="1">N325+Q325</f>
        <v>62.260943777669929</v>
      </c>
      <c r="S325" s="81"/>
      <c r="T325" s="81"/>
    </row>
    <row r="326" spans="1:21" x14ac:dyDescent="0.35">
      <c r="A326" s="126" t="s">
        <v>37</v>
      </c>
      <c r="B326" s="126"/>
      <c r="C326" s="126"/>
      <c r="D326" s="126"/>
      <c r="E326" s="126">
        <f t="shared" ref="E326:J326" ca="1" si="2">E324+E325</f>
        <v>6.4474107276002215</v>
      </c>
      <c r="F326" s="126">
        <f t="shared" ca="1" si="2"/>
        <v>-17.980249262390597</v>
      </c>
      <c r="G326" s="126">
        <f t="shared" ca="1" si="2"/>
        <v>-11.532838534790375</v>
      </c>
      <c r="H326" s="126">
        <f t="shared" ca="1" si="2"/>
        <v>7.9492760314779192</v>
      </c>
      <c r="I326" s="126">
        <f t="shared" ca="1" si="2"/>
        <v>-8.5916574964642134</v>
      </c>
      <c r="J326" s="126">
        <f t="shared" ca="1" si="2"/>
        <v>-0.64238146498629289</v>
      </c>
      <c r="K326" s="126">
        <f ca="1">G326+J326</f>
        <v>-12.175219999776669</v>
      </c>
      <c r="L326" s="126">
        <f t="shared" ref="L326:Q326" ca="1" si="3">L324+L325</f>
        <v>-5.1828124782717664</v>
      </c>
      <c r="M326" s="126">
        <f t="shared" ca="1" si="3"/>
        <v>30.179463053266108</v>
      </c>
      <c r="N326" s="126">
        <f t="shared" ca="1" si="3"/>
        <v>24.996650574994341</v>
      </c>
      <c r="O326" s="126">
        <f t="shared" ca="1" si="3"/>
        <v>-6.3694545674264624</v>
      </c>
      <c r="P326" s="126">
        <f t="shared" ca="1" si="3"/>
        <v>42.66713059083262</v>
      </c>
      <c r="Q326" s="126">
        <f t="shared" ca="1" si="3"/>
        <v>36.297676023406154</v>
      </c>
      <c r="R326" s="126">
        <f ca="1">N326+Q326</f>
        <v>61.294326598400495</v>
      </c>
      <c r="S326" s="81"/>
      <c r="T326" s="81"/>
    </row>
    <row r="327" spans="1:21" x14ac:dyDescent="0.35">
      <c r="A327" s="126" t="s">
        <v>30</v>
      </c>
      <c r="B327" s="126"/>
      <c r="C327" s="126"/>
      <c r="D327" s="126"/>
      <c r="E327" s="126">
        <f t="shared" ref="E327:J327" ca="1" si="4">E320*$G$188/100</f>
        <v>1049.7569359047434</v>
      </c>
      <c r="F327" s="126">
        <f t="shared" ca="1" si="4"/>
        <v>-2332.140826810823</v>
      </c>
      <c r="G327" s="126">
        <f t="shared" ca="1" si="4"/>
        <v>-1282.3838909060794</v>
      </c>
      <c r="H327" s="126">
        <f t="shared" ca="1" si="4"/>
        <v>2302.6524766798025</v>
      </c>
      <c r="I327" s="126">
        <f t="shared" ca="1" si="4"/>
        <v>-1255.3296531623248</v>
      </c>
      <c r="J327" s="126">
        <f t="shared" ca="1" si="4"/>
        <v>1047.3228235174777</v>
      </c>
      <c r="K327" s="126"/>
      <c r="L327" s="126">
        <f ca="1">L320*$L$188/100</f>
        <v>-165.12548678053662</v>
      </c>
      <c r="M327" s="126">
        <f ca="1">M320*$L$188/100</f>
        <v>668.85563369627266</v>
      </c>
      <c r="N327" s="126">
        <f ca="1">N320*$L$188/100</f>
        <v>503.73014691573621</v>
      </c>
      <c r="O327" s="126">
        <f ca="1">O320*N188/100</f>
        <v>-343.10289503766018</v>
      </c>
      <c r="P327" s="126">
        <f ca="1">P320*N188/100</f>
        <v>1039.1422296803053</v>
      </c>
      <c r="Q327" s="126">
        <f ca="1">Q320*N188/100</f>
        <v>696.03933464264492</v>
      </c>
      <c r="R327" s="81"/>
      <c r="S327" s="81"/>
      <c r="T327" s="81"/>
    </row>
    <row r="328" spans="1:21" x14ac:dyDescent="0.35">
      <c r="A328" s="126"/>
      <c r="B328" s="126"/>
      <c r="C328" s="126"/>
      <c r="D328" s="126"/>
      <c r="E328" s="126"/>
      <c r="F328" s="126"/>
      <c r="G328" s="126"/>
      <c r="H328" s="126"/>
      <c r="I328" s="126"/>
      <c r="J328" s="126"/>
      <c r="K328" s="126"/>
      <c r="L328" s="126"/>
      <c r="M328" s="126"/>
      <c r="N328" s="126"/>
      <c r="O328" s="126"/>
      <c r="P328" s="126"/>
      <c r="Q328" s="126"/>
      <c r="R328" s="81"/>
      <c r="S328" s="81"/>
      <c r="T328" s="81"/>
    </row>
    <row r="329" spans="1:21" s="81" customFormat="1" x14ac:dyDescent="0.35">
      <c r="A329" s="81" t="s">
        <v>289</v>
      </c>
    </row>
    <row r="330" spans="1:21" s="81" customFormat="1" x14ac:dyDescent="0.35">
      <c r="A330" s="81" t="s">
        <v>36</v>
      </c>
      <c r="G330" s="100">
        <f ca="1">G326/F10*100</f>
        <v>-15.134958707073984</v>
      </c>
      <c r="J330" s="100">
        <f ca="1">J326/F11*100</f>
        <v>-0.14004392086032108</v>
      </c>
      <c r="N330" s="100">
        <f ca="1">N326/O10*100</f>
        <v>7.3153791556904713</v>
      </c>
      <c r="Q330" s="100">
        <f ca="1">Q326/O11*100</f>
        <v>3.0925855008440104</v>
      </c>
    </row>
    <row r="331" spans="1:21" s="81" customFormat="1" x14ac:dyDescent="0.35">
      <c r="L331" s="15" t="s">
        <v>310</v>
      </c>
    </row>
    <row r="332" spans="1:21" s="81" customFormat="1" x14ac:dyDescent="0.35">
      <c r="A332" s="15" t="s">
        <v>309</v>
      </c>
      <c r="G332" s="87" t="s">
        <v>139</v>
      </c>
      <c r="H332" s="87" t="s">
        <v>140</v>
      </c>
      <c r="I332" s="87" t="s">
        <v>141</v>
      </c>
      <c r="J332" s="87"/>
      <c r="K332" s="87"/>
      <c r="L332" s="87"/>
      <c r="M332" s="87"/>
      <c r="N332" s="87" t="s">
        <v>139</v>
      </c>
      <c r="O332" s="87" t="s">
        <v>140</v>
      </c>
      <c r="P332" s="87" t="s">
        <v>141</v>
      </c>
    </row>
    <row r="333" spans="1:21" s="81" customFormat="1" x14ac:dyDescent="0.35">
      <c r="A333" s="81" t="s">
        <v>260</v>
      </c>
      <c r="G333" s="100">
        <f ca="1">G324/C12*100</f>
        <v>1.9850742054567445</v>
      </c>
      <c r="H333" s="100">
        <f ca="1">J324/C12*100</f>
        <v>2.6269862044311942</v>
      </c>
      <c r="I333" s="100">
        <f ca="1">100*K324/C12</f>
        <v>4.6120604098879392</v>
      </c>
      <c r="J333" s="100"/>
      <c r="N333" s="100">
        <f ca="1">N324/K12*100</f>
        <v>-0.98948539399863666</v>
      </c>
      <c r="O333" s="100">
        <f ca="1">Q324/K12*100</f>
        <v>0.29089566537320377</v>
      </c>
      <c r="P333" s="100">
        <f ca="1">N333+O333</f>
        <v>-0.69858972862543289</v>
      </c>
    </row>
    <row r="334" spans="1:21" s="81" customFormat="1" x14ac:dyDescent="0.35">
      <c r="A334" s="81" t="s">
        <v>261</v>
      </c>
      <c r="G334" s="100">
        <f ca="1">G325/(D12+E12)*100</f>
        <v>-2.9308346885616547</v>
      </c>
      <c r="H334" s="100">
        <f ca="1">J325/(D12+E12)*100</f>
        <v>-0.7231158487582714</v>
      </c>
      <c r="I334" s="100">
        <f ca="1">100*K325/(D12+E12)</f>
        <v>-3.6539505373199264</v>
      </c>
      <c r="N334" s="100">
        <f ca="1">N325/(L12+M12)*100</f>
        <v>1.4896217053015379</v>
      </c>
      <c r="O334" s="100">
        <f ca="1">Q325/(L12+M12)*100</f>
        <v>2.028016852211556</v>
      </c>
      <c r="P334" s="100">
        <f ca="1">N334+O334</f>
        <v>3.5176385575130942</v>
      </c>
    </row>
    <row r="335" spans="1:21" s="81" customFormat="1" x14ac:dyDescent="0.35">
      <c r="A335" s="81" t="s">
        <v>165</v>
      </c>
      <c r="G335" s="100">
        <f t="shared" ref="G335:H335" ca="1" si="5">100*((1+G333/100)/(1+G334/100)-1)</f>
        <v>5.0643362165998962</v>
      </c>
      <c r="H335" s="100">
        <f t="shared" ca="1" si="5"/>
        <v>3.374503623709435</v>
      </c>
      <c r="I335" s="100">
        <f ca="1">100*((1+I333/100)/(1+I334/100)-1)</f>
        <v>8.5795016955103378</v>
      </c>
      <c r="L335" s="100"/>
      <c r="N335" s="100">
        <f t="shared" ref="N335:O335" ca="1" si="6">100*((1+N333/100)/(1+N334/100)-1)</f>
        <v>-2.4427198147401019</v>
      </c>
      <c r="O335" s="100">
        <f t="shared" ca="1" si="6"/>
        <v>-1.7025923275119315</v>
      </c>
      <c r="P335" s="100">
        <f ca="1">100*((1+P333/100)/(1+P334/100)-1)</f>
        <v>-4.0729564013344932</v>
      </c>
    </row>
    <row r="336" spans="1:21" s="81" customFormat="1" x14ac:dyDescent="0.35">
      <c r="A336" s="81" t="s">
        <v>164</v>
      </c>
      <c r="G336" s="100">
        <f ca="1">G326/F12*100</f>
        <v>-2.0361649955491483</v>
      </c>
      <c r="H336" s="100">
        <f ca="1">J326/F12*100</f>
        <v>-0.11341480667130877</v>
      </c>
      <c r="I336" s="100">
        <f ca="1">G336+H336</f>
        <v>-2.1495798022204573</v>
      </c>
      <c r="L336" s="15" t="s">
        <v>311</v>
      </c>
      <c r="N336" s="100">
        <f ca="1">N326/O12*100</f>
        <v>0.97536485777252779</v>
      </c>
      <c r="O336" s="100">
        <f ca="1">Q326/O12*100</f>
        <v>1.4163288599737065</v>
      </c>
      <c r="P336" s="100">
        <f ca="1">N336+O336</f>
        <v>2.3916937177462341</v>
      </c>
    </row>
    <row r="337" spans="1:20" s="81" customFormat="1" x14ac:dyDescent="0.35">
      <c r="G337" s="100"/>
      <c r="H337" s="100"/>
      <c r="I337" s="100"/>
      <c r="N337" s="100"/>
      <c r="O337" s="100"/>
      <c r="P337" s="100"/>
    </row>
    <row r="338" spans="1:20" x14ac:dyDescent="0.35">
      <c r="A338" s="81"/>
      <c r="B338" s="81"/>
      <c r="C338" s="81"/>
      <c r="D338" s="81"/>
      <c r="E338" s="81"/>
      <c r="F338" s="81"/>
      <c r="G338" s="129" t="s">
        <v>167</v>
      </c>
      <c r="H338" s="81"/>
      <c r="I338" s="129" t="s">
        <v>167</v>
      </c>
      <c r="J338" s="81"/>
      <c r="K338" s="81"/>
      <c r="L338" s="81"/>
      <c r="M338" s="81"/>
      <c r="N338" s="129" t="s">
        <v>167</v>
      </c>
      <c r="O338" s="81"/>
      <c r="P338" s="129" t="s">
        <v>167</v>
      </c>
      <c r="Q338" s="81"/>
      <c r="R338" s="81"/>
      <c r="S338" s="81"/>
      <c r="T338" s="81"/>
    </row>
    <row r="339" spans="1:20" x14ac:dyDescent="0.35">
      <c r="A339" s="81"/>
      <c r="B339" s="81"/>
      <c r="C339" s="81"/>
      <c r="D339" s="81"/>
      <c r="E339" s="81"/>
      <c r="F339" s="81"/>
      <c r="G339" s="129" t="s">
        <v>168</v>
      </c>
      <c r="H339" s="81"/>
      <c r="I339" s="129" t="s">
        <v>171</v>
      </c>
      <c r="J339" s="81"/>
      <c r="K339" s="81"/>
      <c r="L339" s="81"/>
      <c r="M339" s="81"/>
      <c r="N339" s="129" t="s">
        <v>168</v>
      </c>
      <c r="O339" s="81"/>
      <c r="P339" s="129" t="s">
        <v>171</v>
      </c>
      <c r="Q339" s="81"/>
      <c r="R339" s="81"/>
      <c r="S339" s="81"/>
      <c r="T339" s="81"/>
    </row>
    <row r="340" spans="1:20" x14ac:dyDescent="0.35">
      <c r="A340" s="81"/>
      <c r="B340" s="81"/>
      <c r="C340" s="81"/>
      <c r="D340" s="81"/>
      <c r="E340" s="81"/>
      <c r="F340" s="81"/>
      <c r="G340" s="129" t="s">
        <v>169</v>
      </c>
      <c r="H340" s="81"/>
      <c r="I340" s="129" t="s">
        <v>172</v>
      </c>
      <c r="J340" s="81"/>
      <c r="K340" s="81"/>
      <c r="L340" s="81"/>
      <c r="M340" s="81"/>
      <c r="N340" s="129" t="s">
        <v>169</v>
      </c>
      <c r="O340" s="81"/>
      <c r="P340" s="129" t="s">
        <v>172</v>
      </c>
      <c r="Q340" s="81"/>
      <c r="R340" s="81"/>
      <c r="S340" s="81"/>
      <c r="T340" s="81"/>
    </row>
    <row r="341" spans="1:20" x14ac:dyDescent="0.35">
      <c r="A341" s="81" t="s">
        <v>166</v>
      </c>
      <c r="B341" s="81"/>
      <c r="C341" s="81"/>
      <c r="D341" s="81"/>
      <c r="E341" s="81"/>
      <c r="F341" s="81"/>
      <c r="G341" s="129" t="s">
        <v>170</v>
      </c>
      <c r="H341" s="81"/>
      <c r="I341" s="129" t="s">
        <v>173</v>
      </c>
      <c r="J341" s="105"/>
      <c r="K341" s="105"/>
      <c r="L341" s="105"/>
      <c r="M341" s="105"/>
      <c r="N341" s="129" t="s">
        <v>170</v>
      </c>
      <c r="O341" s="81"/>
      <c r="P341" s="129" t="s">
        <v>173</v>
      </c>
      <c r="Q341" s="81"/>
      <c r="R341" s="81"/>
      <c r="S341" s="81"/>
      <c r="T341" s="81"/>
    </row>
    <row r="343" spans="1:20" s="97" customFormat="1" x14ac:dyDescent="0.35">
      <c r="G343" s="97">
        <f ca="1">G326</f>
        <v>-11.532838534790375</v>
      </c>
      <c r="I343" s="97">
        <f ca="1">I335</f>
        <v>8.5795016955103378</v>
      </c>
      <c r="N343" s="97">
        <f ca="1">N326</f>
        <v>24.996650574994341</v>
      </c>
      <c r="P343" s="97">
        <f ca="1">P335</f>
        <v>-4.0729564013344932</v>
      </c>
    </row>
    <row r="345" spans="1:20" x14ac:dyDescent="0.35">
      <c r="A345" s="80" t="s">
        <v>287</v>
      </c>
      <c r="C345" s="130"/>
      <c r="D345" s="130"/>
      <c r="E345" s="130"/>
      <c r="F345" s="130" t="s">
        <v>59</v>
      </c>
      <c r="G345" s="130"/>
      <c r="H345" s="130"/>
      <c r="I345" s="130"/>
      <c r="J345" s="130" t="s">
        <v>72</v>
      </c>
      <c r="K345" s="130"/>
      <c r="L345" s="131"/>
      <c r="M345" s="131" t="s">
        <v>272</v>
      </c>
      <c r="N345" s="131"/>
    </row>
    <row r="346" spans="1:20" x14ac:dyDescent="0.35">
      <c r="C346" s="130"/>
      <c r="D346" s="130"/>
      <c r="E346" s="132" t="s">
        <v>273</v>
      </c>
      <c r="F346" s="132" t="s">
        <v>274</v>
      </c>
      <c r="G346" s="132" t="s">
        <v>60</v>
      </c>
      <c r="H346" s="130"/>
      <c r="I346" s="132" t="s">
        <v>273</v>
      </c>
      <c r="J346" s="132" t="s">
        <v>274</v>
      </c>
      <c r="K346" s="132" t="s">
        <v>60</v>
      </c>
      <c r="L346" s="131"/>
      <c r="M346" s="132" t="s">
        <v>60</v>
      </c>
      <c r="N346" s="131"/>
    </row>
    <row r="347" spans="1:20" x14ac:dyDescent="0.35">
      <c r="C347" s="130"/>
      <c r="D347" s="130"/>
      <c r="E347" s="132" t="s">
        <v>275</v>
      </c>
      <c r="F347" s="132" t="s">
        <v>276</v>
      </c>
      <c r="G347" s="132" t="s">
        <v>277</v>
      </c>
      <c r="H347" s="130"/>
      <c r="I347" s="132" t="s">
        <v>275</v>
      </c>
      <c r="J347" s="132" t="s">
        <v>276</v>
      </c>
      <c r="K347" s="132" t="s">
        <v>277</v>
      </c>
      <c r="L347" s="131"/>
      <c r="M347" s="132" t="s">
        <v>277</v>
      </c>
      <c r="N347" s="131"/>
    </row>
    <row r="348" spans="1:20" x14ac:dyDescent="0.35">
      <c r="C348" s="130" t="s">
        <v>278</v>
      </c>
      <c r="D348" s="130"/>
      <c r="E348" s="130"/>
      <c r="F348" s="130"/>
      <c r="G348" s="130"/>
      <c r="H348" s="130"/>
      <c r="I348" s="130"/>
      <c r="J348" s="130"/>
      <c r="K348" s="130"/>
      <c r="L348" s="131"/>
      <c r="M348" s="131"/>
      <c r="N348" s="131"/>
    </row>
    <row r="349" spans="1:20" x14ac:dyDescent="0.35">
      <c r="C349" s="130" t="s">
        <v>279</v>
      </c>
      <c r="D349" s="130"/>
      <c r="E349" s="130">
        <f t="shared" ref="E349:G351" ca="1" si="7">E324</f>
        <v>2.5468646760660985</v>
      </c>
      <c r="F349" s="130">
        <f t="shared" ca="1" si="7"/>
        <v>-0.50061374025705285</v>
      </c>
      <c r="G349" s="130">
        <f t="shared" ca="1" si="7"/>
        <v>2.0462509358090459</v>
      </c>
      <c r="H349" s="130"/>
      <c r="I349" s="130">
        <f t="shared" ref="I349:K351" ca="1" si="8">H324</f>
        <v>3.4169976034542087</v>
      </c>
      <c r="J349" s="130">
        <f t="shared" ca="1" si="8"/>
        <v>-0.7090519939660509</v>
      </c>
      <c r="K349" s="130">
        <f t="shared" ca="1" si="8"/>
        <v>2.7079456094881582</v>
      </c>
      <c r="L349" s="131"/>
      <c r="M349" s="130">
        <f ca="1">K324</f>
        <v>4.7541965452972041</v>
      </c>
      <c r="N349" s="131"/>
    </row>
    <row r="350" spans="1:20" x14ac:dyDescent="0.35">
      <c r="C350" s="130" t="s">
        <v>280</v>
      </c>
      <c r="D350" s="130"/>
      <c r="E350" s="130">
        <f t="shared" ca="1" si="7"/>
        <v>3.9005460515341226</v>
      </c>
      <c r="F350" s="130">
        <f t="shared" ca="1" si="7"/>
        <v>-17.479635522133545</v>
      </c>
      <c r="G350" s="130">
        <f t="shared" ca="1" si="7"/>
        <v>-13.579089470599422</v>
      </c>
      <c r="H350" s="130"/>
      <c r="I350" s="130">
        <f t="shared" ca="1" si="8"/>
        <v>4.5322784280237105</v>
      </c>
      <c r="J350" s="130">
        <f t="shared" ca="1" si="8"/>
        <v>-7.8826055024981621</v>
      </c>
      <c r="K350" s="130">
        <f t="shared" ca="1" si="8"/>
        <v>-3.3503270744744511</v>
      </c>
      <c r="L350" s="131"/>
      <c r="M350" s="130">
        <f ca="1">K325</f>
        <v>-16.929416545073874</v>
      </c>
      <c r="N350" s="131"/>
    </row>
    <row r="351" spans="1:20" x14ac:dyDescent="0.35">
      <c r="C351" s="130" t="s">
        <v>281</v>
      </c>
      <c r="D351" s="130"/>
      <c r="E351" s="130">
        <f t="shared" ca="1" si="7"/>
        <v>6.4474107276002215</v>
      </c>
      <c r="F351" s="130">
        <f t="shared" ca="1" si="7"/>
        <v>-17.980249262390597</v>
      </c>
      <c r="G351" s="130">
        <f t="shared" ca="1" si="7"/>
        <v>-11.532838534790375</v>
      </c>
      <c r="H351" s="130"/>
      <c r="I351" s="130">
        <f t="shared" ca="1" si="8"/>
        <v>7.9492760314779192</v>
      </c>
      <c r="J351" s="130">
        <f t="shared" ca="1" si="8"/>
        <v>-8.5916574964642134</v>
      </c>
      <c r="K351" s="130">
        <f t="shared" ca="1" si="8"/>
        <v>-0.64238146498629289</v>
      </c>
      <c r="L351" s="131"/>
      <c r="M351" s="130">
        <f ca="1">K326</f>
        <v>-12.175219999776669</v>
      </c>
      <c r="N351" s="131"/>
    </row>
    <row r="352" spans="1:20" x14ac:dyDescent="0.35">
      <c r="C352" s="130" t="s">
        <v>282</v>
      </c>
      <c r="D352" s="130"/>
      <c r="E352" s="130"/>
      <c r="F352" s="130"/>
      <c r="G352" s="130"/>
      <c r="H352" s="130"/>
      <c r="I352" s="130"/>
      <c r="J352" s="130"/>
      <c r="K352" s="130"/>
      <c r="L352" s="131"/>
      <c r="M352" s="131"/>
      <c r="N352" s="131"/>
    </row>
    <row r="353" spans="3:14" x14ac:dyDescent="0.35">
      <c r="C353" s="130" t="s">
        <v>286</v>
      </c>
      <c r="D353" s="133"/>
      <c r="E353" s="133"/>
      <c r="F353" s="133"/>
      <c r="G353" s="134">
        <f ca="1">G330</f>
        <v>-15.134958707073984</v>
      </c>
      <c r="H353" s="135"/>
      <c r="I353" s="135"/>
      <c r="J353" s="135"/>
      <c r="K353" s="134">
        <f ca="1">J330</f>
        <v>-0.14004392086032108</v>
      </c>
      <c r="L353" s="135"/>
      <c r="M353" s="134">
        <f ca="1">I336</f>
        <v>-2.1495798022204573</v>
      </c>
      <c r="N353" s="131" t="s">
        <v>295</v>
      </c>
    </row>
    <row r="354" spans="3:14" x14ac:dyDescent="0.35">
      <c r="C354" s="130" t="s">
        <v>283</v>
      </c>
      <c r="D354" s="133"/>
      <c r="E354" s="133"/>
      <c r="F354" s="133"/>
      <c r="G354" s="134">
        <f ca="1">G333</f>
        <v>1.9850742054567445</v>
      </c>
      <c r="H354" s="136"/>
      <c r="I354" s="136"/>
      <c r="J354" s="136"/>
      <c r="K354" s="134">
        <f ca="1">H333</f>
        <v>2.6269862044311942</v>
      </c>
      <c r="L354" s="136"/>
      <c r="M354" s="134">
        <f ca="1">I333</f>
        <v>4.6120604098879392</v>
      </c>
      <c r="N354" s="131"/>
    </row>
    <row r="355" spans="3:14" x14ac:dyDescent="0.35">
      <c r="C355" s="130" t="s">
        <v>284</v>
      </c>
      <c r="D355" s="133"/>
      <c r="E355" s="133"/>
      <c r="F355" s="133"/>
      <c r="G355" s="134">
        <f ca="1">G334</f>
        <v>-2.9308346885616547</v>
      </c>
      <c r="H355" s="136"/>
      <c r="I355" s="136"/>
      <c r="J355" s="136"/>
      <c r="K355" s="134">
        <f ca="1">H334</f>
        <v>-0.7231158487582714</v>
      </c>
      <c r="L355" s="136"/>
      <c r="M355" s="134">
        <f ca="1">I334</f>
        <v>-3.6539505373199264</v>
      </c>
      <c r="N355" s="131"/>
    </row>
    <row r="356" spans="3:14" x14ac:dyDescent="0.35">
      <c r="C356" s="130" t="s">
        <v>285</v>
      </c>
      <c r="D356" s="133"/>
      <c r="E356" s="133"/>
      <c r="F356" s="133"/>
      <c r="G356" s="137">
        <f ca="1">G335</f>
        <v>5.0643362165998962</v>
      </c>
      <c r="H356" s="136"/>
      <c r="I356" s="136"/>
      <c r="J356" s="136"/>
      <c r="K356" s="134">
        <f ca="1">H335</f>
        <v>3.374503623709435</v>
      </c>
      <c r="L356" s="136"/>
      <c r="M356" s="134">
        <f ca="1">I335</f>
        <v>8.5795016955103378</v>
      </c>
      <c r="N356" s="131"/>
    </row>
    <row r="358" spans="3:14" x14ac:dyDescent="0.35">
      <c r="C358" s="133"/>
      <c r="D358" s="133"/>
      <c r="E358" s="133"/>
      <c r="F358" s="133"/>
      <c r="G358" s="133"/>
      <c r="H358" s="133"/>
      <c r="I358" s="133"/>
      <c r="J358" s="133"/>
      <c r="K358" s="133"/>
      <c r="L358" s="133"/>
      <c r="M358" s="133"/>
      <c r="N358" s="131"/>
    </row>
  </sheetData>
  <pageMargins left="0.39370078740157483" right="0.39370078740157483" top="0.98425196850393704" bottom="0.98425196850393704" header="0.51181102362204722" footer="0.51181102362204722"/>
  <pageSetup paperSize="9" scale="68" fitToHeight="0" orientation="landscape" r:id="rId1"/>
  <headerFooter>
    <oddHeader>&amp;LAdrian Wood&amp;CPage &amp;P&amp;R&amp;D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87"/>
  <sheetViews>
    <sheetView topLeftCell="A341" zoomScale="90" zoomScaleNormal="90" workbookViewId="0">
      <selection activeCell="K370" sqref="K370"/>
    </sheetView>
  </sheetViews>
  <sheetFormatPr defaultColWidth="8" defaultRowHeight="15.5" x14ac:dyDescent="0.35"/>
  <cols>
    <col min="1" max="1" width="14.33203125" style="4" customWidth="1"/>
    <col min="2" max="2" width="8" style="4"/>
    <col min="3" max="5" width="7.9140625" style="4" customWidth="1"/>
    <col min="6" max="6" width="9.6640625" style="4" customWidth="1"/>
    <col min="7" max="8" width="8.6640625" style="4" customWidth="1"/>
    <col min="9" max="9" width="9.6640625" style="4" customWidth="1"/>
    <col min="10" max="10" width="8.6640625" style="4" customWidth="1"/>
    <col min="11" max="11" width="7.08203125" style="4" customWidth="1"/>
    <col min="12" max="13" width="8.6640625" style="4" customWidth="1"/>
    <col min="14" max="14" width="9.6640625" style="4" customWidth="1"/>
    <col min="15" max="16384" width="8" style="4"/>
  </cols>
  <sheetData>
    <row r="1" spans="1:19" x14ac:dyDescent="0.35">
      <c r="A1" s="158" t="s">
        <v>537</v>
      </c>
      <c r="B1" s="158"/>
      <c r="C1" s="158"/>
      <c r="D1" s="158"/>
      <c r="E1" s="158"/>
      <c r="F1" s="158"/>
      <c r="G1" s="158"/>
      <c r="H1" s="158"/>
      <c r="I1" s="15"/>
      <c r="J1" s="15"/>
      <c r="K1" s="15"/>
      <c r="L1" s="15"/>
      <c r="M1" s="15"/>
      <c r="N1" s="15"/>
    </row>
    <row r="3" spans="1:19" x14ac:dyDescent="0.35">
      <c r="A3" s="8" t="s">
        <v>149</v>
      </c>
      <c r="B3" s="15"/>
      <c r="C3" s="15"/>
      <c r="D3" s="15"/>
      <c r="E3" s="15"/>
      <c r="F3" s="15"/>
      <c r="G3" s="15"/>
      <c r="H3" s="15"/>
      <c r="I3" s="15"/>
      <c r="J3" s="15"/>
      <c r="K3" s="15"/>
      <c r="L3" s="15"/>
      <c r="M3" s="15"/>
      <c r="N3" s="15"/>
      <c r="O3" s="15"/>
      <c r="P3" s="15"/>
      <c r="Q3" s="15"/>
      <c r="R3" s="15"/>
    </row>
    <row r="4" spans="1:19" x14ac:dyDescent="0.35">
      <c r="A4" s="15"/>
      <c r="B4" s="15"/>
      <c r="C4" s="15"/>
      <c r="D4" s="15"/>
      <c r="E4" s="15"/>
      <c r="F4" s="15"/>
      <c r="G4" s="15"/>
      <c r="H4" s="15"/>
      <c r="I4" s="15"/>
      <c r="J4" s="15"/>
      <c r="K4" s="15"/>
      <c r="L4" s="15"/>
      <c r="M4" s="15"/>
      <c r="N4" s="15"/>
      <c r="O4" s="15"/>
      <c r="P4" s="15"/>
      <c r="Q4" s="15"/>
      <c r="R4" s="15"/>
    </row>
    <row r="5" spans="1:19" customFormat="1" x14ac:dyDescent="0.35">
      <c r="A5" s="38" t="s">
        <v>305</v>
      </c>
      <c r="B5" s="7"/>
      <c r="C5" s="7"/>
      <c r="D5" s="7"/>
      <c r="E5" s="7"/>
      <c r="F5" s="7"/>
      <c r="G5" s="7"/>
      <c r="H5" s="7"/>
      <c r="I5" s="7"/>
      <c r="J5" s="7"/>
      <c r="K5" s="7"/>
      <c r="L5" s="7"/>
      <c r="M5" s="7"/>
      <c r="N5" s="7"/>
      <c r="O5" s="7" t="s">
        <v>297</v>
      </c>
      <c r="P5" s="7"/>
      <c r="Q5" s="7"/>
      <c r="R5" s="7"/>
    </row>
    <row r="6" spans="1:19" customFormat="1" x14ac:dyDescent="0.35">
      <c r="A6" s="38"/>
      <c r="B6" s="7"/>
      <c r="C6" s="7"/>
      <c r="D6" s="7"/>
      <c r="E6" s="7"/>
      <c r="F6" s="7"/>
      <c r="G6" s="7"/>
      <c r="H6" s="7"/>
      <c r="I6" s="7"/>
      <c r="J6" s="7"/>
      <c r="K6" s="7"/>
      <c r="L6" s="7"/>
      <c r="M6" s="7"/>
      <c r="N6" s="7"/>
      <c r="O6" s="7"/>
      <c r="P6" s="7"/>
      <c r="Q6" s="7"/>
      <c r="R6" s="7"/>
      <c r="S6" s="7"/>
    </row>
    <row r="7" spans="1:19" customFormat="1" x14ac:dyDescent="0.35">
      <c r="A7" s="7"/>
      <c r="B7" s="7"/>
      <c r="C7" s="7"/>
      <c r="D7" s="155" t="s">
        <v>323</v>
      </c>
      <c r="E7" s="156"/>
      <c r="F7" s="7"/>
      <c r="G7" s="7"/>
      <c r="H7" s="7"/>
      <c r="I7" s="7"/>
      <c r="J7" s="7"/>
      <c r="K7" s="7"/>
      <c r="L7" s="209" t="s">
        <v>533</v>
      </c>
      <c r="M7" s="210"/>
      <c r="N7" s="7"/>
      <c r="O7" s="7"/>
      <c r="P7" s="7"/>
      <c r="Q7" s="7"/>
      <c r="R7" s="7"/>
      <c r="S7" s="7"/>
    </row>
    <row r="8" spans="1:19" customFormat="1" x14ac:dyDescent="0.35">
      <c r="A8" s="15" t="s">
        <v>306</v>
      </c>
      <c r="B8" s="7"/>
      <c r="C8" s="31" t="s">
        <v>133</v>
      </c>
      <c r="D8" s="31" t="s">
        <v>136</v>
      </c>
      <c r="E8" s="31" t="s">
        <v>134</v>
      </c>
      <c r="F8" s="32" t="s">
        <v>62</v>
      </c>
      <c r="G8" s="31"/>
      <c r="I8" s="7"/>
      <c r="J8" s="7"/>
      <c r="K8" s="31" t="s">
        <v>137</v>
      </c>
      <c r="L8" s="31" t="s">
        <v>136</v>
      </c>
      <c r="M8" s="31" t="s">
        <v>134</v>
      </c>
      <c r="N8" s="31" t="s">
        <v>134</v>
      </c>
      <c r="O8" s="32" t="s">
        <v>62</v>
      </c>
      <c r="Q8" s="7"/>
      <c r="R8" s="7"/>
      <c r="S8" s="4"/>
    </row>
    <row r="9" spans="1:19" customFormat="1" x14ac:dyDescent="0.35">
      <c r="A9" s="7"/>
      <c r="B9" s="7"/>
      <c r="C9" s="32"/>
      <c r="D9" s="31" t="s">
        <v>135</v>
      </c>
      <c r="E9" s="32"/>
      <c r="F9" s="32"/>
      <c r="G9" s="52"/>
      <c r="I9" s="7"/>
      <c r="J9" s="7"/>
      <c r="K9" s="31" t="s">
        <v>135</v>
      </c>
      <c r="L9" s="31" t="s">
        <v>135</v>
      </c>
      <c r="M9" s="31" t="s">
        <v>301</v>
      </c>
      <c r="N9" s="53" t="s">
        <v>302</v>
      </c>
      <c r="O9" s="32"/>
      <c r="Q9" s="7"/>
      <c r="R9" s="7"/>
      <c r="S9" s="4"/>
    </row>
    <row r="10" spans="1:19" customFormat="1" x14ac:dyDescent="0.35">
      <c r="A10" s="15" t="s">
        <v>138</v>
      </c>
      <c r="B10" s="7"/>
      <c r="C10" s="16"/>
      <c r="D10" s="16"/>
      <c r="E10" s="16"/>
      <c r="F10" s="211">
        <v>52.822000000000003</v>
      </c>
      <c r="H10" s="4" t="s">
        <v>307</v>
      </c>
      <c r="I10" s="16"/>
      <c r="J10" s="16"/>
      <c r="K10" s="30"/>
      <c r="L10" s="30"/>
      <c r="M10" s="30"/>
      <c r="O10" s="212">
        <v>365.06200000000001</v>
      </c>
      <c r="P10" s="4" t="s">
        <v>307</v>
      </c>
      <c r="Q10" s="16"/>
      <c r="R10" s="16"/>
      <c r="S10" s="4"/>
    </row>
    <row r="11" spans="1:19" customFormat="1" x14ac:dyDescent="0.35">
      <c r="A11" s="7" t="s">
        <v>288</v>
      </c>
      <c r="B11" s="7"/>
      <c r="C11" s="16"/>
      <c r="D11" s="16"/>
      <c r="E11" s="16"/>
      <c r="F11" s="211">
        <v>362.11200000000002</v>
      </c>
      <c r="H11" s="4" t="s">
        <v>308</v>
      </c>
      <c r="I11" s="16"/>
      <c r="J11" s="16"/>
      <c r="K11" s="30"/>
      <c r="L11" s="30"/>
      <c r="M11" s="30"/>
      <c r="O11" s="212">
        <v>1270.23</v>
      </c>
      <c r="P11" s="4" t="s">
        <v>308</v>
      </c>
      <c r="Q11" s="16"/>
      <c r="R11" s="16"/>
      <c r="S11" s="4"/>
    </row>
    <row r="12" spans="1:19" customFormat="1" x14ac:dyDescent="0.35">
      <c r="A12" s="15" t="s">
        <v>62</v>
      </c>
      <c r="B12" s="7"/>
      <c r="C12" s="16">
        <f>C15*F12</f>
        <v>83.645692864529465</v>
      </c>
      <c r="D12" s="16">
        <f>D15*F12</f>
        <v>239.87283350568771</v>
      </c>
      <c r="E12" s="16">
        <f>E15*F12</f>
        <v>104.44647362978283</v>
      </c>
      <c r="F12" s="211">
        <v>427.96499999999997</v>
      </c>
      <c r="G12" s="16"/>
      <c r="H12" s="2">
        <f>F12-F10-F11</f>
        <v>13.030999999999949</v>
      </c>
      <c r="I12" s="139">
        <f>100*H12/F12</f>
        <v>3.0448751650251658</v>
      </c>
      <c r="J12" s="139" t="s">
        <v>41</v>
      </c>
      <c r="K12" s="16">
        <f>K14*O12</f>
        <v>157.6184565523788</v>
      </c>
      <c r="L12" s="16">
        <f>L14*O12</f>
        <v>777.66485813455256</v>
      </c>
      <c r="M12" s="16">
        <f>(M14-N14)*O12</f>
        <v>1099.3108042800889</v>
      </c>
      <c r="N12" s="16">
        <f>N14*O12</f>
        <v>666.71388103298023</v>
      </c>
      <c r="O12" s="212">
        <v>2701.308</v>
      </c>
      <c r="P12" s="2">
        <f>O12-O10-O11</f>
        <v>1066.0160000000001</v>
      </c>
      <c r="Q12" s="139">
        <f>100*P12/O12</f>
        <v>39.462956464053711</v>
      </c>
      <c r="R12" s="139" t="s">
        <v>41</v>
      </c>
      <c r="S12" s="4"/>
    </row>
    <row r="13" spans="1:19" customFormat="1" x14ac:dyDescent="0.35">
      <c r="A13" s="15" t="s">
        <v>299</v>
      </c>
      <c r="B13" s="7"/>
      <c r="C13" s="16"/>
      <c r="D13" s="16"/>
      <c r="E13" s="139" t="s">
        <v>303</v>
      </c>
      <c r="F13" s="16"/>
      <c r="G13" s="139" t="s">
        <v>302</v>
      </c>
      <c r="I13" s="16"/>
      <c r="J13" s="16"/>
      <c r="K13" s="16"/>
      <c r="L13" s="16"/>
      <c r="M13" s="139" t="s">
        <v>312</v>
      </c>
      <c r="N13" s="139"/>
      <c r="O13" s="16"/>
      <c r="Q13" s="7"/>
      <c r="R13" s="7"/>
      <c r="S13" s="4"/>
    </row>
    <row r="14" spans="1:19" s="138" customFormat="1" x14ac:dyDescent="0.35">
      <c r="A14" s="64"/>
      <c r="B14" s="22"/>
      <c r="C14" s="213">
        <v>0.189</v>
      </c>
      <c r="D14" s="213">
        <v>0.54200000000000004</v>
      </c>
      <c r="E14" s="213">
        <v>0.26900000000000002</v>
      </c>
      <c r="F14" s="140"/>
      <c r="G14" s="213">
        <v>3.3000000000000002E-2</v>
      </c>
      <c r="I14" s="22"/>
      <c r="J14" s="22"/>
      <c r="K14" s="214">
        <v>5.8348939311022217E-2</v>
      </c>
      <c r="L14" s="214">
        <v>0.28788455745681446</v>
      </c>
      <c r="M14" s="214">
        <v>0.65376650323216345</v>
      </c>
      <c r="N14" s="214">
        <v>0.24681150058896661</v>
      </c>
      <c r="O14" s="22"/>
      <c r="Q14" s="22"/>
      <c r="R14" s="22"/>
    </row>
    <row r="15" spans="1:19" s="138" customFormat="1" x14ac:dyDescent="0.35">
      <c r="A15" s="64" t="s">
        <v>300</v>
      </c>
      <c r="B15" s="22"/>
      <c r="C15" s="22">
        <f>C14/(1-G14)</f>
        <v>0.1954498448810755</v>
      </c>
      <c r="D15" s="22">
        <f>D14/(1-G14)</f>
        <v>0.56049638055842821</v>
      </c>
      <c r="E15" s="22">
        <f>(E14-G14)/(1-G14)</f>
        <v>0.2440537745604964</v>
      </c>
      <c r="F15" s="22"/>
      <c r="G15" s="22"/>
      <c r="I15" s="22"/>
      <c r="J15" s="22"/>
      <c r="K15" s="22"/>
      <c r="L15" s="22"/>
      <c r="M15" s="22"/>
      <c r="N15" s="22"/>
      <c r="O15" s="22"/>
      <c r="P15" s="2"/>
      <c r="Q15" s="64" t="s">
        <v>208</v>
      </c>
      <c r="R15" s="22"/>
      <c r="S15" s="22"/>
    </row>
    <row r="16" spans="1:19" customFormat="1" x14ac:dyDescent="0.35">
      <c r="A16" s="15" t="s">
        <v>304</v>
      </c>
      <c r="B16" s="7"/>
      <c r="C16" s="16"/>
      <c r="D16" s="16"/>
      <c r="E16" s="16"/>
      <c r="F16" s="16"/>
      <c r="G16" s="16"/>
      <c r="H16" s="16"/>
      <c r="I16" s="16"/>
      <c r="J16" s="16"/>
      <c r="K16" s="16"/>
      <c r="L16" s="16"/>
      <c r="M16" s="16"/>
      <c r="N16" s="16"/>
      <c r="O16" s="16"/>
      <c r="P16" s="7"/>
      <c r="Q16" s="7"/>
      <c r="R16" s="7"/>
      <c r="S16" s="7"/>
    </row>
    <row r="17" spans="1:23" customFormat="1" x14ac:dyDescent="0.35">
      <c r="A17" s="15" t="s">
        <v>313</v>
      </c>
      <c r="B17" s="7"/>
      <c r="C17" s="16"/>
      <c r="D17" s="16"/>
      <c r="E17" s="16"/>
      <c r="F17" s="16"/>
      <c r="G17" s="16"/>
      <c r="H17" s="16"/>
      <c r="I17" s="16"/>
      <c r="J17" s="16"/>
      <c r="K17" s="16"/>
      <c r="L17" s="16"/>
      <c r="M17" s="16"/>
      <c r="N17" s="16"/>
      <c r="O17" s="16"/>
      <c r="P17" s="7"/>
      <c r="Q17" s="7"/>
      <c r="R17" s="7"/>
      <c r="S17" s="7"/>
    </row>
    <row r="18" spans="1:23" customFormat="1" x14ac:dyDescent="0.35">
      <c r="A18" s="15" t="s">
        <v>314</v>
      </c>
      <c r="B18" s="7"/>
      <c r="C18" s="16"/>
      <c r="D18" s="16"/>
      <c r="E18" s="16"/>
      <c r="F18" s="16"/>
      <c r="G18" s="16"/>
      <c r="H18" s="16"/>
      <c r="I18" s="16"/>
      <c r="J18" s="16"/>
      <c r="K18" s="16"/>
      <c r="L18" s="16"/>
      <c r="M18" s="16"/>
      <c r="N18" s="16"/>
      <c r="O18" s="16"/>
      <c r="P18" s="7"/>
      <c r="Q18" s="7"/>
      <c r="R18" s="7"/>
      <c r="S18" s="7"/>
    </row>
    <row r="19" spans="1:23" x14ac:dyDescent="0.35">
      <c r="A19" s="4" t="s">
        <v>42</v>
      </c>
    </row>
    <row r="20" spans="1:23" x14ac:dyDescent="0.35">
      <c r="A20" s="38" t="s">
        <v>325</v>
      </c>
      <c r="B20" s="8"/>
      <c r="C20" s="8"/>
      <c r="D20" s="8"/>
    </row>
    <row r="22" spans="1:23" x14ac:dyDescent="0.35">
      <c r="C22" s="215" t="s">
        <v>318</v>
      </c>
      <c r="D22" s="215"/>
      <c r="E22" s="215" t="s">
        <v>534</v>
      </c>
      <c r="F22" s="216"/>
      <c r="G22" s="216" t="s">
        <v>66</v>
      </c>
      <c r="H22" s="209"/>
      <c r="I22"/>
      <c r="J22" s="4" t="s">
        <v>192</v>
      </c>
      <c r="L22" s="4" t="s">
        <v>193</v>
      </c>
    </row>
    <row r="23" spans="1:23" x14ac:dyDescent="0.35">
      <c r="C23" s="215" t="s">
        <v>535</v>
      </c>
      <c r="D23" s="215"/>
      <c r="E23" s="215" t="s">
        <v>321</v>
      </c>
      <c r="F23" s="216"/>
      <c r="G23" s="216" t="s">
        <v>536</v>
      </c>
      <c r="H23" s="209"/>
      <c r="I23"/>
      <c r="J23" s="4" t="s">
        <v>68</v>
      </c>
      <c r="L23" s="4" t="s">
        <v>68</v>
      </c>
    </row>
    <row r="24" spans="1:23" x14ac:dyDescent="0.35">
      <c r="C24" s="217"/>
      <c r="D24" s="217"/>
      <c r="E24" s="217"/>
      <c r="F24" s="218"/>
      <c r="G24" s="218"/>
    </row>
    <row r="25" spans="1:23" x14ac:dyDescent="0.35">
      <c r="A25" s="4" t="s">
        <v>70</v>
      </c>
      <c r="C25" s="215">
        <v>234.11600000000001</v>
      </c>
      <c r="D25" s="215"/>
      <c r="E25" s="215">
        <v>779.76969999999994</v>
      </c>
      <c r="F25" s="218"/>
      <c r="G25" s="217">
        <f>E25-C25</f>
        <v>545.65369999999996</v>
      </c>
      <c r="J25" s="219">
        <f>6.7+4.1</f>
        <v>10.8</v>
      </c>
      <c r="L25" s="217">
        <f>E25-J25</f>
        <v>768.96969999999999</v>
      </c>
    </row>
    <row r="26" spans="1:23" x14ac:dyDescent="0.35">
      <c r="A26" s="4" t="s">
        <v>71</v>
      </c>
      <c r="C26" s="215">
        <v>2438.3798000000002</v>
      </c>
      <c r="D26" s="215"/>
      <c r="E26" s="215">
        <v>2454.0520000000001</v>
      </c>
      <c r="F26" s="218"/>
      <c r="G26" s="217">
        <f>E26-C26</f>
        <v>15.672199999999975</v>
      </c>
      <c r="J26" s="219">
        <v>995</v>
      </c>
      <c r="L26" s="217">
        <f>E26-J26</f>
        <v>1459.0520000000001</v>
      </c>
    </row>
    <row r="27" spans="1:23" x14ac:dyDescent="0.35">
      <c r="A27" s="4" t="s">
        <v>72</v>
      </c>
      <c r="C27" s="215">
        <v>1374.4063000000001</v>
      </c>
      <c r="D27" s="215"/>
      <c r="E27" s="215">
        <v>1169.9449999999999</v>
      </c>
      <c r="F27" s="218"/>
      <c r="G27" s="217">
        <f>E27-C27</f>
        <v>-204.46130000000016</v>
      </c>
      <c r="J27" s="219">
        <f>287.8+0.2</f>
        <v>288</v>
      </c>
      <c r="L27" s="217">
        <f>E27-J27</f>
        <v>881.94499999999994</v>
      </c>
    </row>
    <row r="28" spans="1:23" x14ac:dyDescent="0.35">
      <c r="A28" s="4" t="s">
        <v>62</v>
      </c>
      <c r="C28" s="215">
        <v>4046.9021000000002</v>
      </c>
      <c r="D28" s="215"/>
      <c r="E28" s="215">
        <v>4403.7667000000001</v>
      </c>
      <c r="F28" s="218"/>
      <c r="G28" s="217">
        <f>E28-C28</f>
        <v>356.86459999999988</v>
      </c>
      <c r="J28" s="219">
        <v>1293.8</v>
      </c>
      <c r="L28" s="217">
        <f>E28-J28</f>
        <v>3109.9666999999999</v>
      </c>
    </row>
    <row r="29" spans="1:23" x14ac:dyDescent="0.35">
      <c r="J29" s="220"/>
    </row>
    <row r="30" spans="1:23" x14ac:dyDescent="0.35">
      <c r="A30" s="4" t="s">
        <v>81</v>
      </c>
      <c r="P30" s="4" t="s">
        <v>195</v>
      </c>
    </row>
    <row r="31" spans="1:23" x14ac:dyDescent="0.35">
      <c r="P31" s="4" t="s">
        <v>196</v>
      </c>
    </row>
    <row r="32" spans="1:23" x14ac:dyDescent="0.35">
      <c r="G32" s="8" t="s">
        <v>73</v>
      </c>
      <c r="H32" s="8"/>
      <c r="I32" s="8"/>
      <c r="J32" s="8"/>
      <c r="K32" s="8"/>
      <c r="L32" s="8" t="s">
        <v>75</v>
      </c>
      <c r="M32" s="8"/>
      <c r="N32" s="8"/>
      <c r="O32" s="8"/>
      <c r="P32" s="8" t="s">
        <v>194</v>
      </c>
      <c r="Q32" s="8"/>
      <c r="R32" s="8"/>
      <c r="U32" s="8"/>
      <c r="V32" s="8"/>
      <c r="W32" s="8"/>
    </row>
    <row r="33" spans="1:23" x14ac:dyDescent="0.35">
      <c r="G33" s="8" t="s">
        <v>74</v>
      </c>
      <c r="H33" s="8"/>
      <c r="I33" s="8" t="s">
        <v>72</v>
      </c>
      <c r="J33" s="8"/>
      <c r="K33" s="8"/>
      <c r="L33" s="8" t="s">
        <v>74</v>
      </c>
      <c r="M33" s="8"/>
      <c r="N33" s="8" t="s">
        <v>72</v>
      </c>
      <c r="O33" s="8"/>
      <c r="P33" s="8" t="s">
        <v>74</v>
      </c>
      <c r="Q33" s="8"/>
      <c r="R33" s="8" t="s">
        <v>72</v>
      </c>
      <c r="U33" s="8"/>
      <c r="V33" s="8"/>
      <c r="W33" s="8"/>
    </row>
    <row r="34" spans="1:23" x14ac:dyDescent="0.35">
      <c r="A34" s="39" t="s">
        <v>175</v>
      </c>
      <c r="W34" s="40"/>
    </row>
    <row r="35" spans="1:23" x14ac:dyDescent="0.35">
      <c r="D35" s="12" t="s">
        <v>76</v>
      </c>
      <c r="T35" s="39"/>
    </row>
    <row r="36" spans="1:23" x14ac:dyDescent="0.35">
      <c r="D36" s="4" t="s">
        <v>70</v>
      </c>
      <c r="G36" s="221">
        <v>4.0202802362724244</v>
      </c>
      <c r="H36" s="221"/>
      <c r="I36" s="221">
        <v>1.7356879469923003</v>
      </c>
      <c r="J36" s="221"/>
      <c r="K36" s="221"/>
      <c r="L36" s="221">
        <v>17.149013949435474</v>
      </c>
      <c r="M36" s="221"/>
      <c r="N36" s="221">
        <v>5.3856144896683329</v>
      </c>
      <c r="P36" s="221">
        <v>8.0059524144868615</v>
      </c>
      <c r="Q36" s="221"/>
      <c r="R36" s="221">
        <v>5.9145679451497877</v>
      </c>
    </row>
    <row r="37" spans="1:23" x14ac:dyDescent="0.35">
      <c r="D37" s="4" t="s">
        <v>71</v>
      </c>
      <c r="G37" s="221">
        <v>50.016463865317704</v>
      </c>
      <c r="H37" s="221"/>
      <c r="I37" s="221">
        <v>5.3701924275809185</v>
      </c>
      <c r="J37" s="221"/>
      <c r="K37" s="221"/>
      <c r="L37" s="221">
        <v>40.464394517360411</v>
      </c>
      <c r="M37" s="221"/>
      <c r="N37" s="221">
        <v>6.6561797037231818</v>
      </c>
      <c r="P37" s="221">
        <v>37.01395592066514</v>
      </c>
      <c r="Q37" s="221"/>
      <c r="R37" s="221">
        <v>10.916212151478616</v>
      </c>
    </row>
    <row r="38" spans="1:23" x14ac:dyDescent="0.35">
      <c r="D38" s="4" t="s">
        <v>72</v>
      </c>
      <c r="G38" s="221">
        <v>32.987131859472463</v>
      </c>
      <c r="H38" s="221"/>
      <c r="I38" s="221">
        <v>88.071341583956851</v>
      </c>
      <c r="J38" s="221"/>
      <c r="K38" s="221"/>
      <c r="L38" s="221">
        <v>23.429508463739637</v>
      </c>
      <c r="M38" s="221"/>
      <c r="N38" s="221">
        <v>80.900758267445397</v>
      </c>
      <c r="P38" s="221">
        <v>14.881202990786226</v>
      </c>
      <c r="Q38" s="221"/>
      <c r="R38" s="221">
        <v>76.68437492495849</v>
      </c>
    </row>
    <row r="39" spans="1:23" x14ac:dyDescent="0.35">
      <c r="D39" s="4" t="s">
        <v>77</v>
      </c>
      <c r="G39" s="221">
        <v>87.0238759610626</v>
      </c>
      <c r="H39" s="221"/>
      <c r="I39" s="221">
        <v>95.177221874750998</v>
      </c>
      <c r="J39" s="221"/>
      <c r="K39" s="221"/>
      <c r="L39" s="221">
        <v>81.042916930535497</v>
      </c>
      <c r="M39" s="221"/>
      <c r="N39" s="221">
        <v>92.942552550455218</v>
      </c>
      <c r="P39" s="221">
        <v>59.901111325938224</v>
      </c>
      <c r="Q39" s="221"/>
      <c r="R39" s="221">
        <v>93.51515524148877</v>
      </c>
    </row>
    <row r="40" spans="1:23" x14ac:dyDescent="0.35">
      <c r="D40" s="4" t="s">
        <v>78</v>
      </c>
      <c r="G40" s="221">
        <v>69.246845797821081</v>
      </c>
      <c r="H40" s="221"/>
      <c r="I40" s="221">
        <v>86.736365991658886</v>
      </c>
      <c r="J40" s="221"/>
      <c r="K40" s="221"/>
      <c r="L40" s="221">
        <v>65.487226153179719</v>
      </c>
      <c r="M40" s="221"/>
      <c r="N40" s="221">
        <v>86.786285811208714</v>
      </c>
      <c r="P40" s="222"/>
      <c r="Q40" s="222"/>
      <c r="R40" s="222"/>
    </row>
    <row r="41" spans="1:23" x14ac:dyDescent="0.35">
      <c r="D41" s="4" t="s">
        <v>79</v>
      </c>
      <c r="G41" s="221">
        <v>17.777030163241523</v>
      </c>
      <c r="H41" s="221"/>
      <c r="I41" s="221">
        <v>8.4408558830921159</v>
      </c>
      <c r="J41" s="221"/>
      <c r="K41" s="221"/>
      <c r="L41" s="221">
        <v>15.555690777355789</v>
      </c>
      <c r="M41" s="221"/>
      <c r="N41" s="221">
        <v>6.1562667392465098</v>
      </c>
      <c r="P41" s="222"/>
      <c r="Q41" s="222"/>
      <c r="R41" s="222"/>
    </row>
    <row r="42" spans="1:23" x14ac:dyDescent="0.35">
      <c r="D42" s="12" t="s">
        <v>80</v>
      </c>
      <c r="G42" s="139"/>
      <c r="H42" s="139"/>
      <c r="I42" s="139"/>
      <c r="J42" s="139"/>
      <c r="K42" s="139"/>
      <c r="L42" s="139"/>
      <c r="M42" s="139"/>
      <c r="N42" s="139"/>
      <c r="O42" s="15"/>
      <c r="P42" s="222"/>
      <c r="Q42" s="222"/>
      <c r="R42" s="222"/>
      <c r="T42" s="39"/>
    </row>
    <row r="43" spans="1:23" x14ac:dyDescent="0.35">
      <c r="D43" s="4" t="s">
        <v>70</v>
      </c>
      <c r="G43" s="221">
        <v>5.5076502774389953</v>
      </c>
      <c r="H43" s="221"/>
      <c r="I43" s="221">
        <v>1.9054870202797327</v>
      </c>
      <c r="J43" s="221"/>
      <c r="K43" s="221"/>
      <c r="L43" s="221">
        <v>1.269359786209757</v>
      </c>
      <c r="M43" s="221"/>
      <c r="N43" s="221">
        <v>0.44452758595204672</v>
      </c>
      <c r="P43" s="221">
        <v>7.2765966107177338</v>
      </c>
      <c r="Q43" s="221"/>
      <c r="R43" s="221">
        <v>2.0371989092515093</v>
      </c>
    </row>
    <row r="44" spans="1:23" x14ac:dyDescent="0.35">
      <c r="D44" s="4" t="s">
        <v>71</v>
      </c>
      <c r="G44" s="221">
        <v>3.2633024933663304</v>
      </c>
      <c r="H44" s="221"/>
      <c r="I44" s="221">
        <v>0.93139280034231919</v>
      </c>
      <c r="J44" s="221"/>
      <c r="K44" s="221"/>
      <c r="L44" s="221">
        <v>7.7845993601814998</v>
      </c>
      <c r="M44" s="221"/>
      <c r="N44" s="221">
        <v>1.9866155284916747</v>
      </c>
      <c r="P44" s="221">
        <v>14.269773198522678</v>
      </c>
      <c r="Q44" s="221"/>
      <c r="R44" s="221">
        <v>1.6111524380037239</v>
      </c>
    </row>
    <row r="45" spans="1:23" x14ac:dyDescent="0.35">
      <c r="D45" s="4" t="s">
        <v>72</v>
      </c>
      <c r="G45" s="221">
        <v>4.2051712681320756</v>
      </c>
      <c r="H45" s="221"/>
      <c r="I45" s="221">
        <v>1.9858982208479115</v>
      </c>
      <c r="J45" s="221"/>
      <c r="K45" s="221"/>
      <c r="L45" s="221">
        <v>9.9031239230732506</v>
      </c>
      <c r="M45" s="221"/>
      <c r="N45" s="221">
        <v>4.6263042454827437</v>
      </c>
      <c r="P45" s="221">
        <v>18.552518797951411</v>
      </c>
      <c r="Q45" s="221"/>
      <c r="R45" s="221">
        <v>2.8364936311578761</v>
      </c>
    </row>
    <row r="46" spans="1:23" x14ac:dyDescent="0.35">
      <c r="D46" s="4" t="s">
        <v>62</v>
      </c>
      <c r="G46" s="221">
        <v>12.976124038937401</v>
      </c>
      <c r="H46" s="221"/>
      <c r="I46" s="221">
        <v>4.8227781252489947</v>
      </c>
      <c r="J46" s="221"/>
      <c r="K46" s="221"/>
      <c r="L46" s="221">
        <v>18.957083069464506</v>
      </c>
      <c r="M46" s="221"/>
      <c r="N46" s="221">
        <v>7.0574474495447825</v>
      </c>
      <c r="P46" s="221">
        <v>40.098888674061776</v>
      </c>
      <c r="Q46" s="221"/>
      <c r="R46" s="221">
        <v>6.4848447585112359</v>
      </c>
    </row>
    <row r="47" spans="1:23" x14ac:dyDescent="0.35">
      <c r="D47" s="12" t="s">
        <v>62</v>
      </c>
      <c r="G47" s="221">
        <v>100</v>
      </c>
      <c r="H47" s="221"/>
      <c r="I47" s="221">
        <v>100</v>
      </c>
      <c r="J47" s="221"/>
      <c r="K47" s="221"/>
      <c r="L47" s="221">
        <v>100</v>
      </c>
      <c r="M47" s="221"/>
      <c r="N47" s="221">
        <v>100</v>
      </c>
      <c r="P47" s="221">
        <v>100</v>
      </c>
      <c r="Q47" s="221"/>
      <c r="R47" s="221">
        <v>100</v>
      </c>
    </row>
    <row r="49" spans="1:21" x14ac:dyDescent="0.35">
      <c r="A49" s="4" t="s">
        <v>81</v>
      </c>
    </row>
    <row r="50" spans="1:21" x14ac:dyDescent="0.35">
      <c r="P50" s="8" t="s">
        <v>194</v>
      </c>
      <c r="Q50" s="8"/>
      <c r="R50" s="8"/>
    </row>
    <row r="51" spans="1:21" x14ac:dyDescent="0.35">
      <c r="A51" s="39" t="s">
        <v>82</v>
      </c>
      <c r="P51" s="8" t="s">
        <v>74</v>
      </c>
      <c r="Q51" s="8"/>
      <c r="R51" s="8" t="s">
        <v>72</v>
      </c>
    </row>
    <row r="52" spans="1:21" x14ac:dyDescent="0.35">
      <c r="D52" s="13" t="s">
        <v>83</v>
      </c>
      <c r="G52" s="60">
        <v>0.36436041834271921</v>
      </c>
      <c r="H52" s="60"/>
      <c r="I52" s="60">
        <v>0.36610619469026545</v>
      </c>
      <c r="J52" s="60"/>
      <c r="K52" s="60"/>
      <c r="L52" s="60">
        <v>0.61837084673097542</v>
      </c>
      <c r="M52" s="60"/>
      <c r="N52" s="60">
        <v>0.55011789924973198</v>
      </c>
      <c r="P52" s="63">
        <v>0.67</v>
      </c>
      <c r="Q52" s="63"/>
      <c r="R52" s="63">
        <v>0.63</v>
      </c>
    </row>
    <row r="53" spans="1:21" x14ac:dyDescent="0.35">
      <c r="D53" s="13"/>
      <c r="G53" s="55" t="s">
        <v>204</v>
      </c>
      <c r="H53" s="55"/>
      <c r="I53" s="55"/>
      <c r="J53" s="55"/>
      <c r="K53" s="55"/>
      <c r="L53" s="55"/>
      <c r="M53" s="55"/>
      <c r="N53" s="55"/>
      <c r="O53" s="15"/>
      <c r="P53" s="15" t="s">
        <v>203</v>
      </c>
      <c r="Q53" s="15"/>
      <c r="R53" s="15"/>
      <c r="S53" s="15"/>
    </row>
    <row r="54" spans="1:21" x14ac:dyDescent="0.35">
      <c r="D54" s="13" t="s">
        <v>89</v>
      </c>
      <c r="G54" s="55">
        <f>1-G52</f>
        <v>0.63563958165728085</v>
      </c>
      <c r="H54" s="55"/>
      <c r="I54" s="55">
        <f>1-I52</f>
        <v>0.63389380530973449</v>
      </c>
      <c r="J54" s="55"/>
      <c r="K54" s="55"/>
      <c r="L54" s="55">
        <f>1-L52</f>
        <v>0.38162915326902458</v>
      </c>
      <c r="M54" s="55"/>
      <c r="N54" s="55">
        <f>1-N52</f>
        <v>0.44988210075026802</v>
      </c>
      <c r="P54" s="55">
        <f>1-P52</f>
        <v>0.32999999999999996</v>
      </c>
      <c r="Q54" s="55"/>
      <c r="R54" s="55">
        <f>1-R52</f>
        <v>0.37</v>
      </c>
      <c r="U54" s="4" t="s">
        <v>208</v>
      </c>
    </row>
    <row r="55" spans="1:21" x14ac:dyDescent="0.35">
      <c r="D55" s="13"/>
      <c r="E55" s="4" t="s">
        <v>205</v>
      </c>
      <c r="G55" s="55"/>
      <c r="H55" s="55"/>
      <c r="I55" s="55"/>
      <c r="J55" s="55"/>
      <c r="K55" s="55"/>
      <c r="L55" s="55"/>
      <c r="M55" s="55"/>
      <c r="N55" s="55"/>
      <c r="P55" s="55"/>
      <c r="Q55" s="55"/>
      <c r="R55" s="55"/>
    </row>
    <row r="56" spans="1:21" x14ac:dyDescent="0.35">
      <c r="D56" s="13"/>
      <c r="E56" s="4" t="s">
        <v>240</v>
      </c>
      <c r="G56" s="55"/>
      <c r="H56" s="55"/>
      <c r="I56" s="55"/>
      <c r="J56" s="55"/>
      <c r="K56" s="55"/>
      <c r="L56" s="55"/>
      <c r="M56" s="55"/>
      <c r="N56" s="55"/>
      <c r="P56" s="55"/>
      <c r="Q56" s="55"/>
      <c r="R56" s="55"/>
    </row>
    <row r="57" spans="1:21" x14ac:dyDescent="0.35">
      <c r="D57" s="13"/>
      <c r="E57" s="4" t="s">
        <v>241</v>
      </c>
      <c r="G57" s="55"/>
      <c r="H57" s="55"/>
      <c r="I57" s="55"/>
      <c r="J57" s="55"/>
      <c r="K57" s="55"/>
      <c r="L57" s="55"/>
      <c r="M57" s="55"/>
      <c r="N57" s="55"/>
      <c r="P57" s="55"/>
      <c r="Q57" s="55"/>
      <c r="R57" s="55"/>
    </row>
    <row r="58" spans="1:21" x14ac:dyDescent="0.35">
      <c r="D58" s="13" t="s">
        <v>84</v>
      </c>
      <c r="G58" s="223">
        <v>0.55071951610330594</v>
      </c>
      <c r="H58" s="60"/>
      <c r="I58" s="223">
        <v>0.59704079444955993</v>
      </c>
      <c r="J58" s="60"/>
      <c r="K58" s="60"/>
      <c r="L58" s="224">
        <v>3.9213192766716254E-2</v>
      </c>
      <c r="M58" s="60"/>
      <c r="N58" s="224">
        <v>0.15441578795580541</v>
      </c>
      <c r="P58" s="224">
        <v>3.9213192766716254E-2</v>
      </c>
      <c r="Q58" s="60"/>
      <c r="R58" s="224">
        <v>0.15441578795580541</v>
      </c>
    </row>
    <row r="59" spans="1:21" x14ac:dyDescent="0.35">
      <c r="D59" s="13" t="s">
        <v>85</v>
      </c>
      <c r="G59" s="223">
        <v>0.41426878118864519</v>
      </c>
      <c r="H59" s="60"/>
      <c r="I59" s="223">
        <v>0.37030846891144098</v>
      </c>
      <c r="J59" s="60"/>
      <c r="K59" s="60"/>
      <c r="L59" s="224">
        <v>0.35986180434274284</v>
      </c>
      <c r="M59" s="60"/>
      <c r="N59" s="224">
        <v>0.39340574332576039</v>
      </c>
      <c r="P59" s="224">
        <v>0.35986180434274284</v>
      </c>
      <c r="Q59" s="60"/>
      <c r="R59" s="224">
        <v>0.39340574332576039</v>
      </c>
    </row>
    <row r="60" spans="1:21" x14ac:dyDescent="0.35">
      <c r="D60" s="13" t="s">
        <v>86</v>
      </c>
      <c r="G60" s="223">
        <v>0.96498829729195101</v>
      </c>
      <c r="H60" s="60"/>
      <c r="I60" s="223">
        <v>0.96734926336100102</v>
      </c>
      <c r="J60" s="60"/>
      <c r="K60" s="60"/>
      <c r="L60" s="224">
        <v>0.39907499710945915</v>
      </c>
      <c r="M60" s="60"/>
      <c r="N60" s="224">
        <v>0.54782153128156574</v>
      </c>
      <c r="P60" s="224">
        <v>0.39907499710945915</v>
      </c>
      <c r="Q60" s="60"/>
      <c r="R60" s="224">
        <v>0.54782153128156574</v>
      </c>
    </row>
    <row r="61" spans="1:21" x14ac:dyDescent="0.35">
      <c r="D61" s="13" t="s">
        <v>87</v>
      </c>
      <c r="G61" s="223">
        <v>0.44928048389669423</v>
      </c>
      <c r="H61" s="60"/>
      <c r="I61" s="223">
        <v>0.40295920555043985</v>
      </c>
      <c r="J61" s="60"/>
      <c r="K61" s="60"/>
      <c r="L61" s="224">
        <v>0.96078680723328369</v>
      </c>
      <c r="M61" s="60"/>
      <c r="N61" s="224">
        <v>0.84558421204419454</v>
      </c>
      <c r="P61" s="224">
        <v>0.96078680723328369</v>
      </c>
      <c r="Q61" s="60"/>
      <c r="R61" s="224">
        <v>0.84558421204419454</v>
      </c>
    </row>
    <row r="62" spans="1:21" x14ac:dyDescent="0.35">
      <c r="D62" s="13" t="s">
        <v>88</v>
      </c>
      <c r="G62" s="223">
        <v>3.5011702708048993E-2</v>
      </c>
      <c r="H62" s="60"/>
      <c r="I62" s="223">
        <v>3.2650736638998895E-2</v>
      </c>
      <c r="J62" s="60"/>
      <c r="K62" s="60"/>
      <c r="L62" s="224">
        <v>0.60092500289054074</v>
      </c>
      <c r="M62" s="60"/>
      <c r="N62" s="224">
        <v>0.4521784687184342</v>
      </c>
      <c r="P62" s="224">
        <v>0.60092500289054074</v>
      </c>
      <c r="Q62" s="60"/>
      <c r="R62" s="224">
        <v>0.4521784687184342</v>
      </c>
    </row>
    <row r="63" spans="1:21" x14ac:dyDescent="0.35">
      <c r="D63" s="13"/>
      <c r="G63" s="15" t="s">
        <v>206</v>
      </c>
      <c r="H63" s="15"/>
      <c r="I63" s="15" t="s">
        <v>206</v>
      </c>
      <c r="J63" s="15"/>
      <c r="K63" s="15"/>
      <c r="L63" s="15" t="s">
        <v>207</v>
      </c>
      <c r="M63" s="15"/>
      <c r="N63" s="15" t="s">
        <v>207</v>
      </c>
      <c r="O63" s="15"/>
      <c r="P63" s="15" t="s">
        <v>207</v>
      </c>
      <c r="Q63" s="15"/>
      <c r="R63" s="15" t="s">
        <v>207</v>
      </c>
      <c r="S63" s="15"/>
    </row>
    <row r="64" spans="1:21" x14ac:dyDescent="0.35">
      <c r="G64" s="15" t="s">
        <v>223</v>
      </c>
      <c r="H64" s="15"/>
      <c r="I64" s="15" t="s">
        <v>223</v>
      </c>
      <c r="J64" s="15"/>
      <c r="K64" s="15"/>
      <c r="L64" s="15" t="s">
        <v>223</v>
      </c>
      <c r="M64" s="15"/>
      <c r="N64" s="15"/>
      <c r="O64" s="15"/>
      <c r="P64" s="15" t="s">
        <v>223</v>
      </c>
      <c r="Q64" s="15"/>
      <c r="R64" s="15"/>
      <c r="S64" s="15"/>
      <c r="T64" s="15"/>
    </row>
    <row r="65" spans="3:20" x14ac:dyDescent="0.35">
      <c r="G65" s="15" t="s">
        <v>224</v>
      </c>
      <c r="H65" s="15"/>
      <c r="I65" s="15" t="s">
        <v>225</v>
      </c>
      <c r="J65" s="15"/>
      <c r="K65" s="15"/>
      <c r="L65" s="15" t="s">
        <v>226</v>
      </c>
      <c r="M65" s="15"/>
      <c r="N65" s="15" t="s">
        <v>209</v>
      </c>
      <c r="O65" s="15"/>
      <c r="P65" s="15" t="s">
        <v>226</v>
      </c>
      <c r="Q65" s="15"/>
      <c r="R65" s="15" t="s">
        <v>209</v>
      </c>
      <c r="S65" s="15"/>
      <c r="T65" s="15"/>
    </row>
    <row r="66" spans="3:20" x14ac:dyDescent="0.35">
      <c r="G66" s="15" t="s">
        <v>227</v>
      </c>
      <c r="H66" s="15"/>
      <c r="I66" s="15" t="s">
        <v>228</v>
      </c>
      <c r="J66" s="15"/>
      <c r="K66" s="15"/>
      <c r="L66" s="15" t="s">
        <v>227</v>
      </c>
      <c r="M66" s="15"/>
      <c r="N66" s="15"/>
      <c r="O66" s="15"/>
      <c r="P66" s="15" t="s">
        <v>227</v>
      </c>
      <c r="Q66" s="15"/>
      <c r="R66" s="15"/>
      <c r="S66" s="15"/>
      <c r="T66" s="15"/>
    </row>
    <row r="67" spans="3:20" x14ac:dyDescent="0.35">
      <c r="G67" s="15" t="s">
        <v>210</v>
      </c>
      <c r="H67" s="15"/>
      <c r="I67" s="15" t="s">
        <v>216</v>
      </c>
      <c r="J67" s="15"/>
      <c r="K67" s="15"/>
      <c r="L67" s="15" t="s">
        <v>220</v>
      </c>
      <c r="M67" s="15"/>
      <c r="N67" s="15"/>
      <c r="O67" s="15"/>
      <c r="P67" s="15" t="s">
        <v>220</v>
      </c>
      <c r="Q67" s="15"/>
      <c r="R67" s="15"/>
      <c r="S67" s="15"/>
      <c r="T67" s="15"/>
    </row>
    <row r="68" spans="3:20" x14ac:dyDescent="0.35">
      <c r="G68" s="15" t="s">
        <v>211</v>
      </c>
      <c r="H68" s="15"/>
      <c r="I68" s="15" t="s">
        <v>211</v>
      </c>
      <c r="J68" s="15"/>
      <c r="K68" s="15"/>
      <c r="L68" s="15" t="s">
        <v>211</v>
      </c>
      <c r="M68" s="15"/>
      <c r="N68" s="15"/>
      <c r="O68" s="15"/>
      <c r="P68" s="15" t="s">
        <v>211</v>
      </c>
      <c r="Q68" s="15"/>
      <c r="R68" s="15"/>
      <c r="S68" s="15"/>
      <c r="T68" s="15"/>
    </row>
    <row r="69" spans="3:20" x14ac:dyDescent="0.35">
      <c r="G69" s="15" t="s">
        <v>212</v>
      </c>
      <c r="H69" s="15"/>
      <c r="I69" s="15" t="s">
        <v>212</v>
      </c>
      <c r="J69" s="15"/>
      <c r="K69" s="15"/>
      <c r="L69" s="15" t="s">
        <v>212</v>
      </c>
      <c r="M69" s="15"/>
      <c r="N69" s="15"/>
      <c r="O69" s="15"/>
      <c r="P69" s="15" t="s">
        <v>212</v>
      </c>
      <c r="Q69" s="15"/>
      <c r="R69" s="15"/>
      <c r="S69" s="15"/>
      <c r="T69" s="15"/>
    </row>
    <row r="70" spans="3:20" x14ac:dyDescent="0.35">
      <c r="G70" s="15" t="s">
        <v>213</v>
      </c>
      <c r="H70" s="15"/>
      <c r="I70" s="15" t="s">
        <v>217</v>
      </c>
      <c r="J70" s="15"/>
      <c r="K70" s="15"/>
      <c r="L70" s="15" t="s">
        <v>221</v>
      </c>
      <c r="M70" s="15"/>
      <c r="N70" s="15"/>
      <c r="O70" s="15"/>
      <c r="P70" s="15" t="s">
        <v>222</v>
      </c>
      <c r="Q70" s="15"/>
      <c r="R70" s="15"/>
      <c r="S70" s="15"/>
      <c r="T70" s="15"/>
    </row>
    <row r="71" spans="3:20" x14ac:dyDescent="0.35">
      <c r="G71" s="15" t="s">
        <v>214</v>
      </c>
      <c r="H71" s="15"/>
      <c r="I71" s="15" t="s">
        <v>218</v>
      </c>
      <c r="J71" s="15"/>
      <c r="K71" s="15"/>
      <c r="L71" s="15" t="s">
        <v>214</v>
      </c>
      <c r="M71" s="15"/>
      <c r="N71" s="15"/>
      <c r="O71" s="15"/>
      <c r="P71" s="15" t="s">
        <v>214</v>
      </c>
      <c r="Q71" s="15"/>
      <c r="R71" s="15"/>
      <c r="S71" s="15"/>
      <c r="T71" s="15"/>
    </row>
    <row r="72" spans="3:20" x14ac:dyDescent="0.35">
      <c r="G72" s="15" t="s">
        <v>215</v>
      </c>
      <c r="H72" s="15"/>
      <c r="I72" s="15" t="s">
        <v>219</v>
      </c>
      <c r="J72" s="15"/>
      <c r="K72" s="15"/>
      <c r="L72" s="15" t="s">
        <v>215</v>
      </c>
      <c r="M72" s="15"/>
      <c r="N72" s="15"/>
      <c r="O72" s="15"/>
      <c r="P72" s="15" t="s">
        <v>215</v>
      </c>
      <c r="Q72" s="15"/>
      <c r="R72" s="15"/>
      <c r="S72" s="15"/>
      <c r="T72" s="15"/>
    </row>
    <row r="73" spans="3:20" x14ac:dyDescent="0.35">
      <c r="C73" s="39" t="s">
        <v>234</v>
      </c>
      <c r="G73" s="15"/>
      <c r="H73" s="15"/>
      <c r="I73" s="15"/>
      <c r="J73" s="15"/>
      <c r="K73" s="15"/>
      <c r="L73" s="15"/>
      <c r="M73" s="15"/>
      <c r="N73" s="15"/>
      <c r="O73" s="15"/>
      <c r="P73" s="15"/>
      <c r="Q73" s="15"/>
      <c r="R73" s="15"/>
      <c r="S73" s="15"/>
      <c r="T73" s="15"/>
    </row>
    <row r="74" spans="3:20" x14ac:dyDescent="0.35">
      <c r="C74" s="4" t="s">
        <v>233</v>
      </c>
      <c r="G74" s="31" t="s">
        <v>229</v>
      </c>
      <c r="H74" s="31"/>
      <c r="I74" s="31" t="s">
        <v>230</v>
      </c>
      <c r="J74" s="31"/>
      <c r="K74" s="31"/>
      <c r="L74" s="31" t="s">
        <v>231</v>
      </c>
      <c r="M74" s="31"/>
      <c r="N74" s="31" t="s">
        <v>232</v>
      </c>
      <c r="O74" s="31"/>
      <c r="P74" s="31" t="s">
        <v>231</v>
      </c>
      <c r="Q74" s="31"/>
      <c r="R74" s="31" t="s">
        <v>232</v>
      </c>
      <c r="S74" s="31"/>
      <c r="T74" s="15"/>
    </row>
    <row r="75" spans="3:20" x14ac:dyDescent="0.35">
      <c r="C75" s="4" t="s">
        <v>235</v>
      </c>
      <c r="G75" s="63">
        <v>83.5</v>
      </c>
      <c r="H75" s="63"/>
      <c r="I75" s="63">
        <v>75.900000000000006</v>
      </c>
      <c r="J75" s="63"/>
      <c r="K75" s="63"/>
      <c r="L75" s="63">
        <v>57.4</v>
      </c>
      <c r="M75" s="63"/>
      <c r="N75" s="63">
        <v>75.900000000000006</v>
      </c>
      <c r="P75" s="63">
        <v>57.4</v>
      </c>
      <c r="Q75" s="63"/>
      <c r="R75" s="63">
        <v>75.900000000000006</v>
      </c>
      <c r="S75" s="15"/>
      <c r="T75" s="15"/>
    </row>
    <row r="76" spans="3:20" x14ac:dyDescent="0.35">
      <c r="C76" s="4" t="s">
        <v>236</v>
      </c>
      <c r="G76" s="31" t="s">
        <v>139</v>
      </c>
      <c r="H76" s="31"/>
      <c r="I76" s="31" t="s">
        <v>140</v>
      </c>
      <c r="J76" s="15"/>
      <c r="K76" s="15"/>
      <c r="L76" s="31" t="s">
        <v>139</v>
      </c>
      <c r="M76" s="31"/>
      <c r="N76" s="31" t="s">
        <v>140</v>
      </c>
      <c r="O76" s="15"/>
      <c r="P76" s="31" t="s">
        <v>139</v>
      </c>
      <c r="Q76" s="31"/>
      <c r="R76" s="31" t="s">
        <v>140</v>
      </c>
      <c r="S76" s="15"/>
      <c r="T76" s="15"/>
    </row>
    <row r="77" spans="3:20" x14ac:dyDescent="0.35">
      <c r="D77" s="4" t="s">
        <v>237</v>
      </c>
      <c r="G77" s="26">
        <f>C26*G37/100</f>
        <v>1219.5913515662062</v>
      </c>
      <c r="H77" s="26"/>
      <c r="I77" s="26">
        <f>C27*I38/100</f>
        <v>1210.4580672244228</v>
      </c>
      <c r="J77" s="26"/>
      <c r="K77" s="26"/>
      <c r="L77" s="26">
        <f>E26*L37/100</f>
        <v>993.01728294117356</v>
      </c>
      <c r="M77" s="26"/>
      <c r="N77" s="26"/>
      <c r="O77" s="26"/>
      <c r="P77" s="26">
        <f>J26*P37/100</f>
        <v>368.2888614106181</v>
      </c>
      <c r="Q77" s="26"/>
      <c r="R77" s="26"/>
      <c r="S77" s="15"/>
      <c r="T77" s="15"/>
    </row>
    <row r="78" spans="3:20" x14ac:dyDescent="0.35">
      <c r="D78" s="4" t="s">
        <v>238</v>
      </c>
      <c r="G78" s="26">
        <f>C27*I37/100</f>
        <v>73.808263046795091</v>
      </c>
      <c r="H78" s="26"/>
      <c r="I78" s="26">
        <f>C26*G38/100</f>
        <v>804.35155986074096</v>
      </c>
      <c r="J78" s="26"/>
      <c r="K78" s="26"/>
      <c r="L78" s="26">
        <f>E27*N37/100</f>
        <v>77.873641634724166</v>
      </c>
      <c r="M78" s="26"/>
      <c r="N78" s="26"/>
      <c r="O78" s="26"/>
      <c r="P78" s="26">
        <f>J27*R37/100</f>
        <v>31.438690996258416</v>
      </c>
      <c r="Q78" s="26"/>
      <c r="R78" s="26"/>
      <c r="S78" s="15"/>
      <c r="T78" s="15"/>
    </row>
    <row r="79" spans="3:20" x14ac:dyDescent="0.35">
      <c r="D79" s="4" t="s">
        <v>62</v>
      </c>
      <c r="G79" s="26">
        <f>G77+G78</f>
        <v>1293.3996146130012</v>
      </c>
      <c r="H79" s="26"/>
      <c r="I79" s="26">
        <f>I77+I78</f>
        <v>2014.8096270851638</v>
      </c>
      <c r="J79" s="26"/>
      <c r="K79" s="26"/>
      <c r="L79" s="26">
        <f>L77+L78</f>
        <v>1070.8909245758978</v>
      </c>
      <c r="M79" s="26"/>
      <c r="N79" s="26"/>
      <c r="O79" s="26"/>
      <c r="P79" s="26">
        <f>P77+P78</f>
        <v>399.7275524068765</v>
      </c>
      <c r="Q79" s="26"/>
      <c r="R79" s="26"/>
      <c r="S79" s="15"/>
      <c r="T79" s="15"/>
    </row>
    <row r="80" spans="3:20" x14ac:dyDescent="0.35">
      <c r="D80" s="4" t="s">
        <v>239</v>
      </c>
      <c r="G80" s="64">
        <f>(G77*G75/100)/G79</f>
        <v>0.7873504577024989</v>
      </c>
      <c r="H80" s="64"/>
      <c r="I80" s="64">
        <f>(I77*I75/100)/I79</f>
        <v>0.45599229856394907</v>
      </c>
      <c r="J80" s="64"/>
      <c r="K80" s="64"/>
      <c r="L80" s="64">
        <f>(L77*L75/100)/L79</f>
        <v>0.53225954887419191</v>
      </c>
      <c r="M80" s="64"/>
      <c r="N80" s="64"/>
      <c r="O80" s="64"/>
      <c r="P80" s="64">
        <f>(P77*P75/100)/P79</f>
        <v>0.52885472911938836</v>
      </c>
      <c r="Q80" s="15" t="s">
        <v>242</v>
      </c>
      <c r="R80" s="15"/>
      <c r="S80" s="15"/>
      <c r="T80" s="15"/>
    </row>
    <row r="81" spans="1:19" x14ac:dyDescent="0.35">
      <c r="F81" s="15"/>
      <c r="G81" s="15"/>
      <c r="H81" s="15"/>
      <c r="I81" s="15"/>
      <c r="J81" s="15"/>
      <c r="K81" s="15"/>
      <c r="L81" s="15"/>
      <c r="M81" s="15"/>
      <c r="N81" s="15"/>
      <c r="S81" s="15"/>
    </row>
    <row r="82" spans="1:19" x14ac:dyDescent="0.35">
      <c r="A82" s="4" t="s">
        <v>90</v>
      </c>
    </row>
    <row r="83" spans="1:19" x14ac:dyDescent="0.35">
      <c r="G83" s="8" t="s">
        <v>73</v>
      </c>
      <c r="H83" s="8"/>
      <c r="I83" s="8"/>
      <c r="J83" s="8"/>
      <c r="K83" s="8"/>
      <c r="L83" s="8" t="s">
        <v>75</v>
      </c>
      <c r="M83" s="8"/>
      <c r="N83" s="8"/>
      <c r="O83" s="8"/>
    </row>
    <row r="84" spans="1:19" x14ac:dyDescent="0.35">
      <c r="G84" s="8" t="s">
        <v>74</v>
      </c>
      <c r="H84" s="8"/>
      <c r="I84" s="8" t="s">
        <v>72</v>
      </c>
      <c r="J84" s="8"/>
      <c r="K84" s="8"/>
      <c r="L84" s="8" t="s">
        <v>74</v>
      </c>
      <c r="M84" s="8"/>
      <c r="N84" s="8" t="s">
        <v>72</v>
      </c>
      <c r="O84" s="8"/>
    </row>
    <row r="85" spans="1:19" x14ac:dyDescent="0.35">
      <c r="A85" s="39" t="s">
        <v>91</v>
      </c>
    </row>
    <row r="86" spans="1:19" x14ac:dyDescent="0.35">
      <c r="A86" s="4" t="s">
        <v>98</v>
      </c>
      <c r="D86" s="4" t="s">
        <v>92</v>
      </c>
      <c r="G86" s="60">
        <v>0.26993887530562349</v>
      </c>
      <c r="H86" s="60"/>
      <c r="I86" s="60">
        <v>0.13810513447432762</v>
      </c>
      <c r="J86" s="60"/>
      <c r="K86" s="60"/>
      <c r="L86" s="60">
        <v>0.4760986066452304</v>
      </c>
      <c r="M86" s="63"/>
      <c r="N86" s="60">
        <v>0.29060021436227224</v>
      </c>
      <c r="P86" s="63">
        <v>0.63</v>
      </c>
      <c r="Q86" s="63"/>
      <c r="R86" s="63">
        <v>0.36</v>
      </c>
    </row>
    <row r="87" spans="1:19" x14ac:dyDescent="0.35">
      <c r="G87" s="55" t="s">
        <v>243</v>
      </c>
      <c r="H87" s="55"/>
      <c r="I87" s="55"/>
      <c r="J87" s="55"/>
      <c r="K87" s="55"/>
      <c r="L87" s="55"/>
      <c r="M87" s="15"/>
      <c r="N87" s="55"/>
      <c r="O87" s="15"/>
      <c r="P87" s="15"/>
      <c r="Q87" s="15"/>
    </row>
    <row r="88" spans="1:19" x14ac:dyDescent="0.35">
      <c r="A88" s="4" t="s">
        <v>100</v>
      </c>
      <c r="D88" s="4" t="s">
        <v>93</v>
      </c>
      <c r="G88" s="60">
        <v>1</v>
      </c>
      <c r="H88" s="60"/>
      <c r="I88" s="60">
        <v>1</v>
      </c>
      <c r="J88" s="60"/>
      <c r="K88" s="60"/>
      <c r="L88" s="60">
        <v>0.6</v>
      </c>
      <c r="M88" s="60"/>
      <c r="N88" s="60">
        <v>0.6</v>
      </c>
      <c r="P88" s="60">
        <v>0.6</v>
      </c>
      <c r="Q88" s="60"/>
      <c r="R88" s="60">
        <v>0.6</v>
      </c>
    </row>
    <row r="89" spans="1:19" x14ac:dyDescent="0.35">
      <c r="D89" s="4" t="s">
        <v>99</v>
      </c>
      <c r="G89" s="222">
        <f>100*G86*G88</f>
        <v>26.99388753056235</v>
      </c>
      <c r="H89" s="56"/>
      <c r="I89" s="222">
        <f>100*I86*I88</f>
        <v>13.810513447432763</v>
      </c>
      <c r="J89" s="56"/>
      <c r="K89" s="56"/>
      <c r="L89" s="222">
        <f>100*L86*L88</f>
        <v>28.565916398713824</v>
      </c>
      <c r="M89" s="56"/>
      <c r="N89" s="222">
        <f>100*N86*N88</f>
        <v>17.436012861736334</v>
      </c>
      <c r="P89" s="222">
        <f>100*P86*P88</f>
        <v>37.799999999999997</v>
      </c>
      <c r="Q89" s="56"/>
      <c r="R89" s="222">
        <f>100*R86*R88</f>
        <v>21.599999999999998</v>
      </c>
    </row>
    <row r="91" spans="1:19" x14ac:dyDescent="0.35">
      <c r="D91" s="4" t="s">
        <v>94</v>
      </c>
    </row>
    <row r="92" spans="1:19" x14ac:dyDescent="0.35">
      <c r="D92" s="13" t="s">
        <v>84</v>
      </c>
      <c r="G92" s="60">
        <v>1.5509609588506641</v>
      </c>
      <c r="H92" s="63"/>
      <c r="I92" s="60">
        <v>1.5227733230098803</v>
      </c>
      <c r="J92" s="60"/>
      <c r="K92" s="60"/>
      <c r="L92" s="60">
        <v>1.5326836389029728</v>
      </c>
      <c r="M92" s="63"/>
      <c r="N92" s="60">
        <v>2.0511410922521263</v>
      </c>
      <c r="P92" s="60">
        <v>1.5326836389029728</v>
      </c>
      <c r="Q92" s="63"/>
      <c r="R92" s="60">
        <v>2.0511410922521263</v>
      </c>
    </row>
    <row r="93" spans="1:19" x14ac:dyDescent="0.35">
      <c r="D93" s="13" t="s">
        <v>85</v>
      </c>
      <c r="G93" s="60">
        <v>0.87202716056630569</v>
      </c>
      <c r="H93" s="63"/>
      <c r="I93" s="60">
        <v>0.80958779540120296</v>
      </c>
      <c r="J93" s="60"/>
      <c r="K93" s="60"/>
      <c r="L93" s="60">
        <v>1.0874500160417906</v>
      </c>
      <c r="M93" s="63"/>
      <c r="N93" s="60">
        <v>1.1902090250162407</v>
      </c>
      <c r="P93" s="60">
        <v>1.0874500160417906</v>
      </c>
      <c r="Q93" s="63"/>
      <c r="R93" s="60">
        <v>1.1902090250162407</v>
      </c>
    </row>
    <row r="94" spans="1:19" x14ac:dyDescent="0.35">
      <c r="D94" s="13" t="s">
        <v>86</v>
      </c>
      <c r="G94" s="60">
        <v>1.0578433459651078</v>
      </c>
      <c r="H94" s="63"/>
      <c r="I94" s="60">
        <v>1.0942636486147026</v>
      </c>
      <c r="J94" s="60"/>
      <c r="K94" s="60"/>
      <c r="L94" s="60">
        <v>1.1298801888878223</v>
      </c>
      <c r="M94" s="63"/>
      <c r="N94" s="60">
        <v>1.3499196764425621</v>
      </c>
      <c r="P94" s="60">
        <v>1.1298801888878223</v>
      </c>
      <c r="Q94" s="63"/>
      <c r="R94" s="60">
        <v>1.3499196764425621</v>
      </c>
    </row>
    <row r="95" spans="1:19" x14ac:dyDescent="0.35">
      <c r="D95" s="13" t="s">
        <v>87</v>
      </c>
      <c r="G95" s="60">
        <v>0.82616808261433672</v>
      </c>
      <c r="H95" s="63"/>
      <c r="I95" s="60">
        <v>0.77485497815698956</v>
      </c>
      <c r="J95" s="60"/>
      <c r="K95" s="60"/>
      <c r="L95" s="60">
        <v>0.9764604896741319</v>
      </c>
      <c r="M95" s="63"/>
      <c r="N95" s="60">
        <v>0.86065150355030295</v>
      </c>
      <c r="P95" s="60">
        <v>0.9764604896741319</v>
      </c>
      <c r="Q95" s="63"/>
      <c r="R95" s="60">
        <v>0.86065150355030295</v>
      </c>
    </row>
    <row r="96" spans="1:19" x14ac:dyDescent="0.35">
      <c r="D96" s="13" t="s">
        <v>88</v>
      </c>
      <c r="G96" s="60">
        <v>0.59018246654686368</v>
      </c>
      <c r="H96" s="63"/>
      <c r="I96" s="60">
        <v>0.51457926291879696</v>
      </c>
      <c r="J96" s="60"/>
      <c r="K96" s="60"/>
      <c r="L96" s="60">
        <v>0.89624898063253966</v>
      </c>
      <c r="M96" s="63"/>
      <c r="N96" s="60">
        <v>0.69356977339985582</v>
      </c>
      <c r="P96" s="60">
        <v>0.89624898063253966</v>
      </c>
      <c r="Q96" s="63"/>
      <c r="R96" s="60">
        <v>0.69356977339985582</v>
      </c>
    </row>
    <row r="97" spans="1:18" x14ac:dyDescent="0.35">
      <c r="D97" s="13"/>
      <c r="G97" s="55" t="s">
        <v>188</v>
      </c>
      <c r="I97" s="56" t="s">
        <v>189</v>
      </c>
      <c r="J97" s="56"/>
      <c r="K97" s="56"/>
      <c r="L97" s="55" t="s">
        <v>190</v>
      </c>
      <c r="N97" s="56" t="s">
        <v>191</v>
      </c>
    </row>
    <row r="98" spans="1:18" x14ac:dyDescent="0.35">
      <c r="D98" s="13" t="s">
        <v>129</v>
      </c>
      <c r="G98" s="225">
        <v>1903.4354964816262</v>
      </c>
      <c r="H98" s="225"/>
      <c r="I98" s="225">
        <v>1744.8264268960127</v>
      </c>
      <c r="J98" s="225"/>
      <c r="K98" s="225"/>
      <c r="L98" s="225">
        <v>2282.6452304394425</v>
      </c>
      <c r="M98" s="225"/>
      <c r="N98" s="225">
        <v>2125.7963558413712</v>
      </c>
      <c r="O98" s="217"/>
      <c r="P98" s="225">
        <v>2427</v>
      </c>
      <c r="Q98" s="225"/>
      <c r="R98" s="225">
        <v>2158</v>
      </c>
    </row>
    <row r="99" spans="1:18" x14ac:dyDescent="0.35">
      <c r="A99" s="4" t="s">
        <v>98</v>
      </c>
      <c r="G99" s="55" t="s">
        <v>187</v>
      </c>
      <c r="H99" s="15"/>
      <c r="I99" s="15"/>
      <c r="J99" s="15"/>
      <c r="K99" s="15"/>
      <c r="L99" s="15"/>
      <c r="M99" s="15"/>
      <c r="N99" s="15"/>
    </row>
    <row r="100" spans="1:18" x14ac:dyDescent="0.35">
      <c r="D100" s="13" t="s">
        <v>96</v>
      </c>
    </row>
    <row r="101" spans="1:18" x14ac:dyDescent="0.35">
      <c r="A101" s="4" t="s">
        <v>97</v>
      </c>
      <c r="D101" s="13"/>
      <c r="G101" s="67">
        <v>36.209247148288974</v>
      </c>
      <c r="H101" s="15"/>
      <c r="I101" s="15"/>
      <c r="J101" s="15"/>
      <c r="K101" s="15"/>
      <c r="L101" s="67">
        <v>4.8</v>
      </c>
      <c r="M101" s="15"/>
      <c r="N101" s="15"/>
      <c r="O101" s="15"/>
      <c r="P101" s="68">
        <v>2.62</v>
      </c>
    </row>
    <row r="102" spans="1:18" x14ac:dyDescent="0.35">
      <c r="G102" s="55" t="s">
        <v>187</v>
      </c>
      <c r="H102" s="15"/>
      <c r="I102" s="15"/>
      <c r="J102" s="15"/>
      <c r="K102" s="15"/>
      <c r="L102" s="15"/>
      <c r="M102" s="15"/>
      <c r="N102" s="15"/>
    </row>
    <row r="103" spans="1:18" x14ac:dyDescent="0.35">
      <c r="D103" s="4" t="s">
        <v>95</v>
      </c>
    </row>
    <row r="104" spans="1:18" x14ac:dyDescent="0.35">
      <c r="D104" s="13" t="s">
        <v>84</v>
      </c>
      <c r="G104" s="56">
        <f>G92*$G$101</f>
        <v>56.159128676370941</v>
      </c>
      <c r="H104" s="56"/>
      <c r="I104" s="56">
        <f>I92*$G$101</f>
        <v>55.138475603686032</v>
      </c>
      <c r="J104" s="56"/>
      <c r="K104" s="56"/>
      <c r="L104" s="56">
        <f>L92*$L$101</f>
        <v>7.3568814667342686</v>
      </c>
      <c r="M104" s="56"/>
      <c r="N104" s="56">
        <f>N92*$L$101</f>
        <v>9.8454772428102064</v>
      </c>
      <c r="P104" s="56">
        <f>P92*$P$101</f>
        <v>4.0156311339257886</v>
      </c>
      <c r="Q104" s="56"/>
      <c r="R104" s="56">
        <f>R92*$P$101</f>
        <v>5.3739896617005707</v>
      </c>
    </row>
    <row r="105" spans="1:18" x14ac:dyDescent="0.35">
      <c r="D105" s="13" t="s">
        <v>85</v>
      </c>
      <c r="G105" s="56">
        <f>G93*$G$101</f>
        <v>31.575446976966035</v>
      </c>
      <c r="H105" s="56"/>
      <c r="I105" s="56">
        <f>I93*$G$101</f>
        <v>29.314564571920567</v>
      </c>
      <c r="J105" s="56"/>
      <c r="K105" s="56"/>
      <c r="L105" s="56">
        <f>L93*$L$101</f>
        <v>5.2197600770005943</v>
      </c>
      <c r="M105" s="56"/>
      <c r="N105" s="56">
        <f>N93*$L$101</f>
        <v>5.7130033200779549</v>
      </c>
      <c r="P105" s="56">
        <f>P93*$P$101</f>
        <v>2.8491190420294914</v>
      </c>
      <c r="Q105" s="56"/>
      <c r="R105" s="56">
        <f>R93*$P$101</f>
        <v>3.1183476455425509</v>
      </c>
    </row>
    <row r="106" spans="1:18" x14ac:dyDescent="0.35">
      <c r="D106" s="13" t="s">
        <v>86</v>
      </c>
      <c r="G106" s="56">
        <f>G94*$G$101</f>
        <v>38.303711158223543</v>
      </c>
      <c r="H106" s="56"/>
      <c r="I106" s="56">
        <f>I94*$G$101</f>
        <v>39.622462898078204</v>
      </c>
      <c r="J106" s="56"/>
      <c r="K106" s="56"/>
      <c r="L106" s="56">
        <f>L94*$L$101</f>
        <v>5.4234249066615465</v>
      </c>
      <c r="M106" s="56"/>
      <c r="N106" s="56">
        <f>N94*$L$101</f>
        <v>6.4796144469242973</v>
      </c>
      <c r="P106" s="56">
        <f>P94*$P$101</f>
        <v>2.9602860948860945</v>
      </c>
      <c r="Q106" s="56"/>
      <c r="R106" s="56">
        <f>R94*$P$101</f>
        <v>3.5367895522795125</v>
      </c>
    </row>
    <row r="107" spans="1:18" x14ac:dyDescent="0.35">
      <c r="D107" s="13" t="s">
        <v>87</v>
      </c>
      <c r="G107" s="56">
        <f>G95*$G$101</f>
        <v>29.914924289410539</v>
      </c>
      <c r="H107" s="56"/>
      <c r="I107" s="56">
        <f>I95*$G$101</f>
        <v>28.056915408168489</v>
      </c>
      <c r="J107" s="56"/>
      <c r="K107" s="56"/>
      <c r="L107" s="56">
        <f>L95*$L$101</f>
        <v>4.6870103504358331</v>
      </c>
      <c r="M107" s="56"/>
      <c r="N107" s="56">
        <f>N95*$L$101</f>
        <v>4.1311272170414544</v>
      </c>
      <c r="P107" s="56">
        <f>P95*$P$101</f>
        <v>2.5583264829462258</v>
      </c>
      <c r="Q107" s="56"/>
      <c r="R107" s="56">
        <f>R95*$P$101</f>
        <v>2.2549069393017938</v>
      </c>
    </row>
    <row r="108" spans="1:18" x14ac:dyDescent="0.35">
      <c r="D108" s="13" t="s">
        <v>88</v>
      </c>
      <c r="G108" s="56">
        <f>G96*$G$101</f>
        <v>21.370062793782175</v>
      </c>
      <c r="H108" s="56"/>
      <c r="I108" s="56">
        <f>I96*$G$101</f>
        <v>18.632527708411089</v>
      </c>
      <c r="J108" s="56"/>
      <c r="K108" s="56"/>
      <c r="L108" s="56">
        <f>L96*$L$101</f>
        <v>4.3019951070361904</v>
      </c>
      <c r="M108" s="56"/>
      <c r="N108" s="56">
        <f>N96*$L$101</f>
        <v>3.3291349123193079</v>
      </c>
      <c r="P108" s="56">
        <f>P96*$P$101</f>
        <v>2.3481723292572538</v>
      </c>
      <c r="Q108" s="56"/>
      <c r="R108" s="56">
        <f>R96*$P$101</f>
        <v>1.8171528063076223</v>
      </c>
    </row>
    <row r="109" spans="1:18" x14ac:dyDescent="0.35">
      <c r="D109" s="13" t="s">
        <v>148</v>
      </c>
      <c r="E109" s="15"/>
      <c r="F109" s="15"/>
      <c r="G109" s="55">
        <f>G104/G107</f>
        <v>1.8772946952184157</v>
      </c>
      <c r="H109" s="15"/>
      <c r="I109" s="55">
        <f>I104/I107</f>
        <v>1.9652365486917718</v>
      </c>
      <c r="J109" s="15"/>
      <c r="K109" s="15"/>
      <c r="L109" s="55">
        <f>L104/L107</f>
        <v>1.5696320077573909</v>
      </c>
      <c r="M109" s="15"/>
      <c r="N109" s="55">
        <f>N104/N107</f>
        <v>2.3832423272264025</v>
      </c>
      <c r="O109" s="15"/>
      <c r="P109" s="55">
        <f>P104/P107</f>
        <v>1.5696320077573909</v>
      </c>
      <c r="Q109" s="15"/>
      <c r="R109" s="55">
        <f>R104/R107</f>
        <v>2.3832423272264021</v>
      </c>
    </row>
    <row r="110" spans="1:18" x14ac:dyDescent="0.35">
      <c r="D110" s="13"/>
      <c r="E110" s="15"/>
      <c r="F110" s="15"/>
      <c r="G110" s="55"/>
      <c r="H110" s="15"/>
      <c r="I110" s="55"/>
      <c r="J110" s="15"/>
      <c r="K110" s="15"/>
      <c r="L110" s="55"/>
      <c r="M110" s="15"/>
      <c r="N110" s="55"/>
    </row>
    <row r="111" spans="1:18" x14ac:dyDescent="0.35">
      <c r="A111" s="5" t="s">
        <v>257</v>
      </c>
      <c r="D111" s="13"/>
      <c r="E111" s="15"/>
      <c r="F111" s="15"/>
      <c r="G111" s="55"/>
      <c r="H111" s="15"/>
      <c r="I111" s="55"/>
      <c r="J111" s="15"/>
      <c r="K111" s="15"/>
      <c r="L111" s="55"/>
      <c r="M111" s="15"/>
      <c r="N111" s="55"/>
    </row>
    <row r="112" spans="1:18" x14ac:dyDescent="0.35">
      <c r="D112" s="13"/>
      <c r="E112" s="15"/>
      <c r="F112" s="15"/>
      <c r="G112" s="55"/>
      <c r="H112" s="15"/>
      <c r="I112" s="55"/>
      <c r="J112" s="15"/>
      <c r="K112" s="15"/>
      <c r="L112" s="55"/>
      <c r="M112" s="15"/>
      <c r="N112" s="55"/>
    </row>
    <row r="113" spans="4:35" x14ac:dyDescent="0.35">
      <c r="D113" s="50" t="s">
        <v>177</v>
      </c>
      <c r="E113" s="15"/>
      <c r="F113" s="15"/>
      <c r="G113" s="55"/>
      <c r="H113" s="15"/>
      <c r="I113" s="55"/>
      <c r="J113" s="15"/>
      <c r="K113" s="15"/>
      <c r="L113" s="55"/>
      <c r="M113" s="15"/>
      <c r="N113" s="55"/>
    </row>
    <row r="114" spans="4:35" x14ac:dyDescent="0.35">
      <c r="D114" s="13" t="s">
        <v>198</v>
      </c>
      <c r="E114" s="15"/>
      <c r="F114" s="15"/>
      <c r="G114" s="55"/>
      <c r="H114" s="15"/>
      <c r="I114" s="55"/>
      <c r="J114" s="15"/>
      <c r="K114" s="15"/>
      <c r="L114" s="55"/>
      <c r="M114" s="15"/>
      <c r="N114" s="55"/>
    </row>
    <row r="115" spans="4:35" x14ac:dyDescent="0.35">
      <c r="D115" s="13" t="s">
        <v>199</v>
      </c>
      <c r="E115" s="15"/>
      <c r="F115" s="15"/>
      <c r="G115" s="55"/>
      <c r="H115" s="15"/>
      <c r="I115" s="55"/>
      <c r="J115" s="15"/>
      <c r="K115" s="15"/>
      <c r="L115" s="55"/>
      <c r="M115" s="15"/>
      <c r="N115" s="55"/>
    </row>
    <row r="116" spans="4:35" x14ac:dyDescent="0.35">
      <c r="D116" s="13" t="s">
        <v>200</v>
      </c>
      <c r="E116" s="15"/>
      <c r="F116" s="15"/>
      <c r="G116" s="55"/>
      <c r="H116" s="15"/>
      <c r="I116" s="55"/>
      <c r="J116" s="15"/>
      <c r="K116" s="15"/>
      <c r="L116" s="55"/>
      <c r="M116" s="15"/>
      <c r="N116" s="55"/>
    </row>
    <row r="117" spans="4:35" x14ac:dyDescent="0.35">
      <c r="D117" s="13" t="s">
        <v>201</v>
      </c>
      <c r="E117" s="15"/>
      <c r="F117" s="15"/>
      <c r="G117" s="55"/>
      <c r="H117" s="15"/>
      <c r="I117" s="55"/>
      <c r="J117" s="15"/>
      <c r="K117" s="15"/>
      <c r="L117" s="55"/>
      <c r="M117" s="15"/>
      <c r="N117" s="55"/>
    </row>
    <row r="118" spans="4:35" x14ac:dyDescent="0.35">
      <c r="D118" s="13" t="s">
        <v>202</v>
      </c>
      <c r="E118" s="15"/>
      <c r="F118" s="15"/>
      <c r="G118" s="55"/>
      <c r="H118" s="15"/>
      <c r="I118" s="55"/>
      <c r="J118" s="15"/>
      <c r="K118" s="15"/>
      <c r="L118" s="55"/>
      <c r="M118" s="15"/>
      <c r="N118" s="55"/>
    </row>
    <row r="119" spans="4:35" x14ac:dyDescent="0.35">
      <c r="D119" s="13"/>
      <c r="E119" s="15" t="s">
        <v>178</v>
      </c>
      <c r="F119" s="15"/>
      <c r="G119" s="55"/>
      <c r="H119" s="15"/>
      <c r="I119" s="55"/>
      <c r="J119" s="15"/>
      <c r="K119" s="15"/>
      <c r="L119" s="55"/>
      <c r="M119" s="15"/>
      <c r="N119" s="24">
        <f>E27*N39/100</f>
        <v>1087.3767464364232</v>
      </c>
      <c r="R119" s="220">
        <f>J27*R39/100</f>
        <v>269.32364709548767</v>
      </c>
    </row>
    <row r="120" spans="4:35" x14ac:dyDescent="0.35">
      <c r="D120" s="13"/>
      <c r="E120" s="15" t="s">
        <v>197</v>
      </c>
      <c r="F120" s="15"/>
      <c r="G120" s="55"/>
      <c r="H120" s="15"/>
      <c r="I120" s="55"/>
      <c r="J120" s="15"/>
      <c r="K120" s="15"/>
      <c r="L120" s="55"/>
      <c r="M120" s="15"/>
      <c r="N120" s="24">
        <f>E25+E26</f>
        <v>3233.8217</v>
      </c>
      <c r="R120" s="220">
        <f>J25+J26</f>
        <v>1005.8</v>
      </c>
    </row>
    <row r="121" spans="4:35" x14ac:dyDescent="0.35">
      <c r="D121" s="13"/>
      <c r="E121" s="15" t="s">
        <v>127</v>
      </c>
      <c r="F121" s="15"/>
      <c r="G121" s="55"/>
      <c r="H121" s="15"/>
      <c r="I121" s="55"/>
      <c r="J121" s="15"/>
      <c r="K121" s="15"/>
      <c r="L121" s="55"/>
      <c r="M121" s="15"/>
      <c r="N121" s="24">
        <f>E26</f>
        <v>2454.0520000000001</v>
      </c>
      <c r="R121" s="220">
        <f>J26</f>
        <v>995</v>
      </c>
    </row>
    <row r="122" spans="4:35" x14ac:dyDescent="0.35">
      <c r="D122" s="13"/>
      <c r="E122" s="15" t="s">
        <v>179</v>
      </c>
      <c r="F122" s="15"/>
      <c r="G122" s="55"/>
      <c r="H122" s="15"/>
      <c r="I122" s="55"/>
      <c r="J122" s="15"/>
      <c r="K122" s="15"/>
      <c r="L122" s="55"/>
      <c r="M122" s="15"/>
      <c r="N122" s="24">
        <f>N121*L36/100</f>
        <v>420.84571980640033</v>
      </c>
      <c r="R122" s="220">
        <f>J26*P36/100</f>
        <v>79.659226524144273</v>
      </c>
      <c r="T122" s="15"/>
      <c r="U122" s="15"/>
      <c r="V122" s="15"/>
      <c r="W122" s="15"/>
      <c r="X122" s="15"/>
      <c r="Y122" s="15"/>
      <c r="Z122" s="15"/>
      <c r="AA122" s="15"/>
      <c r="AB122" s="15"/>
      <c r="AC122" s="15"/>
      <c r="AD122" s="15"/>
      <c r="AE122" s="15"/>
      <c r="AF122" s="15"/>
      <c r="AG122" s="15"/>
      <c r="AH122" s="15"/>
      <c r="AI122" s="15"/>
    </row>
    <row r="123" spans="4:35" x14ac:dyDescent="0.35">
      <c r="D123" s="13"/>
      <c r="E123" s="15" t="s">
        <v>256</v>
      </c>
      <c r="F123" s="15"/>
      <c r="G123" s="55"/>
      <c r="H123" s="15"/>
      <c r="I123" s="55"/>
      <c r="J123" s="15"/>
      <c r="K123" s="15"/>
      <c r="L123" s="55"/>
      <c r="M123" s="15"/>
      <c r="N123" s="24">
        <f>N120-N121+N122</f>
        <v>1200.6154198064</v>
      </c>
      <c r="P123" s="15"/>
      <c r="Q123" s="15"/>
      <c r="R123" s="24">
        <f>R120-R121+R122</f>
        <v>90.459226524144228</v>
      </c>
      <c r="T123" s="15"/>
      <c r="U123" s="15"/>
      <c r="V123" s="15"/>
      <c r="W123" s="15"/>
      <c r="X123" s="15"/>
      <c r="Y123" s="15"/>
      <c r="Z123" s="15"/>
      <c r="AA123" s="15"/>
      <c r="AB123" s="15"/>
      <c r="AC123" s="15"/>
      <c r="AD123" s="15"/>
      <c r="AE123" s="15"/>
      <c r="AF123" s="15"/>
      <c r="AG123" s="15"/>
      <c r="AH123" s="15"/>
      <c r="AI123" s="15"/>
    </row>
    <row r="124" spans="4:35" x14ac:dyDescent="0.35">
      <c r="D124" s="13"/>
      <c r="E124" s="15" t="s">
        <v>255</v>
      </c>
      <c r="F124" s="15"/>
      <c r="G124" s="55"/>
      <c r="H124" s="15"/>
      <c r="I124" s="55"/>
      <c r="J124" s="15"/>
      <c r="K124" s="15"/>
      <c r="L124" s="55"/>
      <c r="M124" s="15"/>
      <c r="N124" s="24">
        <f>N123*2*L272</f>
        <v>240.12308396128003</v>
      </c>
      <c r="P124" s="15"/>
      <c r="Q124" s="15"/>
      <c r="R124" s="24">
        <f>R123*2*L272</f>
        <v>18.091845304828848</v>
      </c>
      <c r="T124" s="15"/>
      <c r="U124" s="15"/>
      <c r="V124" s="15"/>
      <c r="W124" s="15"/>
      <c r="X124" s="15"/>
      <c r="Y124" s="15"/>
      <c r="Z124" s="15"/>
      <c r="AA124" s="15"/>
      <c r="AB124" s="15"/>
      <c r="AC124" s="15"/>
      <c r="AD124" s="15"/>
      <c r="AE124" s="15"/>
      <c r="AF124" s="15"/>
      <c r="AG124" s="15"/>
      <c r="AH124" s="15"/>
      <c r="AI124" s="15"/>
    </row>
    <row r="125" spans="4:35" x14ac:dyDescent="0.35">
      <c r="D125" s="13"/>
      <c r="E125" s="15" t="s">
        <v>180</v>
      </c>
      <c r="F125" s="15"/>
      <c r="G125" s="55"/>
      <c r="H125" s="15"/>
      <c r="I125" s="55"/>
      <c r="J125" s="15"/>
      <c r="K125" s="15"/>
      <c r="L125" s="55"/>
      <c r="M125" s="15"/>
      <c r="N125" s="24">
        <f>N119-N124</f>
        <v>847.25366247514319</v>
      </c>
      <c r="O125" s="15"/>
      <c r="P125" s="15"/>
      <c r="Q125" s="15"/>
      <c r="R125" s="24">
        <f>R119-R124</f>
        <v>251.23180179065884</v>
      </c>
    </row>
    <row r="126" spans="4:35" x14ac:dyDescent="0.35">
      <c r="D126" s="13"/>
      <c r="E126" s="15"/>
      <c r="F126" s="15"/>
      <c r="G126" s="55"/>
      <c r="H126" s="15"/>
      <c r="I126" s="55"/>
      <c r="J126" s="15"/>
      <c r="K126" s="15"/>
      <c r="L126" s="55"/>
      <c r="M126" s="15"/>
      <c r="N126" s="55"/>
      <c r="P126" s="15" t="s">
        <v>194</v>
      </c>
      <c r="Q126" s="15"/>
    </row>
    <row r="127" spans="4:35" x14ac:dyDescent="0.35">
      <c r="D127" s="57" t="s">
        <v>184</v>
      </c>
      <c r="E127" s="15"/>
      <c r="F127" s="15"/>
      <c r="G127" s="55"/>
      <c r="H127" s="15"/>
      <c r="I127" s="55"/>
      <c r="J127" s="42" t="s">
        <v>70</v>
      </c>
      <c r="K127" s="31"/>
      <c r="L127" s="42" t="s">
        <v>74</v>
      </c>
      <c r="M127" s="42"/>
      <c r="N127" s="42" t="s">
        <v>72</v>
      </c>
      <c r="O127" s="53"/>
      <c r="P127" s="42" t="s">
        <v>74</v>
      </c>
      <c r="Q127" s="42"/>
      <c r="R127" s="42" t="s">
        <v>72</v>
      </c>
    </row>
    <row r="128" spans="4:35" x14ac:dyDescent="0.35">
      <c r="D128" s="13"/>
      <c r="E128" s="15" t="s">
        <v>181</v>
      </c>
      <c r="F128" s="15"/>
      <c r="G128" s="55"/>
      <c r="H128" s="15"/>
      <c r="I128" s="55"/>
      <c r="J128" s="24">
        <f>E26*L36/100</f>
        <v>420.84571980640033</v>
      </c>
      <c r="K128" s="24"/>
      <c r="L128" s="24">
        <f>E26*L37/100</f>
        <v>993.01728294117356</v>
      </c>
      <c r="M128" s="24"/>
      <c r="N128" s="24">
        <f>E26*L38/100</f>
        <v>574.97232104457191</v>
      </c>
      <c r="O128" s="220"/>
      <c r="P128" s="24">
        <f>J26*P37/100</f>
        <v>368.2888614106181</v>
      </c>
      <c r="Q128" s="24"/>
      <c r="R128" s="24">
        <f>J26*P38/100</f>
        <v>148.06796975832296</v>
      </c>
    </row>
    <row r="129" spans="4:18" x14ac:dyDescent="0.35">
      <c r="D129" s="13"/>
      <c r="E129" s="15" t="s">
        <v>182</v>
      </c>
      <c r="F129" s="15"/>
      <c r="G129" s="55"/>
      <c r="H129" s="15"/>
      <c r="I129" s="55"/>
      <c r="J129" s="24">
        <f>N125*N36/100</f>
        <v>45.629816010506936</v>
      </c>
      <c r="K129" s="24"/>
      <c r="L129" s="24">
        <f>N125*N37/100</f>
        <v>56.394726320721794</v>
      </c>
      <c r="M129" s="24"/>
      <c r="N129" s="24">
        <f>N125*N38/100</f>
        <v>685.43463739109325</v>
      </c>
      <c r="O129" s="220"/>
      <c r="P129" s="24">
        <f>R125*R37/100</f>
        <v>27.42499647545057</v>
      </c>
      <c r="Q129" s="24"/>
      <c r="R129" s="24">
        <f>R125*R38/100</f>
        <v>192.65553681587738</v>
      </c>
    </row>
    <row r="130" spans="4:18" x14ac:dyDescent="0.35">
      <c r="D130" s="13"/>
      <c r="E130" s="15" t="s">
        <v>176</v>
      </c>
      <c r="F130" s="15"/>
      <c r="G130" s="55"/>
      <c r="H130" s="15"/>
      <c r="I130" s="55"/>
      <c r="J130" s="24">
        <f>J128+J129</f>
        <v>466.47553581690727</v>
      </c>
      <c r="K130" s="24"/>
      <c r="L130" s="24">
        <f>L128+L129</f>
        <v>1049.4120092618953</v>
      </c>
      <c r="M130" s="24"/>
      <c r="N130" s="24">
        <f>N128+N129</f>
        <v>1260.4069584356653</v>
      </c>
      <c r="O130" s="220"/>
      <c r="P130" s="24">
        <f>P128+P129</f>
        <v>395.71385788606869</v>
      </c>
      <c r="Q130" s="24"/>
      <c r="R130" s="24">
        <f>R128+R129</f>
        <v>340.72350657420031</v>
      </c>
    </row>
    <row r="131" spans="4:18" x14ac:dyDescent="0.35">
      <c r="D131" s="13"/>
      <c r="E131" s="15" t="s">
        <v>183</v>
      </c>
      <c r="F131" s="15"/>
      <c r="G131" s="55"/>
      <c r="H131" s="15"/>
      <c r="I131" s="55"/>
      <c r="J131" s="15"/>
      <c r="K131" s="15"/>
      <c r="L131" s="24">
        <f>L130*L54</f>
        <v>400.48621652496286</v>
      </c>
      <c r="M131" s="24"/>
      <c r="N131" s="24">
        <f>N130*N54</f>
        <v>567.03453026129284</v>
      </c>
      <c r="P131" s="24">
        <f>P130*P54</f>
        <v>130.58557310240266</v>
      </c>
      <c r="Q131" s="24"/>
      <c r="R131" s="24">
        <f>R130*R54</f>
        <v>126.06769743245411</v>
      </c>
    </row>
    <row r="132" spans="4:18" x14ac:dyDescent="0.35">
      <c r="D132" s="13"/>
      <c r="E132" s="15"/>
      <c r="F132" s="13" t="s">
        <v>84</v>
      </c>
      <c r="G132" s="55"/>
      <c r="H132" s="15"/>
      <c r="I132" s="55"/>
      <c r="J132" s="15"/>
      <c r="K132" s="15"/>
      <c r="L132" s="24">
        <f>L$131*L58</f>
        <v>15.704343209006232</v>
      </c>
      <c r="M132" s="24"/>
      <c r="N132" s="24">
        <f>N$131*N58</f>
        <v>87.559083788447523</v>
      </c>
      <c r="P132" s="24">
        <f>P$131*P58</f>
        <v>5.1206772506166329</v>
      </c>
      <c r="Q132" s="24"/>
      <c r="R132" s="24">
        <f>R$131*R58</f>
        <v>19.466842834806467</v>
      </c>
    </row>
    <row r="133" spans="4:18" x14ac:dyDescent="0.35">
      <c r="D133" s="13"/>
      <c r="E133" s="15"/>
      <c r="F133" s="13" t="s">
        <v>85</v>
      </c>
      <c r="G133" s="55"/>
      <c r="H133" s="15"/>
      <c r="I133" s="55"/>
      <c r="J133" s="15"/>
      <c r="K133" s="15"/>
      <c r="L133" s="24">
        <f>L$131*L59</f>
        <v>144.11969249307154</v>
      </c>
      <c r="M133" s="24"/>
      <c r="N133" s="24">
        <f>N$131*N59</f>
        <v>223.07464086881728</v>
      </c>
      <c r="P133" s="24">
        <f>P$131*P59</f>
        <v>46.99275995776177</v>
      </c>
      <c r="Q133" s="24"/>
      <c r="R133" s="24">
        <f>R$131*R59</f>
        <v>49.595756217781663</v>
      </c>
    </row>
    <row r="134" spans="4:18" x14ac:dyDescent="0.35">
      <c r="D134" s="13"/>
      <c r="E134" s="15"/>
      <c r="F134" s="13" t="s">
        <v>86</v>
      </c>
      <c r="G134" s="55"/>
      <c r="H134" s="15"/>
      <c r="I134" s="55"/>
      <c r="J134" s="15"/>
      <c r="K134" s="15"/>
      <c r="L134" s="24">
        <f>L$131*L60</f>
        <v>159.82403570207779</v>
      </c>
      <c r="M134" s="24"/>
      <c r="N134" s="24">
        <f>N$131*N60</f>
        <v>310.63372465726479</v>
      </c>
      <c r="P134" s="24">
        <f>P$131*P60</f>
        <v>52.113437208378407</v>
      </c>
      <c r="Q134" s="24"/>
      <c r="R134" s="24">
        <f>R$131*R60</f>
        <v>69.062599052588126</v>
      </c>
    </row>
    <row r="135" spans="4:18" x14ac:dyDescent="0.35">
      <c r="D135" s="13"/>
      <c r="E135" s="15"/>
      <c r="F135" s="13" t="s">
        <v>87</v>
      </c>
      <c r="G135" s="55"/>
      <c r="H135" s="15"/>
      <c r="I135" s="55"/>
      <c r="J135" s="15"/>
      <c r="K135" s="15"/>
      <c r="L135" s="24">
        <f>L$131*L61</f>
        <v>384.7818733159566</v>
      </c>
      <c r="M135" s="24"/>
      <c r="N135" s="24">
        <f>N$131*N61</f>
        <v>479.47544647284531</v>
      </c>
      <c r="P135" s="24">
        <f>P$131*P61</f>
        <v>125.46489585178603</v>
      </c>
      <c r="Q135" s="24"/>
      <c r="R135" s="24">
        <f>R$131*R61</f>
        <v>106.60085459764764</v>
      </c>
    </row>
    <row r="136" spans="4:18" x14ac:dyDescent="0.35">
      <c r="D136" s="13"/>
      <c r="E136" s="15"/>
      <c r="F136" s="13" t="s">
        <v>88</v>
      </c>
      <c r="G136" s="55"/>
      <c r="H136" s="15"/>
      <c r="I136" s="55"/>
      <c r="J136" s="15"/>
      <c r="K136" s="15"/>
      <c r="L136" s="24">
        <f>L$131*L62</f>
        <v>240.66218082288503</v>
      </c>
      <c r="M136" s="24"/>
      <c r="N136" s="24">
        <f>N$131*N62</f>
        <v>256.40080560402805</v>
      </c>
      <c r="P136" s="24">
        <f>P$131*P62</f>
        <v>78.472135894024234</v>
      </c>
      <c r="Q136" s="24"/>
      <c r="R136" s="24">
        <f>R$131*R62</f>
        <v>57.005098379865977</v>
      </c>
    </row>
    <row r="137" spans="4:18" x14ac:dyDescent="0.35">
      <c r="D137" s="13"/>
      <c r="E137" s="15"/>
      <c r="F137" s="15"/>
      <c r="G137" s="55"/>
      <c r="H137" s="15"/>
      <c r="I137" s="55"/>
      <c r="J137" s="15"/>
      <c r="K137" s="15"/>
      <c r="L137" s="55"/>
      <c r="M137" s="15"/>
      <c r="N137" s="55"/>
    </row>
    <row r="138" spans="4:18" x14ac:dyDescent="0.35">
      <c r="D138" s="13" t="s">
        <v>185</v>
      </c>
      <c r="E138" s="15"/>
      <c r="F138" s="15"/>
      <c r="G138" s="55"/>
      <c r="H138" s="15"/>
      <c r="I138" s="55"/>
      <c r="J138" s="15"/>
      <c r="K138" s="15"/>
      <c r="L138" s="55"/>
      <c r="M138" s="15"/>
      <c r="N138" s="55"/>
    </row>
    <row r="139" spans="4:18" x14ac:dyDescent="0.35">
      <c r="D139" s="13"/>
      <c r="E139" s="15"/>
      <c r="F139" s="13" t="s">
        <v>84</v>
      </c>
      <c r="G139" s="55"/>
      <c r="H139" s="15"/>
      <c r="I139" s="55"/>
      <c r="J139" s="15"/>
      <c r="K139" s="15"/>
      <c r="L139" s="139">
        <f>L132/L104</f>
        <v>2.1346467630363244</v>
      </c>
      <c r="M139" s="139"/>
      <c r="N139" s="139">
        <f>N132/N104</f>
        <v>8.8933305749488927</v>
      </c>
      <c r="P139" s="139">
        <f>P132/P104</f>
        <v>1.2751861612375044</v>
      </c>
      <c r="Q139" s="139"/>
      <c r="R139" s="139">
        <f>R132/R104</f>
        <v>3.6224191076404653</v>
      </c>
    </row>
    <row r="140" spans="4:18" x14ac:dyDescent="0.35">
      <c r="D140" s="13"/>
      <c r="E140" s="15"/>
      <c r="F140" s="13" t="s">
        <v>85</v>
      </c>
      <c r="G140" s="55"/>
      <c r="H140" s="15"/>
      <c r="I140" s="55"/>
      <c r="J140" s="15"/>
      <c r="K140" s="15"/>
      <c r="L140" s="139">
        <f>L133/L105</f>
        <v>27.610405529574905</v>
      </c>
      <c r="M140" s="139"/>
      <c r="N140" s="139">
        <f>N133/N105</f>
        <v>39.046825000930227</v>
      </c>
      <c r="P140" s="139">
        <f>P133/P105</f>
        <v>16.493786066688099</v>
      </c>
      <c r="Q140" s="139"/>
      <c r="R140" s="139">
        <f>R133/R105</f>
        <v>15.904498745890361</v>
      </c>
    </row>
    <row r="141" spans="4:18" x14ac:dyDescent="0.35">
      <c r="D141" s="13"/>
      <c r="E141" s="15"/>
      <c r="F141" s="13" t="s">
        <v>86</v>
      </c>
      <c r="G141" s="55"/>
      <c r="H141" s="15"/>
      <c r="I141" s="55"/>
      <c r="J141" s="15"/>
      <c r="K141" s="15"/>
      <c r="L141" s="139">
        <f>L134/L106</f>
        <v>29.469207825808983</v>
      </c>
      <c r="M141" s="139"/>
      <c r="N141" s="139">
        <f>N134/N106</f>
        <v>47.940155575879125</v>
      </c>
      <c r="P141" s="139">
        <f>P134/P106</f>
        <v>17.604189439123662</v>
      </c>
      <c r="Q141" s="139"/>
      <c r="R141" s="139">
        <f>R134/R106</f>
        <v>19.526917853530829</v>
      </c>
    </row>
    <row r="142" spans="4:18" x14ac:dyDescent="0.35">
      <c r="D142" s="13"/>
      <c r="E142" s="15"/>
      <c r="F142" s="13" t="s">
        <v>87</v>
      </c>
      <c r="G142" s="55"/>
      <c r="H142" s="15"/>
      <c r="I142" s="55"/>
      <c r="J142" s="15"/>
      <c r="K142" s="15"/>
      <c r="L142" s="139">
        <f>L135/L107</f>
        <v>82.095375206537938</v>
      </c>
      <c r="M142" s="139"/>
      <c r="N142" s="139">
        <f>N135/N107</f>
        <v>116.06407193052412</v>
      </c>
      <c r="P142" s="139">
        <f>P135/P107</f>
        <v>49.041784419671821</v>
      </c>
      <c r="Q142" s="139"/>
      <c r="R142" s="139">
        <f>R135/R107</f>
        <v>47.275057227264277</v>
      </c>
    </row>
    <row r="143" spans="4:18" x14ac:dyDescent="0.35">
      <c r="D143" s="13"/>
      <c r="E143" s="15"/>
      <c r="F143" s="13" t="s">
        <v>88</v>
      </c>
      <c r="G143" s="55"/>
      <c r="H143" s="15"/>
      <c r="I143" s="55"/>
      <c r="J143" s="15"/>
      <c r="K143" s="15"/>
      <c r="L143" s="139">
        <f>L136/L108</f>
        <v>55.941993153192229</v>
      </c>
      <c r="M143" s="139"/>
      <c r="N143" s="139">
        <f>N136/N108</f>
        <v>77.017246929593895</v>
      </c>
      <c r="P143" s="139">
        <f>P136/P108</f>
        <v>33.418388810861089</v>
      </c>
      <c r="Q143" s="139"/>
      <c r="R143" s="139">
        <f>R136/R108</f>
        <v>31.370558481373905</v>
      </c>
    </row>
    <row r="144" spans="4:18" x14ac:dyDescent="0.35">
      <c r="D144" s="13"/>
      <c r="E144" s="15"/>
      <c r="F144" s="13"/>
      <c r="G144" s="55"/>
      <c r="H144" s="15"/>
      <c r="I144" s="55"/>
      <c r="J144" s="15"/>
      <c r="K144" s="15"/>
      <c r="L144" s="139"/>
      <c r="M144" s="139"/>
      <c r="N144" s="139"/>
      <c r="P144" s="139"/>
      <c r="Q144" s="139"/>
      <c r="R144" s="139"/>
    </row>
    <row r="145" spans="1:18" x14ac:dyDescent="0.35">
      <c r="D145" s="13"/>
      <c r="E145" s="15"/>
      <c r="F145" s="13"/>
      <c r="G145" s="55"/>
      <c r="H145" s="15"/>
      <c r="I145" s="55"/>
      <c r="J145" s="15"/>
      <c r="K145" s="15"/>
      <c r="L145" s="55"/>
      <c r="M145" s="15"/>
      <c r="N145" s="55"/>
      <c r="P145" s="15" t="s">
        <v>194</v>
      </c>
      <c r="Q145" s="15"/>
      <c r="R145" s="15" t="s">
        <v>194</v>
      </c>
    </row>
    <row r="146" spans="1:18" x14ac:dyDescent="0.35">
      <c r="D146" s="50" t="s">
        <v>317</v>
      </c>
      <c r="E146" s="49"/>
      <c r="F146" s="50"/>
      <c r="G146" s="51"/>
      <c r="H146" s="49"/>
      <c r="I146" s="51"/>
      <c r="J146" s="49"/>
      <c r="K146" s="15"/>
      <c r="L146" s="31" t="s">
        <v>74</v>
      </c>
      <c r="M146" s="31"/>
      <c r="N146" s="31" t="s">
        <v>72</v>
      </c>
      <c r="O146" s="53"/>
      <c r="P146" s="31" t="s">
        <v>74</v>
      </c>
      <c r="Q146" s="31"/>
      <c r="R146" s="31" t="s">
        <v>72</v>
      </c>
    </row>
    <row r="147" spans="1:18" x14ac:dyDescent="0.35">
      <c r="D147" s="13"/>
      <c r="E147" s="15"/>
      <c r="F147" s="13" t="s">
        <v>84</v>
      </c>
      <c r="G147" s="55"/>
      <c r="H147" s="15"/>
      <c r="I147" s="55"/>
      <c r="J147" s="15"/>
      <c r="K147" s="15"/>
      <c r="L147" s="139">
        <f>1000*L139/L$98</f>
        <v>0.93516361393810365</v>
      </c>
      <c r="M147" s="139"/>
      <c r="N147" s="139">
        <f>1000*N139/N$98</f>
        <v>4.1835289398776823</v>
      </c>
      <c r="P147" s="139">
        <f>1000*P139/P$98</f>
        <v>0.52541663009373896</v>
      </c>
      <c r="Q147" s="139"/>
      <c r="R147" s="139">
        <f>1000*R139/R$98</f>
        <v>1.6786001425581396</v>
      </c>
    </row>
    <row r="148" spans="1:18" x14ac:dyDescent="0.35">
      <c r="D148" s="13"/>
      <c r="E148" s="15"/>
      <c r="F148" s="13" t="s">
        <v>85</v>
      </c>
      <c r="G148" s="55"/>
      <c r="H148" s="15"/>
      <c r="I148" s="55"/>
      <c r="J148" s="15"/>
      <c r="K148" s="15"/>
      <c r="L148" s="139">
        <f>1000*L140/L$98</f>
        <v>12.095793582544363</v>
      </c>
      <c r="M148" s="139"/>
      <c r="N148" s="139">
        <f>1000*N140/N$98</f>
        <v>18.368092923687342</v>
      </c>
      <c r="P148" s="139">
        <f>1000*P140/P$98</f>
        <v>6.7959563521582611</v>
      </c>
      <c r="Q148" s="139"/>
      <c r="R148" s="139">
        <f>1000*R140/R$98</f>
        <v>7.3700179545367757</v>
      </c>
    </row>
    <row r="149" spans="1:18" x14ac:dyDescent="0.35">
      <c r="D149" s="13"/>
      <c r="E149" s="15"/>
      <c r="F149" s="13" t="s">
        <v>86</v>
      </c>
      <c r="G149" s="55"/>
      <c r="H149" s="15"/>
      <c r="I149" s="55"/>
      <c r="J149" s="15"/>
      <c r="K149" s="15"/>
      <c r="L149" s="139">
        <f>1000*L141/L$98</f>
        <v>12.910112983319678</v>
      </c>
      <c r="M149" s="139"/>
      <c r="N149" s="139">
        <f>1000*N141/N$98</f>
        <v>22.551621863565025</v>
      </c>
      <c r="P149" s="139">
        <f>1000*P141/P$98</f>
        <v>7.2534773131947512</v>
      </c>
      <c r="Q149" s="139"/>
      <c r="R149" s="139">
        <f>1000*R141/R$98</f>
        <v>9.0486180970949146</v>
      </c>
    </row>
    <row r="150" spans="1:18" x14ac:dyDescent="0.35">
      <c r="D150" s="13"/>
      <c r="E150" s="15"/>
      <c r="F150" s="13" t="s">
        <v>87</v>
      </c>
      <c r="G150" s="55"/>
      <c r="H150" s="15"/>
      <c r="I150" s="55"/>
      <c r="J150" s="15"/>
      <c r="K150" s="15"/>
      <c r="L150" s="139">
        <f>1000*L142/L$98</f>
        <v>35.965017301761513</v>
      </c>
      <c r="M150" s="139"/>
      <c r="N150" s="139">
        <f>1000*N142/N$98</f>
        <v>54.597925907435759</v>
      </c>
      <c r="O150" s="15"/>
      <c r="P150" s="139">
        <f>1000*P142/P$98</f>
        <v>20.206750893972732</v>
      </c>
      <c r="Q150" s="139"/>
      <c r="R150" s="139">
        <f>1000*R142/R$98</f>
        <v>21.906884720697068</v>
      </c>
    </row>
    <row r="151" spans="1:18" x14ac:dyDescent="0.35">
      <c r="D151" s="13"/>
      <c r="E151" s="15"/>
      <c r="F151" s="13" t="s">
        <v>88</v>
      </c>
      <c r="G151" s="55"/>
      <c r="H151" s="15"/>
      <c r="I151" s="55"/>
      <c r="J151" s="15"/>
      <c r="K151" s="15"/>
      <c r="L151" s="139">
        <f>1000*L143/L$98</f>
        <v>24.507528549420087</v>
      </c>
      <c r="M151" s="139"/>
      <c r="N151" s="139">
        <f>1000*N143/N$98</f>
        <v>36.229832983748416</v>
      </c>
      <c r="O151" s="15"/>
      <c r="P151" s="139">
        <f>1000*P143/P$98</f>
        <v>13.7694226661974</v>
      </c>
      <c r="Q151" s="139"/>
      <c r="R151" s="139">
        <f>1000*R143/R$98</f>
        <v>14.536866766160289</v>
      </c>
    </row>
    <row r="152" spans="1:18" x14ac:dyDescent="0.35">
      <c r="D152" s="13"/>
      <c r="E152" s="15"/>
      <c r="F152" s="13" t="s">
        <v>186</v>
      </c>
      <c r="G152" s="55"/>
      <c r="H152" s="15"/>
      <c r="I152" s="55"/>
      <c r="J152" s="15"/>
      <c r="K152" s="15"/>
      <c r="L152" s="139">
        <f>L147+L148+L151</f>
        <v>37.538485745902555</v>
      </c>
      <c r="M152" s="139"/>
      <c r="N152" s="139">
        <f>N147+N148+N151</f>
        <v>58.781454847313441</v>
      </c>
      <c r="O152" s="15"/>
      <c r="P152" s="139">
        <f>P147+P148+P151</f>
        <v>21.090795648449401</v>
      </c>
      <c r="Q152" s="139"/>
      <c r="R152" s="139">
        <f>R147+R148+R151</f>
        <v>23.585484863255203</v>
      </c>
    </row>
    <row r="153" spans="1:18" x14ac:dyDescent="0.35">
      <c r="D153" s="13"/>
      <c r="E153" s="15"/>
      <c r="F153" s="15"/>
      <c r="G153" s="15" t="s">
        <v>181</v>
      </c>
      <c r="H153" s="15"/>
      <c r="I153" s="55"/>
      <c r="J153" s="15"/>
      <c r="K153" s="15"/>
      <c r="L153" s="139">
        <f>L152*L128/L130</f>
        <v>35.521191669362054</v>
      </c>
      <c r="M153" s="139"/>
      <c r="N153" s="139">
        <f>N152*N128/N130</f>
        <v>26.814918230762562</v>
      </c>
      <c r="O153" s="15"/>
      <c r="P153" s="139">
        <f>P152*P128/P130</f>
        <v>19.629095521460908</v>
      </c>
      <c r="Q153" s="139"/>
      <c r="R153" s="139">
        <f>R152*R128/R130</f>
        <v>10.249527232742709</v>
      </c>
    </row>
    <row r="154" spans="1:18" x14ac:dyDescent="0.35">
      <c r="D154" s="13"/>
      <c r="E154" s="15"/>
      <c r="F154" s="15"/>
      <c r="G154" s="15" t="s">
        <v>182</v>
      </c>
      <c r="H154" s="15"/>
      <c r="I154" s="55"/>
      <c r="J154" s="15"/>
      <c r="K154" s="15"/>
      <c r="L154" s="139">
        <f>L152*L129/L130</f>
        <v>2.0172940765405047</v>
      </c>
      <c r="M154" s="139"/>
      <c r="N154" s="139">
        <f>N152*N129/N130</f>
        <v>31.966536616550872</v>
      </c>
      <c r="O154" s="15"/>
      <c r="P154" s="139">
        <f>P152*P129/P130</f>
        <v>1.4617001269884928</v>
      </c>
      <c r="Q154" s="139"/>
      <c r="R154" s="139">
        <f>R152*R129/R130</f>
        <v>13.335957630512496</v>
      </c>
    </row>
    <row r="155" spans="1:18" x14ac:dyDescent="0.35">
      <c r="D155" s="13"/>
      <c r="E155" s="15"/>
      <c r="F155" s="15"/>
      <c r="G155" s="55"/>
      <c r="H155" s="15"/>
      <c r="I155" s="55"/>
      <c r="J155" s="15"/>
      <c r="K155" s="15"/>
      <c r="L155" s="55"/>
      <c r="M155" s="15"/>
      <c r="N155" s="55"/>
    </row>
    <row r="157" spans="1:18" x14ac:dyDescent="0.35">
      <c r="A157" s="15" t="s">
        <v>45</v>
      </c>
      <c r="B157" s="15"/>
      <c r="C157" s="15"/>
      <c r="D157" s="15"/>
      <c r="E157" s="15"/>
      <c r="F157" s="15"/>
      <c r="G157" s="8"/>
      <c r="H157" s="8"/>
      <c r="I157" s="8"/>
      <c r="J157" s="8"/>
      <c r="K157" s="8"/>
      <c r="L157" s="8"/>
      <c r="M157" s="8"/>
      <c r="N157" s="8"/>
      <c r="O157" s="8"/>
      <c r="P157" s="15"/>
    </row>
    <row r="158" spans="1:18" x14ac:dyDescent="0.35">
      <c r="A158" s="15"/>
      <c r="B158" s="15"/>
      <c r="C158" s="15"/>
      <c r="D158" s="15"/>
      <c r="E158" s="15"/>
      <c r="F158" s="15"/>
      <c r="G158" s="8"/>
      <c r="H158" s="8"/>
      <c r="I158" s="8"/>
      <c r="J158" s="8"/>
      <c r="K158" s="8"/>
      <c r="L158" s="8"/>
      <c r="M158" s="8"/>
      <c r="N158" s="8"/>
      <c r="O158" s="8"/>
      <c r="P158" s="15"/>
    </row>
    <row r="159" spans="1:18" x14ac:dyDescent="0.35">
      <c r="A159" s="15" t="s">
        <v>47</v>
      </c>
      <c r="B159" s="15"/>
      <c r="C159" s="15"/>
      <c r="D159" s="15"/>
      <c r="E159" s="15"/>
      <c r="F159" s="15"/>
      <c r="G159" s="15"/>
      <c r="H159" s="15"/>
      <c r="I159" s="15"/>
      <c r="J159" s="15"/>
      <c r="K159" s="15"/>
      <c r="L159" s="15"/>
      <c r="M159" s="15"/>
      <c r="N159" s="15"/>
      <c r="O159" s="15"/>
      <c r="P159" s="15"/>
    </row>
    <row r="160" spans="1:18" x14ac:dyDescent="0.35">
      <c r="A160" s="15"/>
      <c r="B160" s="15"/>
      <c r="C160" s="15"/>
      <c r="D160" s="15"/>
      <c r="E160" s="15"/>
      <c r="F160" s="15"/>
      <c r="G160" s="15"/>
      <c r="H160" s="15"/>
      <c r="I160" s="15"/>
      <c r="J160" s="15"/>
      <c r="K160" s="15"/>
      <c r="L160" s="15"/>
      <c r="M160" s="15"/>
      <c r="N160" s="15"/>
      <c r="O160" s="15"/>
      <c r="P160" s="15"/>
    </row>
    <row r="161" spans="1:16" s="15" customFormat="1" x14ac:dyDescent="0.35">
      <c r="A161" s="15" t="s">
        <v>106</v>
      </c>
    </row>
    <row r="162" spans="1:16" x14ac:dyDescent="0.35">
      <c r="A162" s="15"/>
      <c r="B162" s="15"/>
      <c r="C162" s="15"/>
      <c r="D162" s="15"/>
      <c r="E162" s="15"/>
      <c r="F162" s="15"/>
      <c r="G162" s="15"/>
      <c r="H162" s="15"/>
      <c r="I162" s="15"/>
      <c r="J162" s="15"/>
      <c r="K162" s="15"/>
      <c r="L162" s="15"/>
      <c r="M162" s="15"/>
      <c r="N162" s="15"/>
      <c r="O162" s="15"/>
      <c r="P162" s="15"/>
    </row>
    <row r="163" spans="1:16" x14ac:dyDescent="0.35">
      <c r="A163" s="15"/>
      <c r="B163" s="15"/>
      <c r="C163" s="15"/>
      <c r="D163" s="15"/>
      <c r="E163" s="15"/>
      <c r="F163" s="15"/>
      <c r="G163" s="8" t="s">
        <v>73</v>
      </c>
      <c r="H163" s="8"/>
      <c r="I163" s="8"/>
      <c r="J163" s="8"/>
      <c r="K163" s="8"/>
      <c r="L163" s="8" t="s">
        <v>75</v>
      </c>
      <c r="M163" s="8"/>
      <c r="N163" s="8"/>
      <c r="O163" s="8"/>
      <c r="P163" s="15"/>
    </row>
    <row r="164" spans="1:16" x14ac:dyDescent="0.35">
      <c r="A164" s="15"/>
      <c r="B164" s="15"/>
      <c r="C164" s="15"/>
      <c r="D164" s="15"/>
      <c r="E164" s="15"/>
      <c r="F164" s="15"/>
      <c r="G164" s="8" t="s">
        <v>74</v>
      </c>
      <c r="H164" s="8"/>
      <c r="I164" s="8" t="s">
        <v>72</v>
      </c>
      <c r="J164" s="8"/>
      <c r="K164" s="8"/>
      <c r="L164" s="8" t="s">
        <v>74</v>
      </c>
      <c r="M164" s="8"/>
      <c r="N164" s="8" t="s">
        <v>72</v>
      </c>
      <c r="O164" s="8"/>
      <c r="P164" s="15"/>
    </row>
    <row r="165" spans="1:16" x14ac:dyDescent="0.35">
      <c r="A165" s="15" t="s">
        <v>38</v>
      </c>
      <c r="B165" s="15"/>
      <c r="C165" s="15"/>
      <c r="D165" s="15"/>
      <c r="E165" s="15"/>
      <c r="F165" s="15"/>
      <c r="G165" s="15"/>
      <c r="H165" s="15"/>
      <c r="I165" s="15"/>
      <c r="J165" s="15"/>
      <c r="K165" s="15"/>
      <c r="L165" s="15"/>
      <c r="M165" s="15"/>
      <c r="N165" s="15"/>
      <c r="O165" s="15"/>
      <c r="P165" s="15"/>
    </row>
    <row r="166" spans="1:16" s="15" customFormat="1" x14ac:dyDescent="0.35">
      <c r="A166" s="15" t="s">
        <v>101</v>
      </c>
      <c r="G166" s="55">
        <f>10*G36</f>
        <v>40.202802362724242</v>
      </c>
      <c r="H166" s="55"/>
      <c r="I166" s="55">
        <f>10*I36</f>
        <v>17.356879469923005</v>
      </c>
      <c r="J166" s="55"/>
      <c r="K166" s="55"/>
      <c r="L166" s="55">
        <f>10*L36</f>
        <v>171.49013949435474</v>
      </c>
      <c r="N166" s="55">
        <f>10*N36</f>
        <v>53.856144896683332</v>
      </c>
    </row>
    <row r="167" spans="1:16" s="15" customFormat="1" x14ac:dyDescent="0.35">
      <c r="A167" s="15" t="s">
        <v>107</v>
      </c>
      <c r="G167" s="55">
        <f>10*G46</f>
        <v>129.76124038937402</v>
      </c>
      <c r="H167" s="55"/>
      <c r="I167" s="55">
        <f>10*I46</f>
        <v>48.227781252489947</v>
      </c>
      <c r="J167" s="55"/>
      <c r="K167" s="55"/>
      <c r="L167" s="55">
        <f>10*L46</f>
        <v>189.57083069464505</v>
      </c>
      <c r="N167" s="55">
        <f>10*N46</f>
        <v>70.574474495447831</v>
      </c>
    </row>
    <row r="168" spans="1:16" s="15" customFormat="1" x14ac:dyDescent="0.35">
      <c r="A168" s="15" t="s">
        <v>108</v>
      </c>
      <c r="D168" s="55"/>
      <c r="G168" s="55">
        <f>10*G43</f>
        <v>55.076502774389951</v>
      </c>
      <c r="H168" s="55"/>
      <c r="I168" s="55">
        <f>10*I43</f>
        <v>19.054870202797328</v>
      </c>
      <c r="J168" s="55"/>
      <c r="K168" s="55"/>
      <c r="L168" s="55">
        <f>10*L43</f>
        <v>12.693597862097569</v>
      </c>
      <c r="N168" s="55">
        <f>10*N43</f>
        <v>4.4452758595204669</v>
      </c>
    </row>
    <row r="169" spans="1:16" s="15" customFormat="1" x14ac:dyDescent="0.35">
      <c r="A169" s="15" t="s">
        <v>109</v>
      </c>
      <c r="G169" s="55">
        <f>10*G44</f>
        <v>32.633024933663307</v>
      </c>
      <c r="H169" s="55"/>
      <c r="I169" s="55">
        <f>10*I44</f>
        <v>9.3139280034231913</v>
      </c>
      <c r="J169" s="55"/>
      <c r="K169" s="55"/>
      <c r="L169" s="55">
        <f>10*L44</f>
        <v>77.845993601814996</v>
      </c>
      <c r="N169" s="55">
        <f>10*N44</f>
        <v>19.866155284916747</v>
      </c>
    </row>
    <row r="170" spans="1:16" s="15" customFormat="1" x14ac:dyDescent="0.35">
      <c r="A170" s="15" t="s">
        <v>110</v>
      </c>
      <c r="G170" s="55">
        <f>10*G45</f>
        <v>42.051712681320758</v>
      </c>
      <c r="H170" s="55"/>
      <c r="I170" s="55">
        <f>10*I45</f>
        <v>19.858982208479116</v>
      </c>
      <c r="J170" s="55"/>
      <c r="K170" s="55"/>
      <c r="L170" s="55">
        <f>10*L45</f>
        <v>99.03123923073251</v>
      </c>
      <c r="N170" s="55">
        <f>10*N45</f>
        <v>46.263042454827435</v>
      </c>
    </row>
    <row r="171" spans="1:16" x14ac:dyDescent="0.35">
      <c r="A171" s="15" t="s">
        <v>39</v>
      </c>
      <c r="B171" s="15"/>
      <c r="C171" s="15"/>
      <c r="D171" s="15"/>
      <c r="E171" s="15"/>
      <c r="F171" s="15"/>
      <c r="G171" s="55"/>
      <c r="H171" s="55"/>
      <c r="I171" s="55"/>
      <c r="J171" s="55"/>
      <c r="K171" s="55"/>
      <c r="L171" s="55"/>
      <c r="M171" s="15"/>
      <c r="N171" s="15"/>
      <c r="O171" s="15"/>
      <c r="P171" s="15"/>
    </row>
    <row r="172" spans="1:16" x14ac:dyDescent="0.35">
      <c r="A172" s="15" t="s">
        <v>103</v>
      </c>
      <c r="B172" s="15"/>
      <c r="C172" s="15"/>
      <c r="D172" s="15"/>
      <c r="E172" s="15"/>
      <c r="F172" s="64"/>
      <c r="G172" s="55">
        <f>10*G38</f>
        <v>329.87131859472464</v>
      </c>
      <c r="H172" s="55"/>
      <c r="I172" s="55">
        <f>10*I38</f>
        <v>880.71341583956848</v>
      </c>
      <c r="J172" s="55"/>
      <c r="K172" s="55"/>
      <c r="L172" s="55">
        <f>10*L38</f>
        <v>234.29508463739637</v>
      </c>
      <c r="M172" s="15"/>
      <c r="N172" s="55">
        <f>10*N38</f>
        <v>809.00758267445394</v>
      </c>
      <c r="O172" s="15"/>
      <c r="P172" s="15"/>
    </row>
    <row r="173" spans="1:16" x14ac:dyDescent="0.35">
      <c r="A173" s="15" t="s">
        <v>144</v>
      </c>
      <c r="B173" s="15"/>
      <c r="C173" s="15"/>
      <c r="D173" s="15"/>
      <c r="E173" s="15"/>
      <c r="F173" s="64"/>
      <c r="G173" s="55"/>
      <c r="H173" s="55"/>
      <c r="I173" s="55">
        <f>I54*I58*I172</f>
        <v>333.31520547213768</v>
      </c>
      <c r="J173" s="55"/>
      <c r="K173" s="55"/>
      <c r="L173" s="55"/>
      <c r="M173" s="15"/>
      <c r="N173" s="55">
        <f>N54*N58*N172</f>
        <v>56.200866111369983</v>
      </c>
      <c r="O173" s="15"/>
      <c r="P173" s="15"/>
    </row>
    <row r="174" spans="1:16" x14ac:dyDescent="0.35">
      <c r="A174" s="15" t="s">
        <v>145</v>
      </c>
      <c r="B174" s="15"/>
      <c r="C174" s="15"/>
      <c r="D174" s="15"/>
      <c r="E174" s="15"/>
      <c r="F174" s="64"/>
      <c r="G174" s="55"/>
      <c r="H174" s="55"/>
      <c r="I174" s="55">
        <f>I54*I61*I172</f>
        <v>224.96357308174089</v>
      </c>
      <c r="J174" s="55"/>
      <c r="K174" s="55"/>
      <c r="L174" s="55"/>
      <c r="M174" s="15"/>
      <c r="N174" s="55">
        <f>N54*N61*N172</f>
        <v>307.75716470510946</v>
      </c>
      <c r="O174" s="15"/>
      <c r="P174" s="15"/>
    </row>
    <row r="175" spans="1:16" x14ac:dyDescent="0.35">
      <c r="A175" s="15" t="s">
        <v>22</v>
      </c>
      <c r="B175" s="15"/>
      <c r="C175" s="15"/>
      <c r="D175" s="15"/>
      <c r="E175" s="15"/>
      <c r="F175" s="64"/>
      <c r="G175" s="55"/>
      <c r="H175" s="55"/>
      <c r="I175" s="55">
        <f>I172*I52</f>
        <v>322.4346372856898</v>
      </c>
      <c r="J175" s="55"/>
      <c r="K175" s="55"/>
      <c r="L175" s="55"/>
      <c r="M175" s="15"/>
      <c r="N175" s="55">
        <f>N52*N172</f>
        <v>445.04955185797445</v>
      </c>
      <c r="O175" s="15"/>
      <c r="P175" s="15"/>
    </row>
    <row r="176" spans="1:16" x14ac:dyDescent="0.35">
      <c r="A176" s="15" t="s">
        <v>33</v>
      </c>
      <c r="B176" s="15"/>
      <c r="C176" s="15"/>
      <c r="D176" s="15"/>
      <c r="E176" s="15"/>
      <c r="F176" s="64"/>
      <c r="G176" s="55">
        <f>10*G37</f>
        <v>500.16463865317701</v>
      </c>
      <c r="H176" s="55"/>
      <c r="I176" s="55">
        <f>10*I37</f>
        <v>53.701924275809183</v>
      </c>
      <c r="J176" s="55"/>
      <c r="K176" s="55"/>
      <c r="L176" s="55">
        <f>10*L37</f>
        <v>404.6439451736041</v>
      </c>
      <c r="M176" s="15"/>
      <c r="N176" s="55">
        <f>10*N37</f>
        <v>66.561797037231813</v>
      </c>
      <c r="O176" s="15"/>
      <c r="P176" s="15"/>
    </row>
    <row r="177" spans="1:26" x14ac:dyDescent="0.35">
      <c r="A177" s="15" t="s">
        <v>144</v>
      </c>
      <c r="B177" s="15"/>
      <c r="C177" s="15"/>
      <c r="D177" s="15"/>
      <c r="E177" s="15"/>
      <c r="F177" s="64"/>
      <c r="G177" s="55">
        <f>G54*G58*G176</f>
        <v>175.08719467571723</v>
      </c>
      <c r="H177" s="55"/>
      <c r="I177" s="55"/>
      <c r="J177" s="55"/>
      <c r="K177" s="55"/>
      <c r="L177" s="55">
        <f>L54*L58*L176</f>
        <v>6.0554551847773697</v>
      </c>
      <c r="M177" s="15"/>
      <c r="N177" s="15"/>
      <c r="O177" s="15"/>
      <c r="P177" s="15"/>
    </row>
    <row r="178" spans="1:26" x14ac:dyDescent="0.35">
      <c r="A178" s="15" t="s">
        <v>145</v>
      </c>
      <c r="B178" s="15"/>
      <c r="C178" s="15"/>
      <c r="D178" s="15"/>
      <c r="E178" s="15"/>
      <c r="F178" s="64"/>
      <c r="G178" s="55">
        <f>G54*G61*G176</f>
        <v>142.83724699755328</v>
      </c>
      <c r="H178" s="55"/>
      <c r="I178" s="55"/>
      <c r="J178" s="55"/>
      <c r="K178" s="55"/>
      <c r="L178" s="55">
        <f>L54*L61*L176</f>
        <v>148.36847098726275</v>
      </c>
      <c r="M178" s="15"/>
      <c r="N178" s="15"/>
      <c r="O178" s="15"/>
      <c r="P178" s="15"/>
    </row>
    <row r="179" spans="1:26" x14ac:dyDescent="0.35">
      <c r="A179" s="15" t="s">
        <v>22</v>
      </c>
      <c r="B179" s="15"/>
      <c r="C179" s="15"/>
      <c r="D179" s="15"/>
      <c r="E179" s="15"/>
      <c r="F179" s="64"/>
      <c r="G179" s="55">
        <f>G52*G176</f>
        <v>182.24019697990656</v>
      </c>
      <c r="H179" s="55"/>
      <c r="I179" s="55"/>
      <c r="J179" s="55"/>
      <c r="K179" s="55"/>
      <c r="L179" s="55">
        <f>L52*L176</f>
        <v>250.22001900156397</v>
      </c>
      <c r="M179" s="139"/>
      <c r="N179" s="15"/>
      <c r="O179" s="15"/>
      <c r="P179" s="15"/>
    </row>
    <row r="180" spans="1:26" x14ac:dyDescent="0.35">
      <c r="A180" s="15" t="s">
        <v>40</v>
      </c>
      <c r="B180" s="15"/>
      <c r="C180" s="15"/>
      <c r="D180" s="15"/>
      <c r="E180" s="15"/>
      <c r="F180" s="15"/>
      <c r="G180" s="55">
        <v>1000</v>
      </c>
      <c r="H180" s="15"/>
      <c r="I180" s="55">
        <v>1000</v>
      </c>
      <c r="J180" s="55"/>
      <c r="K180" s="55"/>
      <c r="L180" s="55">
        <v>1000</v>
      </c>
      <c r="M180" s="15"/>
      <c r="N180" s="55">
        <v>1000</v>
      </c>
      <c r="O180" s="15"/>
      <c r="P180" s="15"/>
      <c r="Q180" s="15"/>
      <c r="R180" s="15"/>
      <c r="S180" s="15"/>
      <c r="T180" s="15"/>
      <c r="U180" s="15"/>
      <c r="V180" s="15"/>
    </row>
    <row r="181" spans="1:26" x14ac:dyDescent="0.35">
      <c r="A181" s="15"/>
      <c r="B181" s="15"/>
      <c r="C181" s="15"/>
      <c r="D181" s="15"/>
      <c r="E181" s="15"/>
      <c r="F181" s="15"/>
      <c r="G181" s="55">
        <f>G166+G167+G172+G177+G178+G179</f>
        <v>1000</v>
      </c>
      <c r="H181" s="20" t="s">
        <v>63</v>
      </c>
      <c r="I181" s="20">
        <f>I166+I167+I173+I174+I175+I176</f>
        <v>1000.0000008377906</v>
      </c>
      <c r="J181" s="20"/>
      <c r="K181" s="20"/>
      <c r="L181" s="55">
        <f>L166+L167+L172+L177+L178+L179</f>
        <v>1000.0000000000002</v>
      </c>
      <c r="M181" s="31" t="s">
        <v>63</v>
      </c>
      <c r="N181" s="20">
        <f>N166+N167+N173+N174+N175+N176</f>
        <v>999.99999910381689</v>
      </c>
      <c r="O181" s="15"/>
      <c r="P181" s="15"/>
    </row>
    <row r="182" spans="1:26" x14ac:dyDescent="0.35">
      <c r="A182" s="15"/>
      <c r="B182" s="15"/>
      <c r="C182" s="15"/>
      <c r="D182" s="15"/>
      <c r="E182" s="15"/>
      <c r="F182" s="15"/>
      <c r="G182" s="55"/>
      <c r="H182" s="55"/>
      <c r="I182" s="55"/>
      <c r="J182" s="55"/>
      <c r="K182" s="55"/>
      <c r="L182" s="55"/>
      <c r="M182" s="15"/>
      <c r="N182" s="15"/>
      <c r="O182" s="15"/>
      <c r="P182" s="15"/>
    </row>
    <row r="183" spans="1:26" x14ac:dyDescent="0.35">
      <c r="A183" s="15" t="s">
        <v>46</v>
      </c>
      <c r="B183" s="15"/>
      <c r="C183" s="15"/>
      <c r="D183" s="15"/>
      <c r="E183" s="15"/>
      <c r="F183" s="15"/>
      <c r="G183" s="55"/>
      <c r="H183" s="55"/>
      <c r="I183" s="55"/>
      <c r="J183" s="55"/>
      <c r="K183" s="55"/>
      <c r="L183" s="55"/>
      <c r="M183" s="15"/>
      <c r="N183" s="15"/>
      <c r="O183" s="15"/>
      <c r="P183" s="15"/>
    </row>
    <row r="184" spans="1:26" x14ac:dyDescent="0.35">
      <c r="A184" s="15" t="s">
        <v>146</v>
      </c>
      <c r="B184" s="15"/>
      <c r="C184" s="15"/>
      <c r="D184" s="15"/>
      <c r="E184" s="15"/>
      <c r="F184" s="15"/>
      <c r="G184" s="55">
        <f>G104</f>
        <v>56.159128676370941</v>
      </c>
      <c r="H184" s="55"/>
      <c r="I184" s="55">
        <f>I104</f>
        <v>55.138475603686032</v>
      </c>
      <c r="J184" s="55"/>
      <c r="K184" s="55"/>
      <c r="L184" s="55">
        <f>L104</f>
        <v>7.3568814667342686</v>
      </c>
      <c r="M184" s="15"/>
      <c r="N184" s="55">
        <f>N104</f>
        <v>9.8454772428102064</v>
      </c>
      <c r="O184" s="15"/>
      <c r="P184" s="15"/>
    </row>
    <row r="185" spans="1:26" x14ac:dyDescent="0.35">
      <c r="A185" s="15" t="s">
        <v>150</v>
      </c>
      <c r="B185" s="15"/>
      <c r="C185" s="15"/>
      <c r="D185" s="15"/>
      <c r="E185" s="15"/>
      <c r="F185" s="15"/>
      <c r="G185" s="226">
        <v>100</v>
      </c>
      <c r="H185" s="55"/>
      <c r="I185" s="226">
        <v>100</v>
      </c>
      <c r="J185" s="55"/>
      <c r="K185" s="55"/>
      <c r="L185" s="226">
        <v>50</v>
      </c>
      <c r="M185" s="15"/>
      <c r="N185" s="226">
        <v>50</v>
      </c>
      <c r="O185" s="15"/>
      <c r="P185" s="15"/>
      <c r="Q185" s="15"/>
      <c r="R185" s="15"/>
      <c r="S185" s="15"/>
      <c r="T185" s="15"/>
      <c r="U185" s="15"/>
      <c r="V185" s="15"/>
      <c r="W185" s="15"/>
      <c r="X185" s="15"/>
      <c r="Y185" s="15"/>
      <c r="Z185" s="15"/>
    </row>
    <row r="186" spans="1:26" x14ac:dyDescent="0.35">
      <c r="A186" s="15" t="s">
        <v>26</v>
      </c>
      <c r="B186" s="15"/>
      <c r="C186" s="15"/>
      <c r="D186" s="15"/>
      <c r="E186" s="15"/>
      <c r="F186" s="15"/>
      <c r="G186" s="55">
        <f>G184/G185*100</f>
        <v>56.159128676370941</v>
      </c>
      <c r="H186" s="55"/>
      <c r="I186" s="55">
        <f>I184/I185*100</f>
        <v>55.138475603686032</v>
      </c>
      <c r="J186" s="55"/>
      <c r="K186" s="55"/>
      <c r="L186" s="55">
        <f>L184/L185*100</f>
        <v>14.713762933468539</v>
      </c>
      <c r="M186" s="15"/>
      <c r="N186" s="55">
        <f>N184/N185*100</f>
        <v>19.690954485620413</v>
      </c>
      <c r="O186" s="15"/>
      <c r="P186" s="15"/>
      <c r="Q186" s="15"/>
      <c r="R186" s="15"/>
      <c r="S186" s="15"/>
      <c r="T186" s="15"/>
      <c r="U186" s="15"/>
      <c r="V186" s="15"/>
      <c r="W186" s="15"/>
      <c r="X186" s="15"/>
      <c r="Y186" s="15"/>
      <c r="Z186" s="15"/>
    </row>
    <row r="187" spans="1:26" x14ac:dyDescent="0.35">
      <c r="A187" s="15" t="s">
        <v>147</v>
      </c>
      <c r="B187" s="15"/>
      <c r="C187" s="15"/>
      <c r="D187" s="15"/>
      <c r="E187" s="15"/>
      <c r="F187" s="15"/>
      <c r="G187" s="55">
        <f>G107</f>
        <v>29.914924289410539</v>
      </c>
      <c r="H187" s="55"/>
      <c r="I187" s="55">
        <f>I107</f>
        <v>28.056915408168489</v>
      </c>
      <c r="J187" s="55"/>
      <c r="K187" s="55"/>
      <c r="L187" s="55">
        <f>L107</f>
        <v>4.6870103504358331</v>
      </c>
      <c r="M187" s="15"/>
      <c r="N187" s="55">
        <f>N107</f>
        <v>4.1311272170414544</v>
      </c>
      <c r="O187" s="15"/>
      <c r="P187" s="15"/>
      <c r="Q187" s="15"/>
      <c r="R187" s="15"/>
      <c r="S187" s="15"/>
      <c r="T187" s="15"/>
      <c r="U187" s="15"/>
      <c r="V187" s="15"/>
      <c r="W187" s="15"/>
      <c r="X187" s="15"/>
      <c r="Y187" s="15"/>
      <c r="Z187" s="15"/>
    </row>
    <row r="188" spans="1:26" x14ac:dyDescent="0.35">
      <c r="A188" s="15" t="s">
        <v>20</v>
      </c>
      <c r="B188" s="15"/>
      <c r="C188" s="15"/>
      <c r="D188" s="15"/>
      <c r="E188" s="15"/>
      <c r="F188" s="15"/>
      <c r="G188" s="226">
        <v>100</v>
      </c>
      <c r="H188" s="55"/>
      <c r="I188" s="226">
        <v>100</v>
      </c>
      <c r="J188" s="55"/>
      <c r="K188" s="55"/>
      <c r="L188" s="226">
        <v>60</v>
      </c>
      <c r="M188" s="15"/>
      <c r="N188" s="226">
        <v>60</v>
      </c>
      <c r="O188" s="15"/>
      <c r="P188" s="15"/>
      <c r="Q188" s="15"/>
      <c r="R188" s="15"/>
      <c r="S188" s="15"/>
      <c r="T188" s="15"/>
      <c r="U188" s="15"/>
      <c r="V188" s="15"/>
      <c r="W188" s="15"/>
      <c r="X188" s="15"/>
      <c r="Y188" s="15"/>
      <c r="Z188" s="15"/>
    </row>
    <row r="189" spans="1:26" x14ac:dyDescent="0.35">
      <c r="A189" s="15" t="s">
        <v>23</v>
      </c>
      <c r="B189" s="15"/>
      <c r="C189" s="15"/>
      <c r="D189" s="15"/>
      <c r="E189" s="15"/>
      <c r="F189" s="15"/>
      <c r="G189" s="55">
        <f>100*G86</f>
        <v>26.99388753056235</v>
      </c>
      <c r="H189" s="55"/>
      <c r="I189" s="55">
        <f>100*I86</f>
        <v>13.810513447432763</v>
      </c>
      <c r="J189" s="55"/>
      <c r="K189" s="55"/>
      <c r="L189" s="55">
        <f>100*L86</f>
        <v>47.60986066452304</v>
      </c>
      <c r="M189" s="15"/>
      <c r="N189" s="55">
        <f>100*N86</f>
        <v>29.060021436227224</v>
      </c>
      <c r="O189" s="15"/>
      <c r="P189" s="15"/>
    </row>
    <row r="190" spans="1:26" x14ac:dyDescent="0.35">
      <c r="A190" s="15" t="s">
        <v>25</v>
      </c>
      <c r="B190" s="15"/>
      <c r="C190" s="15"/>
      <c r="D190" s="15"/>
      <c r="E190" s="15"/>
      <c r="F190" s="15"/>
      <c r="G190" s="55">
        <f>G188*G189/100</f>
        <v>26.99388753056235</v>
      </c>
      <c r="H190" s="55"/>
      <c r="I190" s="55">
        <f>I188*I189/100</f>
        <v>13.810513447432763</v>
      </c>
      <c r="J190" s="55"/>
      <c r="K190" s="55"/>
      <c r="L190" s="55">
        <f>L188*L189/100</f>
        <v>28.565916398713824</v>
      </c>
      <c r="M190" s="15"/>
      <c r="N190" s="55">
        <f>N188*N189/100</f>
        <v>17.436012861736334</v>
      </c>
      <c r="O190" s="15"/>
      <c r="P190" s="15"/>
    </row>
    <row r="191" spans="1:26" x14ac:dyDescent="0.35">
      <c r="A191" s="15"/>
      <c r="B191" s="15"/>
      <c r="C191" s="15"/>
      <c r="D191" s="15"/>
      <c r="E191" s="15"/>
      <c r="F191" s="15"/>
      <c r="G191" s="55"/>
      <c r="H191" s="55"/>
      <c r="I191" s="55"/>
      <c r="J191" s="55"/>
      <c r="K191" s="55"/>
      <c r="L191" s="55"/>
      <c r="M191" s="15"/>
      <c r="N191" s="15"/>
      <c r="O191" s="15"/>
      <c r="P191" s="15"/>
    </row>
    <row r="192" spans="1:26" x14ac:dyDescent="0.35">
      <c r="A192" s="15" t="s">
        <v>293</v>
      </c>
      <c r="B192" s="15"/>
      <c r="C192" s="15"/>
      <c r="D192" s="15"/>
      <c r="E192" s="15"/>
      <c r="F192" s="15"/>
      <c r="G192" s="55"/>
      <c r="H192" s="55"/>
      <c r="I192" s="55"/>
      <c r="J192" s="55"/>
      <c r="K192" s="55"/>
      <c r="L192" s="55"/>
      <c r="M192" s="15"/>
      <c r="N192" s="15"/>
      <c r="O192" s="15"/>
      <c r="P192" s="15"/>
    </row>
    <row r="193" spans="1:16" x14ac:dyDescent="0.35">
      <c r="A193" s="15" t="s">
        <v>111</v>
      </c>
      <c r="B193" s="15"/>
      <c r="C193" s="15"/>
      <c r="D193" s="15"/>
      <c r="E193" s="15"/>
      <c r="F193" s="15"/>
      <c r="G193" s="55"/>
      <c r="H193" s="55"/>
      <c r="I193" s="55"/>
      <c r="J193" s="55"/>
      <c r="K193" s="55"/>
      <c r="L193" s="55"/>
      <c r="M193" s="15"/>
      <c r="N193" s="15"/>
      <c r="O193" s="15"/>
      <c r="P193" s="15"/>
    </row>
    <row r="194" spans="1:16" x14ac:dyDescent="0.35">
      <c r="A194" s="15" t="s">
        <v>24</v>
      </c>
      <c r="B194" s="15"/>
      <c r="C194" s="15"/>
      <c r="D194" s="15"/>
      <c r="E194" s="15"/>
      <c r="F194" s="15"/>
      <c r="G194" s="55">
        <f>G195+G196</f>
        <v>7.8924800151024854</v>
      </c>
      <c r="H194" s="55"/>
      <c r="I194" s="55">
        <f>I195+I196</f>
        <v>14.063171549937264</v>
      </c>
      <c r="J194" s="55"/>
      <c r="K194" s="55"/>
      <c r="L194" s="55">
        <f>L195+L196</f>
        <v>32.478347961541147</v>
      </c>
      <c r="M194" s="15"/>
      <c r="N194" s="55">
        <f>N195+N196</f>
        <v>80.205433222694694</v>
      </c>
      <c r="O194" s="15"/>
      <c r="P194" s="15"/>
    </row>
    <row r="195" spans="1:16" x14ac:dyDescent="0.35">
      <c r="A195" s="15" t="s">
        <v>270</v>
      </c>
      <c r="B195" s="15"/>
      <c r="C195" s="15"/>
      <c r="D195" s="15"/>
      <c r="E195" s="15"/>
      <c r="F195" s="15"/>
      <c r="G195" s="55">
        <f>G177/G184</f>
        <v>3.1176978489943257</v>
      </c>
      <c r="H195" s="55"/>
      <c r="I195" s="55">
        <f>I173/I184</f>
        <v>6.0450565929293738</v>
      </c>
      <c r="J195" s="55"/>
      <c r="K195" s="55"/>
      <c r="L195" s="55">
        <f>L177/L184</f>
        <v>0.82310082229249182</v>
      </c>
      <c r="M195" s="227"/>
      <c r="N195" s="55">
        <f>N173/N184</f>
        <v>5.7082927241959176</v>
      </c>
      <c r="O195" s="15"/>
      <c r="P195" s="15"/>
    </row>
    <row r="196" spans="1:16" x14ac:dyDescent="0.35">
      <c r="A196" s="15" t="s">
        <v>271</v>
      </c>
      <c r="B196" s="15"/>
      <c r="C196" s="15"/>
      <c r="D196" s="15"/>
      <c r="E196" s="15"/>
      <c r="F196" s="15"/>
      <c r="G196" s="55">
        <f>G178/G187</f>
        <v>4.7747821661081602</v>
      </c>
      <c r="H196" s="55"/>
      <c r="I196" s="55">
        <f>I174/I187</f>
        <v>8.0181149570078905</v>
      </c>
      <c r="J196" s="55"/>
      <c r="K196" s="55"/>
      <c r="L196" s="55">
        <f>L178/L187</f>
        <v>31.655247139248658</v>
      </c>
      <c r="M196" s="15"/>
      <c r="N196" s="55">
        <f>N174/N187</f>
        <v>74.49714049849878</v>
      </c>
      <c r="O196" s="15"/>
      <c r="P196" s="15"/>
    </row>
    <row r="197" spans="1:16" x14ac:dyDescent="0.35">
      <c r="A197" s="15" t="s">
        <v>27</v>
      </c>
      <c r="B197" s="15"/>
      <c r="C197" s="15"/>
      <c r="D197" s="15"/>
      <c r="E197" s="15"/>
      <c r="F197" s="15"/>
      <c r="G197" s="55">
        <f>(G177/G186)</f>
        <v>3.1176978489943257</v>
      </c>
      <c r="H197" s="55"/>
      <c r="I197" s="55">
        <f>I173/I186</f>
        <v>6.0450565929293738</v>
      </c>
      <c r="J197" s="55"/>
      <c r="K197" s="55"/>
      <c r="L197" s="55">
        <f>L177/L186</f>
        <v>0.41155041114624585</v>
      </c>
      <c r="M197" s="15"/>
      <c r="N197" s="55">
        <f>N173/N186</f>
        <v>2.8541463620979588</v>
      </c>
      <c r="O197" s="15"/>
      <c r="P197" s="15"/>
    </row>
    <row r="198" spans="1:16" x14ac:dyDescent="0.35">
      <c r="A198" s="15" t="s">
        <v>19</v>
      </c>
      <c r="B198" s="15"/>
      <c r="C198" s="15"/>
      <c r="D198" s="15"/>
      <c r="E198" s="15"/>
      <c r="F198" s="15"/>
      <c r="G198" s="55">
        <f>G179/(G188*G189/100)</f>
        <v>6.7511653063522283</v>
      </c>
      <c r="H198" s="55"/>
      <c r="I198" s="55">
        <f>I175/(I188*I189/100)</f>
        <v>23.347041984570616</v>
      </c>
      <c r="J198" s="55"/>
      <c r="K198" s="55"/>
      <c r="L198" s="55">
        <f>L179/(L188*L189/100)</f>
        <v>8.759390579636019</v>
      </c>
      <c r="M198" s="15"/>
      <c r="N198" s="55">
        <f>N175/(N188*N189/100)</f>
        <v>25.52473179431086</v>
      </c>
      <c r="O198" s="15"/>
      <c r="P198" s="15"/>
    </row>
    <row r="199" spans="1:16" x14ac:dyDescent="0.35">
      <c r="A199" s="15" t="s">
        <v>112</v>
      </c>
      <c r="B199" s="15"/>
      <c r="C199" s="15"/>
      <c r="D199" s="15"/>
      <c r="E199" s="15"/>
      <c r="F199" s="15"/>
      <c r="G199" s="55">
        <f>G179/G189</f>
        <v>6.7511653063522283</v>
      </c>
      <c r="H199" s="55"/>
      <c r="I199" s="55">
        <f>I175/I189</f>
        <v>23.347041984570616</v>
      </c>
      <c r="J199" s="55"/>
      <c r="K199" s="55"/>
      <c r="L199" s="55">
        <f>L179/L189</f>
        <v>5.2556343477816121</v>
      </c>
      <c r="M199" s="15"/>
      <c r="N199" s="55">
        <f>N175/N189</f>
        <v>15.314839076586514</v>
      </c>
      <c r="O199" s="15"/>
      <c r="P199" s="15"/>
    </row>
    <row r="200" spans="1:16" x14ac:dyDescent="0.35">
      <c r="A200" s="15"/>
      <c r="B200" s="15"/>
      <c r="C200" s="15"/>
      <c r="D200" s="15"/>
      <c r="E200" s="15"/>
      <c r="F200" s="15"/>
      <c r="G200" s="15"/>
      <c r="H200" s="15"/>
      <c r="I200" s="15"/>
      <c r="J200" s="15"/>
      <c r="K200" s="15"/>
      <c r="L200" s="15"/>
      <c r="M200" s="15"/>
      <c r="N200" s="15"/>
      <c r="O200" s="15"/>
      <c r="P200" s="15"/>
    </row>
    <row r="201" spans="1:16" x14ac:dyDescent="0.35">
      <c r="A201" s="15" t="s">
        <v>174</v>
      </c>
      <c r="B201" s="15"/>
      <c r="C201" s="15"/>
      <c r="D201" s="15"/>
      <c r="E201" s="15"/>
      <c r="F201" s="15"/>
      <c r="G201" s="15"/>
      <c r="H201" s="15"/>
      <c r="I201" s="15"/>
      <c r="J201" s="15"/>
      <c r="K201" s="15"/>
      <c r="L201" s="15"/>
      <c r="M201" s="15"/>
      <c r="N201" s="15"/>
      <c r="O201" s="15"/>
      <c r="P201" s="15"/>
    </row>
    <row r="202" spans="1:16" x14ac:dyDescent="0.35">
      <c r="A202" s="15" t="s">
        <v>11</v>
      </c>
      <c r="B202" s="15"/>
      <c r="C202" s="15"/>
      <c r="D202" s="15"/>
      <c r="E202" s="15"/>
      <c r="F202" s="15"/>
      <c r="G202" s="15"/>
      <c r="H202" s="15"/>
      <c r="I202" s="15"/>
      <c r="J202" s="15"/>
      <c r="K202" s="15"/>
      <c r="L202" s="15"/>
      <c r="M202" s="15"/>
      <c r="N202" s="15"/>
      <c r="O202" s="15"/>
      <c r="P202" s="15"/>
    </row>
    <row r="203" spans="1:16" x14ac:dyDescent="0.35">
      <c r="A203" s="15" t="s">
        <v>4</v>
      </c>
      <c r="B203" s="15"/>
      <c r="C203" s="15"/>
      <c r="D203" s="15"/>
      <c r="E203" s="228">
        <v>0.1</v>
      </c>
      <c r="F203" s="15"/>
      <c r="G203" s="15">
        <f>E203</f>
        <v>0.1</v>
      </c>
      <c r="H203" s="15"/>
      <c r="I203" s="15">
        <f>E203</f>
        <v>0.1</v>
      </c>
      <c r="J203" s="15"/>
      <c r="K203" s="15"/>
      <c r="L203" s="15">
        <f>E203</f>
        <v>0.1</v>
      </c>
      <c r="M203" s="15"/>
      <c r="N203" s="15">
        <f>E203</f>
        <v>0.1</v>
      </c>
      <c r="O203" s="15"/>
      <c r="P203" s="15"/>
    </row>
    <row r="204" spans="1:16" x14ac:dyDescent="0.35">
      <c r="A204" s="15" t="s">
        <v>151</v>
      </c>
      <c r="B204" s="15"/>
      <c r="C204" s="15"/>
      <c r="D204" s="15"/>
      <c r="E204" s="63">
        <v>0.5</v>
      </c>
      <c r="F204" s="15"/>
      <c r="G204" s="15">
        <f>E204</f>
        <v>0.5</v>
      </c>
      <c r="H204" s="15"/>
      <c r="I204" s="15">
        <f>E204</f>
        <v>0.5</v>
      </c>
      <c r="J204" s="15"/>
      <c r="K204" s="15"/>
      <c r="L204" s="15">
        <f>E204</f>
        <v>0.5</v>
      </c>
      <c r="M204" s="15"/>
      <c r="N204" s="15">
        <f>E204</f>
        <v>0.5</v>
      </c>
      <c r="O204" s="15"/>
      <c r="P204" s="15"/>
    </row>
    <row r="205" spans="1:16" x14ac:dyDescent="0.35">
      <c r="A205" s="15"/>
      <c r="B205" s="15"/>
      <c r="C205" s="15"/>
      <c r="D205" s="15"/>
      <c r="E205" s="15"/>
      <c r="F205" s="15"/>
      <c r="G205" s="15"/>
      <c r="H205" s="15"/>
      <c r="I205" s="15"/>
      <c r="J205" s="15"/>
      <c r="K205" s="15"/>
      <c r="L205" s="15"/>
      <c r="M205" s="15"/>
      <c r="N205" s="15"/>
      <c r="O205" s="15"/>
      <c r="P205" s="15"/>
    </row>
    <row r="206" spans="1:16" x14ac:dyDescent="0.35">
      <c r="A206" s="15" t="s">
        <v>16</v>
      </c>
      <c r="B206" s="15"/>
      <c r="C206" s="15"/>
      <c r="D206" s="15"/>
      <c r="E206" s="15"/>
      <c r="F206" s="15"/>
      <c r="G206" s="15"/>
      <c r="H206" s="15"/>
      <c r="I206" s="15"/>
      <c r="J206" s="15"/>
      <c r="K206" s="15"/>
      <c r="L206" s="15"/>
      <c r="M206" s="15"/>
      <c r="N206" s="15"/>
      <c r="O206" s="15"/>
      <c r="P206" s="15"/>
    </row>
    <row r="207" spans="1:16" x14ac:dyDescent="0.35">
      <c r="A207" s="15" t="s">
        <v>5</v>
      </c>
      <c r="B207" s="15"/>
      <c r="C207" s="15"/>
      <c r="D207" s="15"/>
      <c r="E207" s="15"/>
      <c r="F207" s="15"/>
      <c r="G207" s="139">
        <f>(1/G203)-1</f>
        <v>9</v>
      </c>
      <c r="H207" s="139"/>
      <c r="I207" s="139">
        <f>(1/I203)-1</f>
        <v>9</v>
      </c>
      <c r="J207" s="139"/>
      <c r="K207" s="139"/>
      <c r="L207" s="139">
        <f>(1/L203)-1</f>
        <v>9</v>
      </c>
      <c r="M207" s="15"/>
      <c r="N207" s="139">
        <f>(1/N203)-1</f>
        <v>9</v>
      </c>
      <c r="O207" s="15"/>
      <c r="P207" s="15"/>
    </row>
    <row r="208" spans="1:16" x14ac:dyDescent="0.35">
      <c r="A208" s="15" t="s">
        <v>7</v>
      </c>
      <c r="B208" s="15"/>
      <c r="C208" s="15"/>
      <c r="D208" s="15"/>
      <c r="E208" s="15"/>
      <c r="F208" s="15"/>
      <c r="G208" s="139">
        <f>(1/G204)-1</f>
        <v>1</v>
      </c>
      <c r="H208" s="139"/>
      <c r="I208" s="139">
        <f>(1/I204)-1</f>
        <v>1</v>
      </c>
      <c r="J208" s="139"/>
      <c r="K208" s="139"/>
      <c r="L208" s="139">
        <f>(1/L204)-1</f>
        <v>1</v>
      </c>
      <c r="M208" s="15"/>
      <c r="N208" s="139">
        <f>(1/N204)-1</f>
        <v>1</v>
      </c>
      <c r="O208" s="15"/>
      <c r="P208" s="15"/>
    </row>
    <row r="209" spans="1:24" x14ac:dyDescent="0.35">
      <c r="A209" s="15"/>
      <c r="B209" s="15"/>
      <c r="C209" s="15"/>
      <c r="D209" s="15"/>
      <c r="E209" s="15"/>
      <c r="F209" s="15"/>
      <c r="G209" s="227"/>
      <c r="H209" s="227"/>
      <c r="I209" s="227"/>
      <c r="J209" s="227"/>
      <c r="K209" s="227"/>
      <c r="L209" s="227"/>
      <c r="M209" s="15"/>
      <c r="N209" s="15"/>
      <c r="O209" s="15"/>
      <c r="P209" s="15"/>
    </row>
    <row r="210" spans="1:24" x14ac:dyDescent="0.35">
      <c r="A210" s="15" t="s">
        <v>9</v>
      </c>
      <c r="B210" s="15"/>
      <c r="C210" s="15"/>
      <c r="D210" s="15"/>
      <c r="E210" s="15"/>
      <c r="F210" s="15"/>
      <c r="G210" s="227"/>
      <c r="H210" s="227"/>
      <c r="I210" s="227"/>
      <c r="J210" s="227"/>
      <c r="K210" s="227"/>
      <c r="L210" s="227"/>
      <c r="M210" s="15"/>
      <c r="N210" s="15"/>
      <c r="O210" s="15"/>
      <c r="P210" s="15"/>
    </row>
    <row r="211" spans="1:24" x14ac:dyDescent="0.35">
      <c r="A211" s="15" t="s">
        <v>6</v>
      </c>
      <c r="B211" s="15"/>
      <c r="C211" s="15"/>
      <c r="D211" s="15"/>
      <c r="E211" s="15"/>
      <c r="F211" s="15"/>
      <c r="G211" s="229">
        <f>((G179/G177*(G198/G197)^G207))/(1+((G179/G177*(G198/G197)^G207)))</f>
        <v>0.99908312662017484</v>
      </c>
      <c r="H211" s="229"/>
      <c r="I211" s="229">
        <f>((I175/I173*(I198/I197)^I207))/(1+((I175/I173*(I198/I197)^I207)))</f>
        <v>0.99999459335755936</v>
      </c>
      <c r="J211" s="229"/>
      <c r="K211" s="229"/>
      <c r="L211" s="229">
        <f>((L179/L177*(L198/L197)^L207))/(1+((L179/L177*(L198/L197)^L207)))</f>
        <v>0.99999999999997302</v>
      </c>
      <c r="M211" s="15"/>
      <c r="N211" s="229">
        <f>((N175/N173*(N198/N197)^N207))/(1+((N175/N173*(N198/N197)^N207)))</f>
        <v>0.99999999965487996</v>
      </c>
      <c r="O211" s="15"/>
      <c r="P211" s="15"/>
    </row>
    <row r="212" spans="1:24" x14ac:dyDescent="0.35">
      <c r="A212" s="15" t="s">
        <v>152</v>
      </c>
      <c r="B212" s="15"/>
      <c r="C212" s="15"/>
      <c r="D212" s="15"/>
      <c r="E212" s="15"/>
      <c r="F212" s="15"/>
      <c r="G212" s="227">
        <f>(G178/(G177+G179)*(G196/(G197+G198))^G208)/(1+(G178/(G177+G179)*(G196/(G197+G198))^G208))</f>
        <v>0.16205958912118287</v>
      </c>
      <c r="H212" s="227"/>
      <c r="I212" s="227">
        <f>(I174/(I173+I175)*(I196/(I197+I198))^I208)/(1+(I174/(I173+I175)*(I196/(I197+I198))^I208))</f>
        <v>8.5578040126432942E-2</v>
      </c>
      <c r="J212" s="227"/>
      <c r="K212" s="227"/>
      <c r="L212" s="227">
        <f>(L178/(L177+L179)*(L196/(L197+L198))^L208)/(1+(L178/(L177+L179)*(L196/(L197+L198))^L208))</f>
        <v>0.6664805862642158</v>
      </c>
      <c r="M212" s="15"/>
      <c r="N212" s="227">
        <f>(N174/(N173+N175)*(N196/(N197+N198))^N208)/(1+(N174/(N173+N175)*(N196/(N197+N198))^N208))</f>
        <v>0.61711502940963969</v>
      </c>
      <c r="O212" s="15"/>
      <c r="P212" s="15"/>
    </row>
    <row r="213" spans="1:24" x14ac:dyDescent="0.35">
      <c r="A213" s="15"/>
      <c r="B213" s="15"/>
      <c r="C213" s="15"/>
      <c r="D213" s="15"/>
      <c r="E213" s="15"/>
      <c r="F213" s="15"/>
      <c r="G213" s="227"/>
      <c r="H213" s="227"/>
      <c r="I213" s="227"/>
      <c r="J213" s="227"/>
      <c r="K213" s="227"/>
      <c r="L213" s="227"/>
      <c r="M213" s="15"/>
      <c r="N213" s="15"/>
      <c r="O213" s="15"/>
      <c r="P213" s="15"/>
    </row>
    <row r="214" spans="1:24" x14ac:dyDescent="0.35">
      <c r="A214" s="15" t="s">
        <v>10</v>
      </c>
      <c r="B214" s="15"/>
      <c r="C214" s="15"/>
      <c r="D214" s="15"/>
      <c r="E214" s="15"/>
      <c r="F214" s="15"/>
      <c r="G214" s="227"/>
      <c r="H214" s="227"/>
      <c r="I214" s="227"/>
      <c r="J214" s="227"/>
      <c r="K214" s="227"/>
      <c r="L214" s="227"/>
      <c r="M214" s="15"/>
      <c r="N214" s="227"/>
      <c r="O214" s="15"/>
      <c r="P214" s="15"/>
    </row>
    <row r="215" spans="1:24" x14ac:dyDescent="0.35">
      <c r="A215" s="15" t="s">
        <v>5</v>
      </c>
      <c r="B215" s="15"/>
      <c r="C215" s="15"/>
      <c r="D215" s="15"/>
      <c r="E215" s="15"/>
      <c r="F215" s="15"/>
      <c r="G215" s="227">
        <f>(G197+G198)/(((G211*(G198^(-1*G207)))+((1-G211)*(G197^(-1*G207))))^(-1/G207))</f>
        <v>1.5751991508877157</v>
      </c>
      <c r="H215" s="227"/>
      <c r="I215" s="227">
        <f>(I197+I198)/(((I211*(I198^(-1*I207)))+((1-I211)*(I197^(-1*I207))))^(-1/I207))</f>
        <v>1.3622400286967928</v>
      </c>
      <c r="J215" s="227"/>
      <c r="K215" s="227"/>
      <c r="L215" s="227">
        <f>(L197+L198)/(((L211*(L198^(-1*L207)))+((1-L211)*(L197^(-1*L207))))^(-1/L207))</f>
        <v>1.0497671423272592</v>
      </c>
      <c r="M215" s="15"/>
      <c r="N215" s="227">
        <f>(N197+N198)/(((N211*(N198^(-1*N207)))+((1-N211)*(N197^(-1*N207))))^(-1/N207))</f>
        <v>1.1266072027496461</v>
      </c>
      <c r="O215" s="15"/>
      <c r="P215" s="15"/>
    </row>
    <row r="216" spans="1:24" x14ac:dyDescent="0.35">
      <c r="A216" s="15" t="s">
        <v>8</v>
      </c>
      <c r="B216" s="15"/>
      <c r="C216" s="15"/>
      <c r="D216" s="15"/>
      <c r="E216" s="15"/>
      <c r="F216" s="15"/>
      <c r="G216" s="227">
        <f>1/(((G212*(G196^(-1*G208)))+((1-G212)*((G197+G198)^(-1*G208))))^(-1/G208))</f>
        <v>0.11884822046780338</v>
      </c>
      <c r="H216" s="227"/>
      <c r="I216" s="227">
        <f>1/(((I212*(I196^(-1*I208)))+((1-I212)*((I197+I198)^(-1*I208))))^(-1/I208))</f>
        <v>4.1784236255979872E-2</v>
      </c>
      <c r="J216" s="227"/>
      <c r="K216" s="227"/>
      <c r="L216" s="227">
        <f>1/(((L212*(L196^(-1*L208)))+((1-L212)*((L197+L198)^(-1*L208))))^(-1/L208))</f>
        <v>5.7421326393245722E-2</v>
      </c>
      <c r="M216" s="15"/>
      <c r="N216" s="227">
        <f>1/(((N212*(N196^(-1*N208)))+((1-N212)*((N197+N198)^(-1*N208))))^(-1/N208))</f>
        <v>2.1775640614841621E-2</v>
      </c>
      <c r="O216" s="15"/>
      <c r="P216" s="15"/>
    </row>
    <row r="217" spans="1:24" x14ac:dyDescent="0.35">
      <c r="A217" s="15"/>
      <c r="B217" s="15"/>
      <c r="C217" s="15"/>
      <c r="D217" s="15"/>
      <c r="E217" s="15"/>
      <c r="F217" s="15"/>
      <c r="G217" s="227"/>
      <c r="H217" s="227"/>
      <c r="I217" s="227"/>
      <c r="J217" s="227"/>
      <c r="K217" s="227"/>
      <c r="L217" s="227"/>
      <c r="M217" s="15"/>
      <c r="N217" s="227"/>
      <c r="O217" s="15"/>
      <c r="P217" s="15"/>
    </row>
    <row r="218" spans="1:24" x14ac:dyDescent="0.35">
      <c r="A218" s="15" t="s">
        <v>249</v>
      </c>
      <c r="B218" s="15"/>
      <c r="C218" s="15"/>
      <c r="D218" s="15"/>
      <c r="E218" s="60">
        <v>1</v>
      </c>
      <c r="F218" s="15"/>
      <c r="G218" s="227"/>
      <c r="H218" s="227"/>
      <c r="I218" s="227"/>
      <c r="J218" s="227"/>
      <c r="K218" s="227"/>
      <c r="L218" s="227"/>
      <c r="M218" s="15"/>
      <c r="N218" s="227"/>
      <c r="O218" s="15"/>
      <c r="P218" s="15"/>
      <c r="Q218" s="15"/>
      <c r="R218" s="15"/>
      <c r="S218" s="15"/>
      <c r="T218" s="15"/>
      <c r="U218" s="15"/>
      <c r="V218" s="15"/>
      <c r="W218" s="15"/>
      <c r="X218" s="15"/>
    </row>
    <row r="219" spans="1:24" x14ac:dyDescent="0.35">
      <c r="A219" s="15" t="s">
        <v>5</v>
      </c>
      <c r="B219" s="15"/>
      <c r="C219" s="15"/>
      <c r="D219" s="15"/>
      <c r="F219" s="15"/>
      <c r="G219" s="227">
        <f>E218</f>
        <v>1</v>
      </c>
      <c r="H219" s="227"/>
      <c r="I219" s="227">
        <f>E218</f>
        <v>1</v>
      </c>
      <c r="J219" s="227"/>
      <c r="K219" s="227"/>
      <c r="L219" s="227">
        <f>E218</f>
        <v>1</v>
      </c>
      <c r="M219" s="15"/>
      <c r="N219" s="227">
        <f>E218</f>
        <v>1</v>
      </c>
      <c r="O219" s="15"/>
      <c r="P219" s="15"/>
      <c r="Q219" s="15"/>
      <c r="R219" s="15"/>
      <c r="S219" s="15"/>
      <c r="T219" s="15"/>
      <c r="U219" s="15"/>
      <c r="V219" s="15"/>
      <c r="W219" s="15"/>
      <c r="X219" s="15"/>
    </row>
    <row r="220" spans="1:24" x14ac:dyDescent="0.35">
      <c r="A220" s="15" t="s">
        <v>250</v>
      </c>
      <c r="B220" s="15"/>
      <c r="C220" s="15"/>
      <c r="D220" s="15"/>
      <c r="E220" s="15"/>
      <c r="F220" s="15"/>
      <c r="G220" s="227">
        <f>E218</f>
        <v>1</v>
      </c>
      <c r="H220" s="227"/>
      <c r="I220" s="227">
        <f>E218</f>
        <v>1</v>
      </c>
      <c r="J220" s="227"/>
      <c r="K220" s="227"/>
      <c r="L220" s="227">
        <f>E218</f>
        <v>1</v>
      </c>
      <c r="M220" s="15"/>
      <c r="N220" s="227">
        <f>E218</f>
        <v>1</v>
      </c>
      <c r="O220" s="15"/>
      <c r="P220" s="15"/>
      <c r="Q220" s="15"/>
      <c r="R220" s="15"/>
      <c r="S220" s="15"/>
      <c r="T220" s="15"/>
      <c r="U220" s="15"/>
      <c r="V220" s="15"/>
      <c r="W220" s="15"/>
      <c r="X220" s="15"/>
    </row>
    <row r="221" spans="1:24" x14ac:dyDescent="0.35">
      <c r="A221" s="15" t="s">
        <v>42</v>
      </c>
      <c r="B221" s="15"/>
      <c r="C221" s="15"/>
      <c r="D221" s="15"/>
      <c r="E221" s="15"/>
      <c r="F221" s="15"/>
      <c r="G221" s="15"/>
      <c r="H221" s="15"/>
      <c r="I221" s="15"/>
      <c r="J221" s="15"/>
      <c r="K221" s="15"/>
      <c r="L221" s="15"/>
      <c r="M221" s="15"/>
      <c r="N221" s="15"/>
      <c r="O221" s="15"/>
      <c r="P221" s="15"/>
      <c r="Q221" s="15"/>
      <c r="R221" s="15"/>
      <c r="S221" s="15"/>
      <c r="T221" s="15"/>
      <c r="U221" s="15"/>
      <c r="V221" s="15"/>
      <c r="W221" s="15"/>
      <c r="X221" s="15"/>
    </row>
    <row r="222" spans="1:24" x14ac:dyDescent="0.35">
      <c r="A222" s="15" t="s">
        <v>55</v>
      </c>
      <c r="B222" s="15"/>
      <c r="C222" s="15"/>
      <c r="D222" s="15"/>
      <c r="E222" s="15"/>
      <c r="F222" s="15"/>
      <c r="G222" s="15"/>
      <c r="H222" s="15"/>
      <c r="I222" s="15"/>
      <c r="J222" s="15"/>
      <c r="K222" s="15"/>
      <c r="L222" s="15"/>
      <c r="M222" s="15"/>
      <c r="N222" s="15"/>
      <c r="O222" s="15"/>
      <c r="P222" s="15"/>
      <c r="Q222" s="15"/>
      <c r="R222" s="15"/>
      <c r="S222" s="15"/>
      <c r="T222" s="15"/>
      <c r="U222" s="15"/>
      <c r="V222" s="15"/>
      <c r="W222" s="15"/>
      <c r="X222" s="15"/>
    </row>
    <row r="223" spans="1:24" x14ac:dyDescent="0.35">
      <c r="A223" s="15"/>
      <c r="B223" s="15"/>
      <c r="C223" s="15"/>
      <c r="D223" s="15"/>
      <c r="E223" s="15"/>
      <c r="F223" s="15"/>
      <c r="G223" s="8" t="s">
        <v>104</v>
      </c>
      <c r="H223" s="8"/>
      <c r="I223" s="8"/>
      <c r="J223" s="8"/>
      <c r="K223" s="8"/>
      <c r="L223" s="8" t="s">
        <v>105</v>
      </c>
      <c r="M223" s="8"/>
      <c r="N223" s="8"/>
      <c r="O223" s="8"/>
      <c r="P223" s="15"/>
      <c r="Q223" s="15"/>
      <c r="R223" s="15"/>
      <c r="S223" s="15"/>
      <c r="T223" s="15"/>
      <c r="U223" s="15"/>
      <c r="V223" s="15"/>
      <c r="W223" s="15"/>
      <c r="X223" s="15"/>
    </row>
    <row r="224" spans="1:24" x14ac:dyDescent="0.35">
      <c r="A224" s="15"/>
      <c r="B224" s="15"/>
      <c r="C224" s="15"/>
      <c r="D224" s="15"/>
      <c r="E224" s="15"/>
      <c r="F224" s="15"/>
      <c r="G224" s="8" t="s">
        <v>74</v>
      </c>
      <c r="H224" s="8"/>
      <c r="I224" s="8" t="s">
        <v>72</v>
      </c>
      <c r="J224" s="8"/>
      <c r="K224" s="8"/>
      <c r="L224" s="8" t="s">
        <v>74</v>
      </c>
      <c r="M224" s="8"/>
      <c r="N224" s="8" t="s">
        <v>72</v>
      </c>
      <c r="O224" s="8"/>
      <c r="P224" s="15"/>
      <c r="Q224" s="15"/>
      <c r="R224" s="15"/>
      <c r="S224" s="15"/>
      <c r="T224" s="15"/>
      <c r="U224" s="15"/>
      <c r="V224" s="15"/>
      <c r="W224" s="15"/>
      <c r="X224" s="15"/>
    </row>
    <row r="225" spans="1:24" x14ac:dyDescent="0.35">
      <c r="A225" s="15" t="s">
        <v>17</v>
      </c>
      <c r="B225" s="15"/>
      <c r="C225" s="15"/>
      <c r="D225" s="15"/>
      <c r="E225" s="15"/>
      <c r="F225" s="15"/>
      <c r="G225" s="139">
        <f>(1/(L215/L219))*(((G190/(L211^(-1/L207)))^(L207/(L207+1))+((G186/((1-L211)^(-1/L207)))^(L207/(L207+1))))^((L207+1)/L207))</f>
        <v>28.154042603741829</v>
      </c>
      <c r="H225" s="139"/>
      <c r="I225" s="139">
        <f>(1/(N215/N219))*(((I190/(N211^(-1/N207)))^(N207/(N207+1))+((I186/((1-N211)^(-1/N207)))^(N207/(N207+1))))^((N207+1)/N207))</f>
        <v>17.723422925290915</v>
      </c>
      <c r="J225" s="139"/>
      <c r="K225" s="139"/>
      <c r="L225" s="139">
        <f>(1/(G215*G219))*((((L190/(G211^(-1/G207)))^(G207/(G207+1)))+((L186/((1-G211)^(-1/G207)))^(G207/(G207+1))))^((G207+1)/G207))</f>
        <v>23.721070248484647</v>
      </c>
      <c r="M225" s="15"/>
      <c r="N225" s="139">
        <f>(1/(I215*I219))*((((N190/(I211^(-1/I207)))^(I207/(I207+1)))+((N186/((1-I211)^(-1/I207)))^(I207/(I207+1))))^((I207+1)/I207))</f>
        <v>17.597305942956307</v>
      </c>
      <c r="O225" s="15"/>
      <c r="P225" s="15"/>
      <c r="Q225" s="15"/>
      <c r="R225" s="15"/>
      <c r="S225" s="15"/>
      <c r="T225" s="15"/>
      <c r="U225" s="15"/>
      <c r="V225" s="15"/>
      <c r="W225" s="15"/>
      <c r="X225" s="15"/>
    </row>
    <row r="226" spans="1:24" x14ac:dyDescent="0.35">
      <c r="A226" s="15" t="s">
        <v>113</v>
      </c>
      <c r="B226" s="15"/>
      <c r="C226" s="15"/>
      <c r="D226" s="15"/>
      <c r="E226" s="15"/>
      <c r="F226" s="15"/>
      <c r="G226" s="139">
        <f>(1/(L216/L220))*((((G187/(L212^(-1/L208)))^(L208/(L208+1)))+((G225/((1-L212)^(-1/L208)))^(L208/(L208+1))))^((L208+1)/L208))</f>
        <v>987.31326196475572</v>
      </c>
      <c r="H226" s="139"/>
      <c r="I226" s="139">
        <f>(1/(N216/N220))*((((I187/(N212^(-1/N208)))^(N208/(N208+1)))+((I225/((1-N212)^(-1/N208)))^(N208/(N208+1))))^((N208+1)/N208))</f>
        <v>2102.3245096221717</v>
      </c>
      <c r="J226" s="139"/>
      <c r="K226" s="139"/>
      <c r="L226" s="139">
        <f>(1/(G216*G220))*((((L187/(G212^(-1/G208)))^(G208/(G208+1)))+((L225/((1-G212)^(-1/G208)))^(G208/(G208+1))))^((G208+1)/G208))</f>
        <v>239.02448881630485</v>
      </c>
      <c r="M226" s="15"/>
      <c r="N226" s="139">
        <f>(1/(I216*I220))*((((N187/(I212^(-1/I208)))^(I208/(I208+1)))+((N225/((1-I212)^(-1/I208)))^(I208/(I208+1))))^((I208+1)/I208))</f>
        <v>507.73106351325481</v>
      </c>
      <c r="O226" s="15"/>
      <c r="P226" s="15"/>
      <c r="Q226" s="15"/>
      <c r="R226" s="15"/>
      <c r="S226" s="15"/>
      <c r="T226" s="15"/>
      <c r="U226" s="15"/>
      <c r="V226" s="15"/>
      <c r="W226" s="15"/>
      <c r="X226" s="15"/>
    </row>
    <row r="227" spans="1:24" x14ac:dyDescent="0.35">
      <c r="A227" s="15"/>
      <c r="B227" s="15"/>
      <c r="C227" s="15"/>
      <c r="D227" s="15"/>
      <c r="E227" s="15"/>
      <c r="F227" s="15"/>
      <c r="G227" s="230"/>
      <c r="H227" s="230"/>
      <c r="I227" s="230"/>
      <c r="J227" s="230"/>
      <c r="K227" s="230"/>
      <c r="L227" s="230"/>
      <c r="M227" s="15"/>
      <c r="N227" s="15"/>
      <c r="O227" s="15"/>
      <c r="P227" s="15"/>
      <c r="Q227" s="15"/>
      <c r="R227" s="15"/>
      <c r="S227" s="15"/>
      <c r="T227" s="15"/>
      <c r="U227" s="15"/>
      <c r="V227" s="15"/>
      <c r="W227" s="15"/>
      <c r="X227" s="15"/>
    </row>
    <row r="228" spans="1:24" x14ac:dyDescent="0.35">
      <c r="A228" s="15" t="s">
        <v>292</v>
      </c>
      <c r="B228" s="15"/>
      <c r="C228" s="15"/>
      <c r="D228" s="15"/>
      <c r="E228" s="15"/>
      <c r="F228" s="15"/>
      <c r="G228" s="55">
        <f>((1+L272)*L166+(1-L272)*L167+L172+G226)/1000</f>
        <v>1.5808612476711228</v>
      </c>
      <c r="H228" s="55"/>
      <c r="I228" s="55">
        <f>((1+N272)*N166+(1-N272)*N167+N176+I226)/1000</f>
        <v>2.2916450930916579</v>
      </c>
      <c r="J228" s="55"/>
      <c r="K228" s="55"/>
      <c r="L228" s="55">
        <f>((1+L272)*G166+(1-L272)*G167+G172+L226)/1000</f>
        <v>0.72990400636046271</v>
      </c>
      <c r="M228" s="55"/>
      <c r="N228" s="55">
        <f>((1+N272)*I166+(1-N272)*I167+I176+N226)/1000</f>
        <v>0.6239305583332202</v>
      </c>
      <c r="O228" s="15"/>
      <c r="P228" s="15"/>
      <c r="Q228" s="15"/>
      <c r="R228" s="15"/>
      <c r="S228" s="15"/>
      <c r="T228" s="15"/>
      <c r="U228" s="15"/>
      <c r="V228" s="15"/>
      <c r="W228" s="15"/>
      <c r="X228" s="15"/>
    </row>
    <row r="229" spans="1:24" x14ac:dyDescent="0.35">
      <c r="A229" s="15" t="s">
        <v>291</v>
      </c>
      <c r="B229" s="15"/>
      <c r="C229" s="15"/>
      <c r="D229" s="15"/>
      <c r="E229" s="15"/>
      <c r="F229" s="15"/>
      <c r="G229" s="55">
        <f>G228/(1+L272)*(1+L274)</f>
        <v>1.494632452343607</v>
      </c>
      <c r="H229" s="55"/>
      <c r="I229" s="55">
        <f>I228/(1+N272)*(1+N274)</f>
        <v>2.1666462698321127</v>
      </c>
      <c r="J229" s="55"/>
      <c r="K229" s="55"/>
      <c r="L229" s="55">
        <f>L228*(1+L272)*(1+L273)</f>
        <v>0.94741540025588067</v>
      </c>
      <c r="M229" s="55"/>
      <c r="N229" s="55">
        <f>N228*(1+N272)*(1+N273)</f>
        <v>0.80986186471651989</v>
      </c>
      <c r="O229" s="15"/>
      <c r="P229" s="15"/>
      <c r="Q229" s="15"/>
      <c r="R229" s="15"/>
      <c r="S229" s="15"/>
      <c r="T229" s="15"/>
      <c r="U229" s="15"/>
      <c r="V229" s="15"/>
      <c r="W229" s="15"/>
      <c r="X229" s="15"/>
    </row>
    <row r="230" spans="1:24" x14ac:dyDescent="0.3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row>
    <row r="231" spans="1:24" x14ac:dyDescent="0.35">
      <c r="A231" s="15" t="s">
        <v>51</v>
      </c>
      <c r="B231" s="15"/>
      <c r="C231" s="15"/>
      <c r="D231" s="15"/>
      <c r="E231" s="15"/>
      <c r="F231" s="15"/>
      <c r="G231" s="15"/>
      <c r="H231" s="15"/>
      <c r="I231" s="15"/>
      <c r="J231" s="15"/>
      <c r="K231" s="15"/>
      <c r="L231" s="15"/>
      <c r="M231" s="15"/>
      <c r="N231" s="15"/>
      <c r="O231" s="15"/>
      <c r="P231" s="15"/>
    </row>
    <row r="232" spans="1:24" x14ac:dyDescent="0.35">
      <c r="A232" s="15"/>
      <c r="B232" s="15"/>
      <c r="C232" s="15"/>
      <c r="D232" s="15"/>
      <c r="E232" s="15"/>
      <c r="F232" s="15"/>
      <c r="G232" s="31" t="s">
        <v>41</v>
      </c>
      <c r="H232" s="15"/>
      <c r="I232" s="31" t="s">
        <v>41</v>
      </c>
      <c r="J232" s="15"/>
      <c r="K232" s="15"/>
      <c r="L232" s="31" t="s">
        <v>41</v>
      </c>
      <c r="M232" s="15"/>
      <c r="N232" s="15"/>
      <c r="O232" s="15"/>
      <c r="P232" s="15"/>
    </row>
    <row r="233" spans="1:24" x14ac:dyDescent="0.35">
      <c r="A233" s="15" t="s">
        <v>38</v>
      </c>
      <c r="B233" s="15"/>
      <c r="C233" s="15"/>
      <c r="D233" s="15"/>
      <c r="E233" s="15"/>
      <c r="F233" s="15"/>
      <c r="G233" s="15"/>
      <c r="H233" s="15"/>
      <c r="I233" s="15"/>
      <c r="J233" s="15"/>
      <c r="K233" s="15"/>
      <c r="L233" s="15"/>
      <c r="M233" s="15"/>
      <c r="N233" s="15"/>
      <c r="O233" s="15"/>
      <c r="P233" s="15"/>
    </row>
    <row r="234" spans="1:24" x14ac:dyDescent="0.35">
      <c r="A234" s="15" t="s">
        <v>101</v>
      </c>
      <c r="B234" s="15"/>
      <c r="C234" s="15"/>
      <c r="D234" s="15"/>
      <c r="E234" s="15"/>
      <c r="F234" s="55">
        <f>(1+L272)*L166</f>
        <v>188.63915344379024</v>
      </c>
      <c r="G234" s="55">
        <f>(1+L272)*L166/(G228*1000)*100</f>
        <v>11.932682499598732</v>
      </c>
      <c r="H234" s="55">
        <f>(1+N272)*N166</f>
        <v>59.241759386351667</v>
      </c>
      <c r="I234" s="55">
        <f>(1+N272)*N166/(I228*1000)*100</f>
        <v>2.5851192911564076</v>
      </c>
      <c r="J234" s="55"/>
      <c r="K234" s="55">
        <f>(1+L272)*G166</f>
        <v>44.223082598996669</v>
      </c>
      <c r="L234" s="55">
        <f>(1+L272)*G166/(L228*1000)*100</f>
        <v>6.0587532351695463</v>
      </c>
      <c r="M234" s="55">
        <f>(1+N272)*I166</f>
        <v>19.092567416915308</v>
      </c>
      <c r="N234" s="55">
        <f>(1+N272)*I166/(N228*1000)*100</f>
        <v>3.0600468532779592</v>
      </c>
      <c r="O234" s="15"/>
      <c r="P234" s="15"/>
      <c r="Q234" s="15"/>
      <c r="R234" s="15"/>
      <c r="S234" s="15"/>
      <c r="T234" s="15"/>
      <c r="U234" s="15"/>
      <c r="V234" s="15"/>
    </row>
    <row r="235" spans="1:24" x14ac:dyDescent="0.35">
      <c r="A235" s="15" t="s">
        <v>102</v>
      </c>
      <c r="B235" s="15"/>
      <c r="C235" s="15"/>
      <c r="D235" s="15"/>
      <c r="E235" s="15"/>
      <c r="F235" s="55">
        <f>((1-L272)*L167)</f>
        <v>170.61374762518057</v>
      </c>
      <c r="G235" s="55">
        <f>((1-L272)*L167)/(G228*1000)*100</f>
        <v>10.792455560317112</v>
      </c>
      <c r="H235" s="55">
        <f>((1-N272)*N167)</f>
        <v>63.517027045903049</v>
      </c>
      <c r="I235" s="55">
        <f>((1-N272)*N167)/(I228*1000)*100</f>
        <v>2.7716781816425264</v>
      </c>
      <c r="J235" s="55"/>
      <c r="K235" s="55">
        <f>((1-L272)*G167)</f>
        <v>116.78511635043662</v>
      </c>
      <c r="L235" s="55">
        <f>((1-L272)*G167)/(L228*1000)*100</f>
        <v>16.000065122640571</v>
      </c>
      <c r="M235" s="55">
        <f>((1-N272)*I167)</f>
        <v>43.405003127240953</v>
      </c>
      <c r="N235" s="55">
        <f>((1-N272)*I167)/(N228*1000)*100</f>
        <v>6.9567041632315449</v>
      </c>
      <c r="O235" s="15"/>
      <c r="P235" s="15"/>
    </row>
    <row r="236" spans="1:24" x14ac:dyDescent="0.35">
      <c r="A236" s="15" t="s">
        <v>39</v>
      </c>
      <c r="B236" s="15"/>
      <c r="C236" s="15"/>
      <c r="D236" s="15"/>
      <c r="E236" s="15"/>
      <c r="F236" s="55"/>
      <c r="G236" s="55"/>
      <c r="H236" s="55"/>
      <c r="I236" s="55"/>
      <c r="J236" s="55"/>
      <c r="K236" s="55"/>
      <c r="L236" s="55"/>
      <c r="M236" s="55"/>
      <c r="N236" s="55"/>
      <c r="O236" s="15"/>
      <c r="P236" s="15"/>
    </row>
    <row r="237" spans="1:24" s="15" customFormat="1" x14ac:dyDescent="0.35">
      <c r="A237" s="15" t="s">
        <v>114</v>
      </c>
      <c r="F237" s="55">
        <f>L172</f>
        <v>234.29508463739637</v>
      </c>
      <c r="G237" s="55">
        <f>L172/(G228*1000)*100</f>
        <v>14.820724145307048</v>
      </c>
      <c r="H237" s="55">
        <f>N176</f>
        <v>66.561797037231813</v>
      </c>
      <c r="I237" s="55">
        <f>N176/(I228*1000)*100</f>
        <v>2.9045421229442336</v>
      </c>
      <c r="J237" s="55"/>
      <c r="K237" s="55">
        <f>G172</f>
        <v>329.87131859472464</v>
      </c>
      <c r="L237" s="55">
        <f>G172/(L228*1000)*100</f>
        <v>45.193794762076955</v>
      </c>
      <c r="M237" s="55">
        <f>I176</f>
        <v>53.701924275809183</v>
      </c>
      <c r="N237" s="55">
        <f>I176/(N228*1000)*100</f>
        <v>8.6070354398523961</v>
      </c>
      <c r="O237" s="55"/>
    </row>
    <row r="238" spans="1:24" x14ac:dyDescent="0.35">
      <c r="A238" s="15" t="s">
        <v>115</v>
      </c>
      <c r="B238" s="15"/>
      <c r="C238" s="15"/>
      <c r="D238" s="15"/>
      <c r="E238" s="15"/>
      <c r="F238" s="55">
        <f>G226</f>
        <v>987.31326196475572</v>
      </c>
      <c r="G238" s="55">
        <f>G226/(G228*1000)*100</f>
        <v>62.454137794777111</v>
      </c>
      <c r="H238" s="55">
        <f>I226</f>
        <v>2102.3245096221717</v>
      </c>
      <c r="I238" s="55">
        <f>I226/(I228*1000)*100</f>
        <v>91.738660404256848</v>
      </c>
      <c r="J238" s="55"/>
      <c r="K238" s="55">
        <f>L226</f>
        <v>239.02448881630485</v>
      </c>
      <c r="L238" s="55">
        <f>L226/(L228*1000)*100</f>
        <v>32.747386880112934</v>
      </c>
      <c r="M238" s="55">
        <f>N226</f>
        <v>507.73106351325481</v>
      </c>
      <c r="N238" s="55">
        <f>N226/(N228*1000)*100</f>
        <v>81.376213543638116</v>
      </c>
      <c r="O238" s="15"/>
      <c r="P238" s="15"/>
    </row>
    <row r="239" spans="1:24" x14ac:dyDescent="0.35">
      <c r="A239" s="15" t="s">
        <v>153</v>
      </c>
      <c r="B239" s="15"/>
      <c r="C239" s="15"/>
      <c r="D239" s="15"/>
      <c r="E239" s="15"/>
      <c r="F239" s="55">
        <f>G239*G228*10</f>
        <v>31.479761018534699</v>
      </c>
      <c r="G239" s="55">
        <f>G250*G184/(G228*1000)*100</f>
        <v>1.9913044908216795</v>
      </c>
      <c r="H239" s="55">
        <f>I239*I228*10</f>
        <v>228.55490842438044</v>
      </c>
      <c r="I239" s="55">
        <f>I250*I184/(I228*1000)*100</f>
        <v>9.9733989836985213</v>
      </c>
      <c r="J239" s="15"/>
      <c r="K239" s="55">
        <f>L250*L184</f>
        <v>42.9396110713014</v>
      </c>
      <c r="L239" s="55">
        <f>L250*L184/(L228*1000)*100</f>
        <v>5.8829120948948033</v>
      </c>
      <c r="M239" s="55">
        <f>N250*N184</f>
        <v>110.15648396632604</v>
      </c>
      <c r="N239" s="55">
        <f>N250*N184/(N228*1000)*100</f>
        <v>17.655247446222241</v>
      </c>
      <c r="O239" s="15"/>
      <c r="P239" s="15"/>
    </row>
    <row r="240" spans="1:24" x14ac:dyDescent="0.35">
      <c r="A240" s="15" t="s">
        <v>154</v>
      </c>
      <c r="B240" s="15"/>
      <c r="C240" s="15"/>
      <c r="D240" s="15"/>
      <c r="E240" s="15"/>
      <c r="F240" s="55">
        <f>G240*G228*10</f>
        <v>585.50226706824515</v>
      </c>
      <c r="G240" s="55">
        <f>G251*G187/(G228*1000)*100</f>
        <v>37.036916929350348</v>
      </c>
      <c r="H240" s="55">
        <f>I240*I228*10</f>
        <v>1292.9074254346622</v>
      </c>
      <c r="I240" s="55">
        <f>I251*I187/(I228*1000)*100</f>
        <v>56.418309682080881</v>
      </c>
      <c r="J240" s="55"/>
      <c r="K240" s="55">
        <f>L251*L187</f>
        <v>39.085005768592332</v>
      </c>
      <c r="L240" s="55">
        <f>L251*L187/(L228*1000)*100</f>
        <v>5.3548145273900882</v>
      </c>
      <c r="M240" s="55">
        <f>N251*N187</f>
        <v>65.542965302475537</v>
      </c>
      <c r="N240" s="55">
        <f>N251*N187/(N228*1000)*100</f>
        <v>10.504849366180787</v>
      </c>
      <c r="O240" s="15"/>
      <c r="P240" s="15"/>
    </row>
    <row r="241" spans="1:18" x14ac:dyDescent="0.35">
      <c r="A241" s="15" t="s">
        <v>12</v>
      </c>
      <c r="B241" s="15"/>
      <c r="C241" s="15"/>
      <c r="D241" s="15"/>
      <c r="E241" s="15"/>
      <c r="F241" s="55">
        <f>G241*G228*10</f>
        <v>370.33123387797582</v>
      </c>
      <c r="G241" s="55">
        <f>G238-G240-G239</f>
        <v>23.425916374605084</v>
      </c>
      <c r="H241" s="55">
        <f>I241*I228*10</f>
        <v>580.86217576312902</v>
      </c>
      <c r="I241" s="55">
        <f>I238-I240-I239</f>
        <v>25.346951738477443</v>
      </c>
      <c r="J241" s="55"/>
      <c r="K241" s="55">
        <f>L241*L228*10</f>
        <v>156.9998719764111</v>
      </c>
      <c r="L241" s="55">
        <f>L238-L240-L239</f>
        <v>21.509660257828042</v>
      </c>
      <c r="M241" s="55">
        <f>N241*N228*10</f>
        <v>332.03161424445329</v>
      </c>
      <c r="N241" s="55">
        <f>N238-N240-N239</f>
        <v>53.216116731235083</v>
      </c>
      <c r="O241" s="15"/>
      <c r="P241" s="15"/>
    </row>
    <row r="242" spans="1:18" x14ac:dyDescent="0.35">
      <c r="A242" s="15" t="s">
        <v>40</v>
      </c>
      <c r="B242" s="15"/>
      <c r="C242" s="15"/>
      <c r="D242" s="15"/>
      <c r="E242" s="15"/>
      <c r="F242" s="55">
        <f>SUM(F234:F238)</f>
        <v>1580.8612476711228</v>
      </c>
      <c r="G242" s="55">
        <f>SUM(G234:G238)</f>
        <v>100</v>
      </c>
      <c r="H242" s="55">
        <f>SUM(H234:H238)</f>
        <v>2291.6450930916581</v>
      </c>
      <c r="I242" s="55">
        <f>SUM(I234:I238)</f>
        <v>100.00000000000001</v>
      </c>
      <c r="J242" s="55"/>
      <c r="K242" s="55">
        <f>SUM(K234:K238)</f>
        <v>729.90400636046274</v>
      </c>
      <c r="L242" s="55">
        <f>SUM(L234:L238)</f>
        <v>100</v>
      </c>
      <c r="M242" s="55">
        <f>SUM(M234:M238)</f>
        <v>623.93055833322023</v>
      </c>
      <c r="N242" s="55">
        <f>SUM(N234:N238)</f>
        <v>100.00000000000001</v>
      </c>
      <c r="O242" s="15"/>
      <c r="P242" s="15"/>
    </row>
    <row r="243" spans="1:18" x14ac:dyDescent="0.35">
      <c r="A243" s="15"/>
      <c r="B243" s="15"/>
      <c r="C243" s="15"/>
      <c r="D243" s="15"/>
      <c r="E243" s="15"/>
      <c r="F243" s="55"/>
      <c r="G243" s="55"/>
      <c r="H243" s="55"/>
      <c r="I243" s="55"/>
      <c r="J243" s="55"/>
      <c r="K243" s="55"/>
      <c r="L243" s="55"/>
      <c r="M243" s="15"/>
      <c r="N243" s="15"/>
      <c r="O243" s="15"/>
      <c r="P243" s="15"/>
    </row>
    <row r="244" spans="1:18" x14ac:dyDescent="0.35">
      <c r="A244" s="15" t="s">
        <v>13</v>
      </c>
      <c r="B244" s="15"/>
      <c r="C244" s="15"/>
      <c r="D244" s="15"/>
      <c r="E244" s="15"/>
      <c r="F244" s="55"/>
      <c r="G244" s="55"/>
      <c r="H244" s="55"/>
      <c r="I244" s="55"/>
      <c r="J244" s="55"/>
      <c r="K244" s="55"/>
      <c r="L244" s="55"/>
      <c r="M244" s="15"/>
      <c r="N244" s="15"/>
      <c r="O244" s="15"/>
      <c r="P244" s="15"/>
    </row>
    <row r="245" spans="1:18" x14ac:dyDescent="0.35">
      <c r="A245" s="15" t="s">
        <v>3</v>
      </c>
      <c r="B245" s="15"/>
      <c r="C245" s="15"/>
      <c r="D245" s="15"/>
      <c r="E245" s="15"/>
      <c r="F245" s="55"/>
      <c r="G245" s="227">
        <f>((G190/G186)*((1-L211)/L211))^(1/(1+L207))</f>
        <v>4.0858851758740843E-2</v>
      </c>
      <c r="H245" s="55"/>
      <c r="I245" s="227">
        <f>((I190/I186)*((1-N211)/N211))^(1/(1+N207))</f>
        <v>9.8553607333236523E-2</v>
      </c>
      <c r="J245" s="55"/>
      <c r="K245" s="55"/>
      <c r="L245" s="55">
        <f>(L190/L186*(1-G211)/G211)^(1/(1+G207))</f>
        <v>0.53098617603685627</v>
      </c>
      <c r="M245" s="15"/>
      <c r="N245" s="55">
        <f>(N190/N186*(1-I211)/I211)^(1/(1+I207))</f>
        <v>0.29377243360615624</v>
      </c>
      <c r="O245" s="15"/>
      <c r="P245" s="15"/>
      <c r="Q245" s="15"/>
      <c r="R245" s="15"/>
    </row>
    <row r="246" spans="1:18" x14ac:dyDescent="0.35">
      <c r="A246" s="15" t="s">
        <v>155</v>
      </c>
      <c r="B246" s="15"/>
      <c r="C246" s="15"/>
      <c r="D246" s="15"/>
      <c r="E246" s="15"/>
      <c r="F246" s="55"/>
      <c r="G246" s="227">
        <f>(G187/G225*(1-L212)/L212)^(1/(1+L208))</f>
        <v>0.72918945553315662</v>
      </c>
      <c r="H246" s="55"/>
      <c r="I246" s="227">
        <f>(I187/I225*(1-N212)/N212)^(1/(1+N208))</f>
        <v>0.99105386325181555</v>
      </c>
      <c r="J246" s="55"/>
      <c r="K246" s="55"/>
      <c r="L246" s="55">
        <f>(L187/L225*(1-G212)/G212)^(1/(1+G208))</f>
        <v>1.010764586505086</v>
      </c>
      <c r="M246" s="15"/>
      <c r="N246" s="55">
        <f>(N187/N225*(1-I212)/I212)^(1/(1+I208))</f>
        <v>1.5838109736293107</v>
      </c>
      <c r="O246" s="15"/>
      <c r="P246" s="15"/>
      <c r="Q246" s="15"/>
      <c r="R246" s="15"/>
    </row>
    <row r="247" spans="1:18" x14ac:dyDescent="0.35">
      <c r="A247" s="15"/>
      <c r="B247" s="15"/>
      <c r="C247" s="15"/>
      <c r="D247" s="15"/>
      <c r="E247" s="15"/>
      <c r="F247" s="55"/>
      <c r="G247" s="55"/>
      <c r="H247" s="55"/>
      <c r="I247" s="55"/>
      <c r="J247" s="55"/>
      <c r="K247" s="55"/>
      <c r="L247" s="55"/>
      <c r="M247" s="15"/>
      <c r="N247" s="55"/>
      <c r="O247" s="15"/>
      <c r="P247" s="15"/>
    </row>
    <row r="248" spans="1:18" x14ac:dyDescent="0.35">
      <c r="A248" s="15" t="s">
        <v>14</v>
      </c>
      <c r="B248" s="15"/>
      <c r="C248" s="15"/>
      <c r="D248" s="15"/>
      <c r="E248" s="15"/>
      <c r="F248" s="55"/>
      <c r="G248" s="55"/>
      <c r="H248" s="55"/>
      <c r="I248" s="55"/>
      <c r="J248" s="55"/>
      <c r="K248" s="55"/>
      <c r="L248" s="55"/>
      <c r="M248" s="15"/>
      <c r="N248" s="55"/>
      <c r="O248" s="15"/>
      <c r="P248" s="15"/>
    </row>
    <row r="249" spans="1:18" x14ac:dyDescent="0.35">
      <c r="A249" s="15" t="s">
        <v>1</v>
      </c>
      <c r="B249" s="15"/>
      <c r="C249" s="15"/>
      <c r="D249" s="15"/>
      <c r="E249" s="15"/>
      <c r="F249" s="55"/>
      <c r="G249" s="55">
        <f>G250+G251</f>
        <v>20.132792079799955</v>
      </c>
      <c r="H249" s="55"/>
      <c r="I249" s="55">
        <f>I250+I251</f>
        <v>50.226702944584545</v>
      </c>
      <c r="J249" s="55"/>
      <c r="K249" s="55"/>
      <c r="L249" s="55">
        <f>L250+L251</f>
        <v>14.1756650043405</v>
      </c>
      <c r="M249" s="15"/>
      <c r="N249" s="55">
        <f>N250+N251</f>
        <v>27.054173866648377</v>
      </c>
      <c r="O249" s="15"/>
      <c r="P249" s="15"/>
    </row>
    <row r="250" spans="1:18" x14ac:dyDescent="0.35">
      <c r="A250" s="15" t="s">
        <v>156</v>
      </c>
      <c r="B250" s="15"/>
      <c r="C250" s="15"/>
      <c r="D250" s="15"/>
      <c r="E250" s="15"/>
      <c r="F250" s="55"/>
      <c r="G250" s="55">
        <f>G252/G185*100</f>
        <v>0.56054575205294932</v>
      </c>
      <c r="H250" s="55"/>
      <c r="I250" s="55">
        <f>I252/I185*100</f>
        <v>4.1451074938513797</v>
      </c>
      <c r="J250" s="55"/>
      <c r="K250" s="55"/>
      <c r="L250" s="55">
        <f>L252/L185*100</f>
        <v>5.8366593597385172</v>
      </c>
      <c r="M250" s="15"/>
      <c r="N250" s="55">
        <f>N252/N185*100</f>
        <v>11.188536751407282</v>
      </c>
      <c r="O250" s="15"/>
      <c r="P250" s="15"/>
    </row>
    <row r="251" spans="1:18" x14ac:dyDescent="0.35">
      <c r="A251" s="15" t="s">
        <v>157</v>
      </c>
      <c r="B251" s="15"/>
      <c r="C251" s="15"/>
      <c r="D251" s="15"/>
      <c r="E251" s="15"/>
      <c r="F251" s="55"/>
      <c r="G251" s="55">
        <f>G226/(G187+G225*G246)</f>
        <v>19.572246327747006</v>
      </c>
      <c r="H251" s="55"/>
      <c r="I251" s="55">
        <f>I226/(I187+I225*I246)</f>
        <v>46.081595450733168</v>
      </c>
      <c r="J251" s="55"/>
      <c r="K251" s="55"/>
      <c r="L251" s="55">
        <f>L226/(L187+L225*L246)</f>
        <v>8.3390056446019827</v>
      </c>
      <c r="M251" s="15"/>
      <c r="N251" s="55">
        <f>N226/(N187+N225*N246)</f>
        <v>15.865637115241093</v>
      </c>
      <c r="O251" s="15"/>
      <c r="P251" s="15"/>
    </row>
    <row r="252" spans="1:18" x14ac:dyDescent="0.35">
      <c r="A252" s="15" t="s">
        <v>2</v>
      </c>
      <c r="B252" s="15"/>
      <c r="C252" s="15"/>
      <c r="D252" s="15"/>
      <c r="E252" s="15"/>
      <c r="F252" s="55"/>
      <c r="G252" s="55">
        <f>G253*G245</f>
        <v>0.56054575205294932</v>
      </c>
      <c r="H252" s="55"/>
      <c r="I252" s="55">
        <f>I253*I245</f>
        <v>4.1451074938513797</v>
      </c>
      <c r="J252" s="55"/>
      <c r="K252" s="55"/>
      <c r="L252" s="55">
        <f>L253*L245</f>
        <v>2.9183296798692586</v>
      </c>
      <c r="M252" s="15"/>
      <c r="N252" s="55">
        <f>N253*N245</f>
        <v>5.5942683757036411</v>
      </c>
      <c r="O252" s="15"/>
      <c r="P252" s="15"/>
    </row>
    <row r="253" spans="1:18" x14ac:dyDescent="0.35">
      <c r="A253" s="15" t="s">
        <v>0</v>
      </c>
      <c r="B253" s="15"/>
      <c r="C253" s="15"/>
      <c r="D253" s="15"/>
      <c r="E253" s="15"/>
      <c r="F253" s="55"/>
      <c r="G253" s="55">
        <f>G225/(G190+G186*G245)*(G251*G246)</f>
        <v>13.719077456282971</v>
      </c>
      <c r="H253" s="55"/>
      <c r="I253" s="55">
        <f>I225/(I190+I186*I245)*(I251*I246)</f>
        <v>42.059419294878218</v>
      </c>
      <c r="J253" s="55"/>
      <c r="K253" s="55"/>
      <c r="L253" s="55">
        <f>L225/(L190+L186*L245)*(L251*L246)</f>
        <v>5.4960558514930051</v>
      </c>
      <c r="M253" s="15"/>
      <c r="N253" s="55">
        <f>N225/(N190+N186*N245)*(N251*N246)</f>
        <v>19.042863576517714</v>
      </c>
      <c r="O253" s="15"/>
      <c r="P253" s="15"/>
    </row>
    <row r="254" spans="1:18" x14ac:dyDescent="0.35">
      <c r="A254" s="15"/>
      <c r="B254" s="15"/>
      <c r="C254" s="15"/>
      <c r="D254" s="15"/>
      <c r="E254" s="15"/>
      <c r="F254" s="15"/>
      <c r="G254" s="15"/>
      <c r="H254" s="15"/>
      <c r="I254" s="15"/>
      <c r="J254" s="15"/>
      <c r="K254" s="15"/>
      <c r="L254" s="15"/>
      <c r="M254" s="15"/>
      <c r="N254" s="15"/>
      <c r="O254" s="15"/>
      <c r="P254" s="15"/>
    </row>
    <row r="255" spans="1:18" x14ac:dyDescent="0.35">
      <c r="A255" s="15" t="s">
        <v>338</v>
      </c>
      <c r="B255" s="15"/>
      <c r="C255" s="15"/>
      <c r="D255" s="15"/>
      <c r="E255" s="15"/>
      <c r="F255" s="15"/>
      <c r="G255" s="55">
        <f>(G$194/G$176)/(G$249/G$226)</f>
        <v>0.77384052428913752</v>
      </c>
      <c r="H255" s="15"/>
      <c r="I255" s="55">
        <f>(I$194/I$172)/(I$249/I$226)</f>
        <v>0.66836507122477684</v>
      </c>
      <c r="J255" s="15"/>
      <c r="K255" s="15"/>
      <c r="L255" s="55">
        <f>(L194/L176)/(L249/L226)</f>
        <v>1.3533802691552961</v>
      </c>
      <c r="M255" s="15"/>
      <c r="N255" s="55">
        <f>(N194/N172)/(N249/N226)</f>
        <v>1.8605898817048323</v>
      </c>
      <c r="O255" s="15"/>
      <c r="P255" s="15"/>
    </row>
    <row r="256" spans="1:18" x14ac:dyDescent="0.35">
      <c r="A256" s="15" t="s">
        <v>339</v>
      </c>
      <c r="B256" s="15"/>
      <c r="C256" s="15"/>
      <c r="D256" s="15"/>
      <c r="E256" s="15"/>
      <c r="F256" s="15"/>
      <c r="G256" s="55">
        <f>(G$196/G$176)/(G$251/G$226)</f>
        <v>0.48156495750824946</v>
      </c>
      <c r="H256" s="15"/>
      <c r="I256" s="55">
        <f>(I$196/I$172)/(I$251/I$226)</f>
        <v>0.41534588594915633</v>
      </c>
      <c r="J256" s="15"/>
      <c r="K256" s="15"/>
      <c r="L256" s="55">
        <f>(L$196/L$176)/(L$251/L$226)</f>
        <v>2.2423365320383528</v>
      </c>
      <c r="M256" s="15"/>
      <c r="N256" s="55">
        <f>(N$196/N$172)/(N$251/N$226)</f>
        <v>2.9468852770076226</v>
      </c>
      <c r="O256" s="15"/>
      <c r="P256" s="15"/>
    </row>
    <row r="257" spans="1:46" x14ac:dyDescent="0.35">
      <c r="A257" s="15" t="s">
        <v>340</v>
      </c>
      <c r="B257" s="15"/>
      <c r="C257" s="15"/>
      <c r="D257" s="15"/>
      <c r="E257" s="15"/>
      <c r="F257" s="15"/>
      <c r="G257" s="55">
        <f>G$194/(G$249/G$228)</f>
        <v>0.61973102163077076</v>
      </c>
      <c r="H257" s="15"/>
      <c r="I257" s="55">
        <f>I$194/(I$249/I$228)</f>
        <v>0.64164669759982218</v>
      </c>
      <c r="J257" s="15"/>
      <c r="K257" s="15"/>
      <c r="L257" s="55">
        <f>L194/(L249/L228)</f>
        <v>1.6723078804302585</v>
      </c>
      <c r="M257" s="15"/>
      <c r="N257" s="55">
        <f>N194/(N249/N228)</f>
        <v>1.8497190481090551</v>
      </c>
      <c r="O257" s="15"/>
      <c r="P257" s="15"/>
    </row>
    <row r="258" spans="1:46" x14ac:dyDescent="0.35">
      <c r="A258" s="15" t="s">
        <v>341</v>
      </c>
      <c r="B258" s="15"/>
      <c r="C258" s="15"/>
      <c r="D258" s="15"/>
      <c r="E258" s="15"/>
      <c r="F258" s="15"/>
      <c r="G258" s="55">
        <f>(G194/G198)/(G249/G253)</f>
        <v>0.79662814944563065</v>
      </c>
      <c r="H258" s="15"/>
      <c r="I258" s="55">
        <f>(I194/I198)/(I249/I253)</f>
        <v>0.50440573054208682</v>
      </c>
      <c r="J258" s="15"/>
      <c r="K258" s="15"/>
      <c r="L258" s="55">
        <f>(L194/L198)/(L249/L253)</f>
        <v>1.4375658070075739</v>
      </c>
      <c r="M258" s="15"/>
      <c r="N258" s="55">
        <f>(N194/N198)/(N249/N253)</f>
        <v>2.2117731469050734</v>
      </c>
      <c r="O258" s="15"/>
      <c r="P258" s="15"/>
    </row>
    <row r="259" spans="1:46" x14ac:dyDescent="0.35">
      <c r="A259" s="15"/>
      <c r="B259" s="15"/>
      <c r="C259" s="15"/>
      <c r="D259" s="15"/>
      <c r="E259" s="15"/>
      <c r="F259" s="15"/>
      <c r="G259" s="15"/>
      <c r="H259" s="15"/>
      <c r="I259" s="15"/>
      <c r="J259" s="15"/>
      <c r="K259" s="15"/>
      <c r="L259" s="15"/>
      <c r="M259" s="15"/>
      <c r="N259" s="15"/>
      <c r="O259" s="15"/>
      <c r="P259" s="15"/>
    </row>
    <row r="260" spans="1:46" x14ac:dyDescent="0.35">
      <c r="A260" s="15" t="s">
        <v>15</v>
      </c>
      <c r="B260" s="15"/>
      <c r="C260" s="15"/>
      <c r="D260" s="15"/>
      <c r="E260" s="15"/>
      <c r="F260" s="15"/>
      <c r="G260" s="15"/>
      <c r="H260" s="15"/>
      <c r="I260" s="15"/>
      <c r="J260" s="15"/>
      <c r="K260" s="15"/>
      <c r="L260" s="15"/>
      <c r="M260" s="15"/>
      <c r="N260" s="15"/>
      <c r="O260" s="15"/>
      <c r="P260" s="15"/>
    </row>
    <row r="261" spans="1:46" x14ac:dyDescent="0.35">
      <c r="A261" s="15" t="s">
        <v>158</v>
      </c>
      <c r="B261" s="15"/>
      <c r="C261" s="15"/>
      <c r="D261" s="15"/>
      <c r="E261" s="15"/>
      <c r="F261" s="15"/>
      <c r="G261" s="55">
        <f>(G251/G253)/(G196/G198)</f>
        <v>2.0171627695714855</v>
      </c>
      <c r="H261" s="15"/>
      <c r="I261" s="55">
        <f>(I251/I253)/(I196/I198)</f>
        <v>3.1902434123488761</v>
      </c>
      <c r="J261" s="15"/>
      <c r="K261" s="15"/>
      <c r="L261" s="55">
        <f>1/((L251/L253)/(L196/L198))</f>
        <v>2.3818186209218273</v>
      </c>
      <c r="M261" s="15"/>
      <c r="N261" s="55">
        <f>1/((N251/N253)/(N196/N198))</f>
        <v>3.5031050027656674</v>
      </c>
      <c r="O261" s="15"/>
      <c r="P261" s="15"/>
    </row>
    <row r="262" spans="1:46" x14ac:dyDescent="0.35">
      <c r="A262" s="15" t="s">
        <v>159</v>
      </c>
      <c r="B262" s="15"/>
      <c r="C262" s="15"/>
      <c r="D262" s="15"/>
      <c r="E262" s="15"/>
      <c r="F262" s="15"/>
      <c r="G262" s="55">
        <f>1/((G196/G197)/(G251/G252))</f>
        <v>22.798699137931543</v>
      </c>
      <c r="H262" s="15"/>
      <c r="I262" s="55">
        <f>1/((I196/I197)/(I251/I252))</f>
        <v>8.3814624178222452</v>
      </c>
      <c r="J262" s="15"/>
      <c r="K262" s="15"/>
      <c r="L262" s="55">
        <f>(L196/L197)/(L251/L252)</f>
        <v>26.917997769690057</v>
      </c>
      <c r="M262" s="15"/>
      <c r="N262" s="55">
        <f>(N196/N197)/(N251/N252)</f>
        <v>9.2034179161668561</v>
      </c>
      <c r="O262" s="15"/>
      <c r="P262" s="15"/>
    </row>
    <row r="263" spans="1:46" x14ac:dyDescent="0.35">
      <c r="A263" s="15"/>
      <c r="B263" s="15"/>
      <c r="C263" s="15"/>
      <c r="D263" s="15"/>
      <c r="E263" s="15"/>
      <c r="F263" s="15"/>
      <c r="G263" s="15"/>
      <c r="H263" s="15"/>
      <c r="I263" s="15"/>
      <c r="J263" s="15"/>
      <c r="K263" s="15"/>
      <c r="L263" s="15"/>
      <c r="M263" s="15"/>
      <c r="N263" s="15"/>
      <c r="O263" s="15"/>
      <c r="P263" s="15"/>
    </row>
    <row r="264" spans="1:46" x14ac:dyDescent="0.35">
      <c r="A264" s="15" t="s">
        <v>48</v>
      </c>
      <c r="B264" s="15"/>
      <c r="C264" s="15"/>
      <c r="D264" s="15"/>
      <c r="E264" s="15"/>
      <c r="F264" s="15"/>
      <c r="G264" s="15"/>
      <c r="H264" s="15"/>
      <c r="I264" s="15"/>
      <c r="J264" s="15"/>
      <c r="K264" s="15"/>
      <c r="L264" s="15"/>
      <c r="M264" s="15"/>
      <c r="N264" s="15"/>
      <c r="O264" s="15"/>
    </row>
    <row r="265" spans="1:46" x14ac:dyDescent="0.35">
      <c r="A265" s="15"/>
      <c r="B265" s="15"/>
      <c r="C265" s="15"/>
      <c r="D265" s="15"/>
      <c r="E265" s="15"/>
      <c r="F265" s="15"/>
      <c r="G265" s="15"/>
      <c r="H265" s="15"/>
      <c r="I265" s="15"/>
      <c r="J265" s="15"/>
      <c r="K265" s="15"/>
      <c r="L265" s="15"/>
      <c r="M265" s="15"/>
      <c r="N265" s="15"/>
      <c r="O265" s="15"/>
    </row>
    <row r="266" spans="1:46" x14ac:dyDescent="0.35">
      <c r="A266" s="15" t="s">
        <v>43</v>
      </c>
      <c r="B266" s="15"/>
      <c r="C266" s="15"/>
      <c r="D266" s="15"/>
      <c r="E266" s="15"/>
      <c r="F266" s="15"/>
      <c r="G266" s="15"/>
      <c r="H266" s="15"/>
      <c r="I266" s="15"/>
      <c r="J266" s="15"/>
      <c r="K266" s="15"/>
      <c r="L266" s="42" t="s">
        <v>74</v>
      </c>
      <c r="M266" s="15"/>
      <c r="N266" s="8" t="s">
        <v>72</v>
      </c>
      <c r="O266" s="15"/>
    </row>
    <row r="267" spans="1:46" x14ac:dyDescent="0.35">
      <c r="A267" s="15" t="s">
        <v>337</v>
      </c>
      <c r="B267" s="15"/>
      <c r="C267" s="15"/>
      <c r="D267" s="15"/>
      <c r="E267" s="15"/>
      <c r="F267" s="15"/>
      <c r="G267" s="15"/>
      <c r="H267" s="15"/>
      <c r="I267" s="24"/>
      <c r="J267" s="24"/>
      <c r="K267" s="24"/>
      <c r="L267" s="231">
        <v>0.95</v>
      </c>
      <c r="M267" s="232"/>
      <c r="N267" s="60">
        <v>0.5</v>
      </c>
      <c r="O267" s="15"/>
      <c r="P267" s="15"/>
      <c r="Q267" s="15"/>
      <c r="R267" s="15"/>
      <c r="S267" s="15"/>
      <c r="T267" s="15"/>
      <c r="U267" s="15"/>
      <c r="V267" s="15"/>
      <c r="W267" s="15"/>
      <c r="X267" s="15"/>
      <c r="Y267" s="15"/>
      <c r="Z267" s="15"/>
    </row>
    <row r="268" spans="1:46" x14ac:dyDescent="0.35">
      <c r="A268" s="15" t="s">
        <v>116</v>
      </c>
      <c r="B268" s="15"/>
      <c r="C268" s="15"/>
      <c r="D268" s="15"/>
      <c r="E268" s="15"/>
      <c r="F268" s="15"/>
      <c r="G268" s="15"/>
      <c r="H268" s="15"/>
      <c r="I268" s="15"/>
      <c r="J268" s="60">
        <v>0.5</v>
      </c>
      <c r="K268" s="55"/>
      <c r="L268" s="55">
        <f>J268</f>
        <v>0.5</v>
      </c>
      <c r="M268" s="232"/>
      <c r="N268" s="55">
        <f>J268</f>
        <v>0.5</v>
      </c>
      <c r="O268" s="15"/>
      <c r="P268" s="15"/>
      <c r="Q268" s="15"/>
      <c r="R268" s="15"/>
      <c r="S268" s="15"/>
      <c r="T268" s="15"/>
      <c r="U268" s="15"/>
      <c r="V268" s="15"/>
      <c r="W268" s="15"/>
      <c r="X268" s="15"/>
      <c r="Y268" s="15"/>
      <c r="Z268" s="15"/>
    </row>
    <row r="269" spans="1:46" x14ac:dyDescent="0.35">
      <c r="A269" s="15" t="s">
        <v>315</v>
      </c>
      <c r="B269" s="15"/>
      <c r="C269" s="15"/>
      <c r="D269" s="15"/>
      <c r="E269" s="15"/>
      <c r="F269" s="15"/>
      <c r="G269" s="15"/>
      <c r="H269" s="15"/>
      <c r="I269" s="15"/>
      <c r="J269" s="60">
        <v>0</v>
      </c>
      <c r="K269" s="55"/>
      <c r="L269" s="55">
        <f>J269</f>
        <v>0</v>
      </c>
      <c r="M269" s="232"/>
      <c r="N269" s="55">
        <f>J269</f>
        <v>0</v>
      </c>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row>
    <row r="270" spans="1:46" x14ac:dyDescent="0.35">
      <c r="A270" s="15" t="s">
        <v>251</v>
      </c>
      <c r="B270" s="15"/>
      <c r="C270" s="15"/>
      <c r="D270" s="15"/>
      <c r="E270" s="15"/>
      <c r="F270" s="15"/>
      <c r="G270" s="15"/>
      <c r="H270" s="15"/>
      <c r="I270" s="15"/>
      <c r="J270" s="15"/>
      <c r="K270" s="15"/>
      <c r="L270" s="60">
        <v>0.67</v>
      </c>
      <c r="M270" s="233"/>
      <c r="N270" s="55">
        <f>1-L270</f>
        <v>0.32999999999999996</v>
      </c>
      <c r="O270" s="15"/>
      <c r="P270" s="15"/>
      <c r="Q270" s="15"/>
      <c r="R270" s="15"/>
      <c r="S270" s="15"/>
      <c r="T270" s="15"/>
      <c r="U270" s="15"/>
      <c r="V270" s="15"/>
      <c r="W270" s="15"/>
      <c r="X270" s="15"/>
      <c r="Y270" s="15"/>
      <c r="Z270" s="15"/>
    </row>
    <row r="271" spans="1:46" x14ac:dyDescent="0.35">
      <c r="A271" s="15" t="s">
        <v>252</v>
      </c>
      <c r="B271" s="15"/>
      <c r="C271" s="15"/>
      <c r="D271" s="15"/>
      <c r="E271" s="15"/>
      <c r="F271" s="15"/>
      <c r="G271" s="15"/>
      <c r="H271" s="15"/>
      <c r="I271" s="15"/>
      <c r="J271" s="15"/>
      <c r="K271" s="15"/>
      <c r="L271" s="234">
        <v>7.1999999999999995E-2</v>
      </c>
      <c r="M271" s="233"/>
      <c r="N271" s="234">
        <v>5.1999999999999998E-2</v>
      </c>
      <c r="O271" s="15"/>
      <c r="P271" s="15"/>
      <c r="Q271" s="15"/>
      <c r="R271" s="15"/>
      <c r="S271" s="15"/>
      <c r="T271" s="15"/>
      <c r="U271" s="15"/>
      <c r="V271" s="15"/>
      <c r="W271" s="15"/>
      <c r="X271" s="15"/>
      <c r="Y271" s="15"/>
      <c r="Z271" s="15"/>
    </row>
    <row r="272" spans="1:46" x14ac:dyDescent="0.35">
      <c r="A272" s="15" t="s">
        <v>290</v>
      </c>
      <c r="B272" s="15"/>
      <c r="C272" s="15"/>
      <c r="D272" s="15"/>
      <c r="E272" s="15"/>
      <c r="F272" s="15"/>
      <c r="G272" s="15"/>
      <c r="H272" s="15"/>
      <c r="I272" s="15"/>
      <c r="J272" s="15"/>
      <c r="K272" s="15"/>
      <c r="L272" s="63">
        <v>0.1</v>
      </c>
      <c r="M272" s="233"/>
      <c r="N272" s="63">
        <v>0.1</v>
      </c>
      <c r="O272" s="15"/>
      <c r="P272" s="15"/>
      <c r="Q272" s="15"/>
      <c r="R272" s="15"/>
      <c r="S272" s="15"/>
      <c r="T272" s="15"/>
      <c r="U272" s="15"/>
      <c r="V272" s="15"/>
      <c r="W272" s="15"/>
      <c r="X272" s="15"/>
      <c r="Y272" s="15"/>
      <c r="Z272" s="15"/>
    </row>
    <row r="273" spans="1:26" x14ac:dyDescent="0.35">
      <c r="A273" s="15" t="s">
        <v>253</v>
      </c>
      <c r="B273" s="15"/>
      <c r="C273" s="15"/>
      <c r="D273" s="15"/>
      <c r="E273" s="15"/>
      <c r="F273" s="15"/>
      <c r="G273" s="15"/>
      <c r="H273" s="15"/>
      <c r="I273" s="15"/>
      <c r="J273" s="15"/>
      <c r="K273" s="15"/>
      <c r="L273" s="60">
        <v>0.18</v>
      </c>
      <c r="M273" s="233"/>
      <c r="N273" s="60">
        <v>0.18</v>
      </c>
      <c r="O273" s="15"/>
      <c r="P273" s="15"/>
      <c r="Q273" s="15"/>
      <c r="R273" s="15"/>
      <c r="S273" s="15"/>
      <c r="T273" s="15"/>
      <c r="U273" s="15"/>
      <c r="V273" s="15"/>
      <c r="W273" s="15"/>
      <c r="X273" s="15"/>
      <c r="Y273" s="15"/>
      <c r="Z273" s="15"/>
    </row>
    <row r="274" spans="1:26" x14ac:dyDescent="0.35">
      <c r="A274" s="15" t="s">
        <v>254</v>
      </c>
      <c r="B274" s="15"/>
      <c r="C274" s="15"/>
      <c r="D274" s="15"/>
      <c r="E274" s="15"/>
      <c r="F274" s="15"/>
      <c r="G274" s="15"/>
      <c r="H274" s="15"/>
      <c r="I274" s="15"/>
      <c r="J274" s="15"/>
      <c r="K274" s="15"/>
      <c r="L274" s="63">
        <v>0.04</v>
      </c>
      <c r="M274" s="233"/>
      <c r="N274" s="63">
        <v>0.04</v>
      </c>
      <c r="O274" s="15"/>
      <c r="P274" s="15"/>
      <c r="Q274" s="15"/>
      <c r="R274" s="15"/>
      <c r="S274" s="15"/>
      <c r="T274" s="15"/>
      <c r="U274" s="15"/>
      <c r="V274" s="15"/>
      <c r="W274" s="15"/>
      <c r="X274" s="15"/>
      <c r="Y274" s="15"/>
      <c r="Z274" s="15"/>
    </row>
    <row r="275" spans="1:26" x14ac:dyDescent="0.35">
      <c r="A275" s="15" t="s">
        <v>248</v>
      </c>
      <c r="B275" s="15"/>
      <c r="C275" s="15"/>
      <c r="D275" s="15"/>
      <c r="E275" s="15"/>
      <c r="F275" s="15"/>
      <c r="G275" s="15"/>
      <c r="H275" s="15"/>
      <c r="I275" s="15"/>
      <c r="J275" s="235">
        <v>0.5</v>
      </c>
      <c r="K275" s="15"/>
      <c r="L275" s="139">
        <f>J275</f>
        <v>0.5</v>
      </c>
      <c r="M275" s="15"/>
      <c r="N275" s="139">
        <f>J275</f>
        <v>0.5</v>
      </c>
      <c r="O275" s="15"/>
      <c r="P275" s="15"/>
      <c r="Q275" s="15"/>
      <c r="R275" s="15"/>
      <c r="S275" s="15"/>
      <c r="T275" s="15"/>
      <c r="U275" s="15"/>
      <c r="V275" s="15"/>
      <c r="W275" s="15"/>
      <c r="X275" s="15"/>
      <c r="Y275" s="15"/>
      <c r="Z275" s="15"/>
    </row>
    <row r="276" spans="1:26" x14ac:dyDescent="0.35">
      <c r="A276" s="15"/>
      <c r="B276" s="15"/>
      <c r="C276" s="15"/>
      <c r="D276" s="15"/>
      <c r="E276" s="15"/>
      <c r="F276" s="15"/>
      <c r="G276" s="15"/>
      <c r="H276" s="15"/>
      <c r="I276" s="15"/>
      <c r="J276" s="15"/>
      <c r="K276" s="15"/>
      <c r="L276" s="139"/>
      <c r="M276" s="15"/>
      <c r="N276" s="139"/>
      <c r="O276" s="15"/>
      <c r="P276" s="15"/>
      <c r="Q276" s="15"/>
      <c r="R276" s="15"/>
      <c r="S276" s="15"/>
      <c r="T276" s="15"/>
      <c r="U276" s="15"/>
      <c r="V276" s="15"/>
      <c r="W276" s="15"/>
      <c r="X276" s="15"/>
      <c r="Y276" s="15"/>
      <c r="Z276" s="15"/>
    </row>
    <row r="277" spans="1:26" x14ac:dyDescent="0.3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x14ac:dyDescent="0.35">
      <c r="A278" s="15" t="s">
        <v>163</v>
      </c>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x14ac:dyDescent="0.3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x14ac:dyDescent="0.35">
      <c r="A280" s="15" t="s">
        <v>18</v>
      </c>
      <c r="B280" s="15"/>
      <c r="C280" s="15"/>
      <c r="D280" s="15"/>
      <c r="E280" s="15"/>
      <c r="F280" s="15"/>
      <c r="G280" s="15"/>
      <c r="H280" s="15"/>
      <c r="I280" s="8" t="s">
        <v>62</v>
      </c>
      <c r="J280" s="15"/>
      <c r="K280" s="15"/>
      <c r="L280" s="42" t="s">
        <v>74</v>
      </c>
      <c r="M280" s="15"/>
      <c r="N280" s="8" t="s">
        <v>72</v>
      </c>
      <c r="O280" s="15"/>
      <c r="P280" s="15"/>
      <c r="Q280" s="15"/>
      <c r="R280" s="15"/>
      <c r="S280" s="15"/>
      <c r="T280" s="15"/>
      <c r="U280" s="15"/>
      <c r="V280" s="15"/>
      <c r="W280" s="15"/>
      <c r="X280" s="15"/>
      <c r="Y280" s="15"/>
      <c r="Z280" s="15"/>
    </row>
    <row r="281" spans="1:26" x14ac:dyDescent="0.35">
      <c r="A281" s="15"/>
      <c r="B281" s="15" t="s">
        <v>117</v>
      </c>
      <c r="C281" s="15"/>
      <c r="D281" s="15"/>
      <c r="E281" s="15"/>
      <c r="F281" s="15"/>
      <c r="G281" s="15"/>
      <c r="H281" s="15"/>
      <c r="I281" s="24">
        <f t="shared" ref="I281:I286" ca="1" si="0">L281+N281</f>
        <v>3422.7712445157908</v>
      </c>
      <c r="J281" s="24"/>
      <c r="K281" s="24"/>
      <c r="L281" s="24">
        <f>O294</f>
        <v>2454.0520000000001</v>
      </c>
      <c r="M281" s="24"/>
      <c r="N281" s="24">
        <f ca="1">O296</f>
        <v>968.71924451579082</v>
      </c>
      <c r="O281" s="15"/>
      <c r="P281" s="15"/>
      <c r="Q281" s="15"/>
      <c r="R281" s="15"/>
      <c r="S281" s="15"/>
      <c r="T281" s="15"/>
      <c r="U281" s="15"/>
      <c r="V281" s="15"/>
      <c r="W281" s="15"/>
      <c r="X281" s="15"/>
      <c r="Y281" s="15"/>
      <c r="Z281" s="15"/>
    </row>
    <row r="282" spans="1:26" x14ac:dyDescent="0.35">
      <c r="A282" s="15"/>
      <c r="B282" s="15" t="s">
        <v>246</v>
      </c>
      <c r="C282" s="15"/>
      <c r="D282" s="15"/>
      <c r="E282" s="15"/>
      <c r="F282" s="15"/>
      <c r="G282" s="15"/>
      <c r="H282" s="15"/>
      <c r="I282" s="24">
        <f t="shared" ca="1" si="0"/>
        <v>-226.35907742104575</v>
      </c>
      <c r="J282" s="24" t="s">
        <v>245</v>
      </c>
      <c r="K282" s="24"/>
      <c r="L282" s="24">
        <f ca="1">G305*L36/100+G306*G43/100*(1-L272)</f>
        <v>-228.38003786369742</v>
      </c>
      <c r="M282" s="24"/>
      <c r="N282" s="24">
        <f ca="1">I305*N36/100+I306*I43/100*(1-N272)</f>
        <v>2.0209604426516741</v>
      </c>
      <c r="O282" s="15"/>
      <c r="P282" s="15"/>
      <c r="Q282" s="15"/>
      <c r="R282" s="15"/>
      <c r="S282" s="15"/>
      <c r="T282" s="15"/>
      <c r="U282" s="15"/>
      <c r="V282" s="15"/>
      <c r="W282" s="15"/>
      <c r="X282" s="15"/>
      <c r="Y282" s="15"/>
      <c r="Z282" s="15"/>
    </row>
    <row r="283" spans="1:26" x14ac:dyDescent="0.35">
      <c r="A283" s="15"/>
      <c r="B283" s="15" t="s">
        <v>118</v>
      </c>
      <c r="C283" s="15"/>
      <c r="D283" s="15"/>
      <c r="E283" s="15"/>
      <c r="F283" s="15"/>
      <c r="G283" s="15"/>
      <c r="H283" s="15"/>
      <c r="I283" s="24">
        <f t="shared" ca="1" si="0"/>
        <v>-26.521864884239584</v>
      </c>
      <c r="J283" s="24" t="s">
        <v>247</v>
      </c>
      <c r="K283" s="24"/>
      <c r="L283" s="24">
        <f ca="1">L305*L43/100+L306*G43/100</f>
        <v>-21.292872039028516</v>
      </c>
      <c r="M283" s="24"/>
      <c r="N283" s="24">
        <f ca="1">N305*N43/100+N306*I43/100</f>
        <v>-5.2289928452110654</v>
      </c>
      <c r="P283" s="15"/>
      <c r="Q283" s="15"/>
      <c r="R283" s="15"/>
      <c r="S283" s="15"/>
      <c r="T283" s="15"/>
      <c r="U283" s="15"/>
      <c r="V283" s="15"/>
      <c r="W283" s="15"/>
      <c r="X283" s="15"/>
      <c r="Y283" s="15"/>
      <c r="Z283" s="15"/>
    </row>
    <row r="284" spans="1:26" x14ac:dyDescent="0.35">
      <c r="A284" s="15"/>
      <c r="B284" s="15" t="s">
        <v>119</v>
      </c>
      <c r="C284" s="15"/>
      <c r="D284" s="15"/>
      <c r="E284" s="15"/>
      <c r="F284" s="15"/>
      <c r="G284" s="15"/>
      <c r="H284" s="15"/>
      <c r="I284" s="24">
        <f t="shared" ca="1" si="0"/>
        <v>212.45254690618486</v>
      </c>
      <c r="J284" s="24" t="s">
        <v>247</v>
      </c>
      <c r="K284" s="24"/>
      <c r="L284" s="24">
        <f ca="1">L305*L44/100</f>
        <v>187.70429939583511</v>
      </c>
      <c r="M284" s="24"/>
      <c r="N284" s="24">
        <f ca="1">N305*N44/100</f>
        <v>24.748247510349753</v>
      </c>
      <c r="P284" s="15"/>
      <c r="Q284" s="15"/>
      <c r="R284" s="15"/>
      <c r="S284" s="15"/>
      <c r="T284" s="15"/>
      <c r="U284" s="15"/>
      <c r="V284" s="15"/>
      <c r="W284" s="15"/>
      <c r="X284" s="15"/>
      <c r="Y284" s="15"/>
      <c r="Z284" s="15"/>
    </row>
    <row r="285" spans="1:26" x14ac:dyDescent="0.35">
      <c r="A285" s="15"/>
      <c r="B285" s="15" t="s">
        <v>120</v>
      </c>
      <c r="C285" s="15"/>
      <c r="D285" s="15"/>
      <c r="E285" s="15"/>
      <c r="F285" s="15"/>
      <c r="G285" s="15"/>
      <c r="H285" s="15"/>
      <c r="I285" s="24">
        <f t="shared" ca="1" si="0"/>
        <v>296.41886791763682</v>
      </c>
      <c r="J285" s="24" t="s">
        <v>247</v>
      </c>
      <c r="K285" s="24"/>
      <c r="L285" s="24">
        <f ca="1">L305*L45/100</f>
        <v>238.78671872552977</v>
      </c>
      <c r="M285" s="24"/>
      <c r="N285" s="24">
        <f ca="1">N305*N45/100</f>
        <v>57.63214919210705</v>
      </c>
      <c r="P285" s="15"/>
      <c r="Q285" s="15"/>
      <c r="R285" s="15"/>
      <c r="S285" s="15"/>
      <c r="T285" s="15"/>
      <c r="U285" s="15"/>
      <c r="V285" s="15"/>
      <c r="W285" s="15"/>
      <c r="X285" s="15"/>
      <c r="Y285" s="15"/>
      <c r="Z285" s="15"/>
    </row>
    <row r="286" spans="1:26" x14ac:dyDescent="0.35">
      <c r="A286" s="15"/>
      <c r="B286" s="15" t="s">
        <v>121</v>
      </c>
      <c r="C286" s="15"/>
      <c r="D286" s="15"/>
      <c r="E286" s="15"/>
      <c r="F286" s="15"/>
      <c r="G286" s="15"/>
      <c r="H286" s="15"/>
      <c r="I286" s="24">
        <f t="shared" ca="1" si="0"/>
        <v>2714.062617155163</v>
      </c>
      <c r="J286" s="24"/>
      <c r="K286" s="24"/>
      <c r="L286" s="24">
        <f ca="1">L281+L282-SUM(L283:L285)</f>
        <v>1820.4738160539664</v>
      </c>
      <c r="M286" s="24"/>
      <c r="N286" s="24">
        <f ca="1">N281+N282-SUM(N283:N285)</f>
        <v>893.58880110119674</v>
      </c>
      <c r="O286" s="15"/>
      <c r="P286" s="15"/>
      <c r="Q286" s="15"/>
      <c r="R286" s="15"/>
      <c r="S286" s="15"/>
      <c r="T286" s="15"/>
      <c r="U286" s="15"/>
      <c r="V286" s="15"/>
      <c r="W286" s="15"/>
      <c r="X286" s="15"/>
    </row>
    <row r="287" spans="1:26" x14ac:dyDescent="0.35">
      <c r="A287" s="15"/>
      <c r="B287" s="15"/>
      <c r="C287" s="15" t="s">
        <v>123</v>
      </c>
      <c r="D287" s="15"/>
      <c r="E287" s="15"/>
      <c r="F287" s="15"/>
      <c r="G287" s="15"/>
      <c r="H287" s="15"/>
      <c r="I287" s="219">
        <v>0</v>
      </c>
      <c r="J287" s="24"/>
      <c r="K287" s="24"/>
      <c r="L287" s="24"/>
      <c r="M287" s="24"/>
      <c r="N287" s="24"/>
      <c r="O287" s="15"/>
      <c r="P287" s="15"/>
      <c r="Q287" s="15"/>
      <c r="R287" s="15"/>
      <c r="S287" s="15"/>
      <c r="T287" s="15"/>
      <c r="U287" s="15"/>
      <c r="V287" s="15"/>
      <c r="W287" s="15"/>
      <c r="X287" s="15"/>
    </row>
    <row r="288" spans="1:26" x14ac:dyDescent="0.35">
      <c r="A288" s="15"/>
      <c r="B288" s="15"/>
      <c r="C288" s="15" t="s">
        <v>122</v>
      </c>
      <c r="D288" s="15"/>
      <c r="E288" s="15"/>
      <c r="F288" s="15"/>
      <c r="G288" s="15"/>
      <c r="H288" s="15"/>
      <c r="I288" s="24">
        <f ca="1">I286-I287</f>
        <v>2714.062617155163</v>
      </c>
      <c r="J288" s="24"/>
      <c r="K288" s="24"/>
      <c r="L288" s="24">
        <f ca="1">I288*L270</f>
        <v>1818.4219534939593</v>
      </c>
      <c r="M288" s="24"/>
      <c r="N288" s="24">
        <f ca="1">I288*N270</f>
        <v>895.64066366120369</v>
      </c>
      <c r="O288" s="15"/>
      <c r="P288" s="24"/>
      <c r="Q288" s="15"/>
      <c r="R288" s="15"/>
      <c r="S288" s="15"/>
      <c r="T288" s="15"/>
      <c r="U288" s="15"/>
      <c r="V288" s="15"/>
      <c r="W288" s="15"/>
      <c r="X288" s="15"/>
    </row>
    <row r="289" spans="1:34" x14ac:dyDescent="0.35">
      <c r="A289" s="15"/>
      <c r="B289" s="15"/>
      <c r="C289" s="15"/>
      <c r="D289" s="15"/>
      <c r="E289" s="15"/>
      <c r="F289" s="15"/>
      <c r="G289" s="15"/>
      <c r="H289" s="15"/>
      <c r="I289" s="15"/>
      <c r="J289" s="15"/>
      <c r="K289" s="15"/>
      <c r="L289" s="15"/>
      <c r="M289" s="15"/>
      <c r="N289" s="15"/>
      <c r="O289" s="15"/>
      <c r="S289" s="15"/>
      <c r="T289" s="15"/>
      <c r="U289" s="15"/>
      <c r="V289" s="15"/>
      <c r="W289" s="15"/>
      <c r="X289" s="15"/>
      <c r="Y289" s="15"/>
      <c r="Z289" s="15"/>
    </row>
    <row r="290" spans="1:34" x14ac:dyDescent="0.35">
      <c r="A290" s="15" t="s">
        <v>160</v>
      </c>
      <c r="B290" s="15"/>
      <c r="C290" s="15"/>
      <c r="D290" s="15"/>
      <c r="E290" s="15"/>
      <c r="F290" s="15"/>
      <c r="G290" s="15"/>
      <c r="H290" s="15"/>
      <c r="I290" s="15"/>
      <c r="J290" s="15"/>
      <c r="K290" s="15"/>
      <c r="L290" s="15"/>
      <c r="M290" s="15"/>
      <c r="N290" s="15"/>
      <c r="O290" s="15"/>
      <c r="P290" s="15"/>
      <c r="Q290" s="15"/>
      <c r="S290" s="15"/>
      <c r="T290" s="15"/>
      <c r="U290" s="15"/>
      <c r="V290" s="15"/>
      <c r="W290" s="15"/>
      <c r="X290" s="15"/>
      <c r="Y290" s="15"/>
      <c r="Z290" s="15"/>
    </row>
    <row r="291" spans="1:34" x14ac:dyDescent="0.35">
      <c r="A291" s="15"/>
      <c r="B291" s="15"/>
      <c r="C291" s="15"/>
      <c r="D291" s="15"/>
      <c r="E291" s="38" t="s">
        <v>161</v>
      </c>
      <c r="F291" s="15"/>
      <c r="G291" s="15"/>
      <c r="H291" s="15"/>
      <c r="I291" s="45" t="s">
        <v>162</v>
      </c>
      <c r="J291" s="15"/>
      <c r="K291" s="15"/>
      <c r="L291" s="15"/>
      <c r="M291" s="15"/>
      <c r="N291" s="15"/>
      <c r="O291" s="46" t="s">
        <v>124</v>
      </c>
      <c r="S291" s="15"/>
      <c r="T291" s="15"/>
      <c r="U291" s="15"/>
      <c r="V291" s="15"/>
      <c r="W291" s="15"/>
      <c r="X291" s="15"/>
      <c r="Y291" s="15"/>
      <c r="Z291" s="15"/>
    </row>
    <row r="292" spans="1:34" x14ac:dyDescent="0.35">
      <c r="A292" s="15"/>
      <c r="D292" s="15"/>
      <c r="E292" s="15" t="s">
        <v>56</v>
      </c>
      <c r="F292" s="15" t="s">
        <v>57</v>
      </c>
      <c r="G292" s="15" t="s">
        <v>49</v>
      </c>
      <c r="H292" s="15"/>
      <c r="K292" s="15" t="s">
        <v>56</v>
      </c>
      <c r="L292" s="15" t="s">
        <v>57</v>
      </c>
      <c r="M292" s="15" t="s">
        <v>49</v>
      </c>
      <c r="N292" s="29"/>
      <c r="O292" s="15" t="s">
        <v>56</v>
      </c>
      <c r="P292" s="15" t="s">
        <v>57</v>
      </c>
      <c r="Q292" s="15" t="s">
        <v>49</v>
      </c>
      <c r="R292" s="15"/>
      <c r="S292" s="15"/>
      <c r="T292" s="15"/>
      <c r="U292" s="15"/>
      <c r="V292" s="15"/>
      <c r="W292" s="15"/>
      <c r="X292" s="15"/>
      <c r="Y292" s="15"/>
    </row>
    <row r="293" spans="1:34" x14ac:dyDescent="0.35">
      <c r="A293" s="15"/>
      <c r="B293" s="15" t="s">
        <v>70</v>
      </c>
      <c r="C293" s="15"/>
      <c r="D293" s="15"/>
      <c r="E293" s="24">
        <f ca="1">K293-O293</f>
        <v>1006.1287774210457</v>
      </c>
      <c r="F293" s="24">
        <f ca="1">L293-P293</f>
        <v>260.6378648842396</v>
      </c>
      <c r="G293" s="24">
        <f ca="1">E293-F293</f>
        <v>745.49091253680604</v>
      </c>
      <c r="H293" s="15"/>
      <c r="I293" s="15" t="s">
        <v>70</v>
      </c>
      <c r="J293" s="15"/>
      <c r="K293" s="26">
        <f>E25</f>
        <v>779.76969999999994</v>
      </c>
      <c r="L293" s="26">
        <f>C25</f>
        <v>234.11600000000001</v>
      </c>
      <c r="M293" s="24">
        <f>K293-L293</f>
        <v>545.65369999999996</v>
      </c>
      <c r="N293" s="29"/>
      <c r="O293" s="26">
        <f ca="1">I282</f>
        <v>-226.35907742104575</v>
      </c>
      <c r="P293" s="26">
        <f ca="1">I283</f>
        <v>-26.521864884239584</v>
      </c>
      <c r="Q293" s="217">
        <f ca="1">M293-G293</f>
        <v>-199.83721253680608</v>
      </c>
      <c r="R293" s="15"/>
      <c r="S293" s="15"/>
      <c r="T293" s="15"/>
      <c r="U293" s="15"/>
      <c r="V293" s="15"/>
      <c r="W293" s="15"/>
      <c r="X293" s="15"/>
      <c r="Y293" s="15"/>
    </row>
    <row r="294" spans="1:34" x14ac:dyDescent="0.35">
      <c r="A294" s="15"/>
      <c r="B294" s="15" t="s">
        <v>127</v>
      </c>
      <c r="C294" s="15"/>
      <c r="D294" s="15"/>
      <c r="E294" s="24">
        <v>0</v>
      </c>
      <c r="F294" s="24">
        <f ca="1">L294-P294</f>
        <v>407.50529959985602</v>
      </c>
      <c r="G294" s="24">
        <f ca="1">E294-F294</f>
        <v>-407.50529959985602</v>
      </c>
      <c r="H294" s="15"/>
      <c r="I294" s="15" t="s">
        <v>71</v>
      </c>
      <c r="J294" s="15"/>
      <c r="K294" s="26">
        <f>E26</f>
        <v>2454.0520000000001</v>
      </c>
      <c r="L294" s="26">
        <f>C26</f>
        <v>2438.3798000000002</v>
      </c>
      <c r="M294" s="24">
        <f>K294-L294</f>
        <v>15.672199999999975</v>
      </c>
      <c r="N294" s="29"/>
      <c r="O294" s="26">
        <f>K294-E294</f>
        <v>2454.0520000000001</v>
      </c>
      <c r="P294" s="26">
        <f ca="1">L288+I284</f>
        <v>2030.8745004001441</v>
      </c>
      <c r="Q294" s="217">
        <f ca="1">M294-G294</f>
        <v>423.17749959985599</v>
      </c>
      <c r="R294" s="15"/>
      <c r="S294" s="15"/>
      <c r="T294" s="15"/>
      <c r="U294" s="15"/>
      <c r="V294" s="15"/>
      <c r="W294" s="15"/>
      <c r="X294" s="15"/>
      <c r="Y294" s="15"/>
    </row>
    <row r="295" spans="1:34" x14ac:dyDescent="0.35">
      <c r="A295" s="15"/>
      <c r="B295" s="15" t="s">
        <v>28</v>
      </c>
      <c r="C295" s="15"/>
      <c r="D295" s="15"/>
      <c r="E295" s="24">
        <f>E294</f>
        <v>0</v>
      </c>
      <c r="F295" s="24">
        <f ca="1">G293*L270*L269</f>
        <v>0</v>
      </c>
      <c r="G295" s="24"/>
      <c r="H295" s="15"/>
      <c r="I295" s="15"/>
      <c r="J295" s="15"/>
      <c r="K295" s="26">
        <f>K294</f>
        <v>2454.0520000000001</v>
      </c>
      <c r="L295" s="15">
        <v>0</v>
      </c>
      <c r="M295" s="24"/>
      <c r="N295" s="15"/>
      <c r="O295" s="26">
        <f>K295-E295</f>
        <v>2454.0520000000001</v>
      </c>
      <c r="P295" s="26">
        <f ca="1">L295-F295</f>
        <v>0</v>
      </c>
      <c r="R295" s="15"/>
      <c r="S295" s="15"/>
      <c r="T295" s="15"/>
      <c r="U295" s="15"/>
      <c r="V295" s="15"/>
      <c r="W295" s="15"/>
      <c r="X295" s="15"/>
      <c r="Y295" s="15"/>
    </row>
    <row r="296" spans="1:34" x14ac:dyDescent="0.35">
      <c r="A296" s="15"/>
      <c r="B296" s="15" t="s">
        <v>128</v>
      </c>
      <c r="C296" s="15"/>
      <c r="D296" s="15"/>
      <c r="E296" s="24">
        <f ca="1">E293*2*L272</f>
        <v>201.22575548420915</v>
      </c>
      <c r="F296" s="24">
        <f ca="1">L296-P296</f>
        <v>182.3467684211596</v>
      </c>
      <c r="G296" s="24">
        <f ca="1">E296-F296</f>
        <v>18.87898706304955</v>
      </c>
      <c r="H296" s="15"/>
      <c r="I296" s="15" t="s">
        <v>72</v>
      </c>
      <c r="J296" s="15"/>
      <c r="K296" s="26">
        <f>E27</f>
        <v>1169.9449999999999</v>
      </c>
      <c r="L296" s="26">
        <f>C27</f>
        <v>1374.4063000000001</v>
      </c>
      <c r="M296" s="24">
        <f>K296-L296</f>
        <v>-204.46130000000016</v>
      </c>
      <c r="N296" s="29"/>
      <c r="O296" s="26">
        <f t="shared" ref="O296:P298" ca="1" si="1">K296-E296</f>
        <v>968.71924451579082</v>
      </c>
      <c r="P296" s="26">
        <f ca="1">N288+I285</f>
        <v>1192.0595315788405</v>
      </c>
      <c r="Q296" s="217">
        <f ca="1">M296-G296</f>
        <v>-223.34028706304971</v>
      </c>
      <c r="R296" s="15"/>
      <c r="S296" s="15"/>
      <c r="T296" s="15"/>
      <c r="U296" s="15"/>
      <c r="V296" s="15"/>
      <c r="W296" s="15"/>
      <c r="X296" s="15"/>
      <c r="Y296" s="15"/>
      <c r="Z296" s="15"/>
      <c r="AA296" s="15"/>
      <c r="AB296" s="15"/>
      <c r="AC296" s="15"/>
      <c r="AD296" s="15"/>
      <c r="AE296" s="15"/>
      <c r="AF296" s="15"/>
      <c r="AG296" s="15"/>
      <c r="AH296" s="15"/>
    </row>
    <row r="297" spans="1:34" x14ac:dyDescent="0.35">
      <c r="A297" s="15"/>
      <c r="B297" s="15" t="s">
        <v>28</v>
      </c>
      <c r="C297" s="15"/>
      <c r="D297" s="15"/>
      <c r="E297" s="24">
        <f ca="1">E296</f>
        <v>201.22575548420915</v>
      </c>
      <c r="F297" s="24">
        <f ca="1">G293*N270*N269</f>
        <v>0</v>
      </c>
      <c r="G297" s="24"/>
      <c r="H297" s="15"/>
      <c r="I297" s="15"/>
      <c r="J297" s="15"/>
      <c r="K297" s="26">
        <f>K296</f>
        <v>1169.9449999999999</v>
      </c>
      <c r="L297" s="26">
        <v>0</v>
      </c>
      <c r="M297" s="24"/>
      <c r="N297" s="29"/>
      <c r="O297" s="26">
        <f ca="1">K297-E297</f>
        <v>968.71924451579082</v>
      </c>
      <c r="P297" s="26">
        <f ca="1">L297-F297</f>
        <v>0</v>
      </c>
      <c r="Q297" s="217"/>
      <c r="R297" s="15"/>
      <c r="S297" s="15"/>
      <c r="T297" s="15"/>
      <c r="U297" s="15"/>
      <c r="V297" s="15"/>
      <c r="W297" s="15"/>
      <c r="X297" s="15"/>
      <c r="Y297" s="15"/>
    </row>
    <row r="298" spans="1:34" x14ac:dyDescent="0.35">
      <c r="A298" s="15"/>
      <c r="B298" s="15" t="s">
        <v>62</v>
      </c>
      <c r="C298" s="15"/>
      <c r="D298" s="15"/>
      <c r="E298" s="24">
        <f ca="1">E293+E294+E296</f>
        <v>1207.3545329052549</v>
      </c>
      <c r="F298" s="24">
        <f ca="1">F293+F294+F296</f>
        <v>850.48993290525527</v>
      </c>
      <c r="G298" s="24">
        <f ca="1">G293+G294+G296</f>
        <v>356.86459999999954</v>
      </c>
      <c r="H298" s="15"/>
      <c r="I298" s="15" t="s">
        <v>62</v>
      </c>
      <c r="J298" s="15"/>
      <c r="K298" s="26">
        <f>E28</f>
        <v>4403.7667000000001</v>
      </c>
      <c r="L298" s="26">
        <f>C28</f>
        <v>4046.9021000000002</v>
      </c>
      <c r="M298" s="24">
        <f>K298-L298</f>
        <v>356.86459999999988</v>
      </c>
      <c r="N298" s="29"/>
      <c r="O298" s="26">
        <f t="shared" ca="1" si="1"/>
        <v>3196.4121670947452</v>
      </c>
      <c r="P298" s="217">
        <f t="shared" ca="1" si="1"/>
        <v>3196.4121670947452</v>
      </c>
      <c r="Q298" s="217">
        <f ca="1">M298-G298</f>
        <v>0</v>
      </c>
    </row>
    <row r="299" spans="1:34" x14ac:dyDescent="0.35">
      <c r="A299" s="15"/>
      <c r="B299" s="15"/>
      <c r="C299" s="15"/>
      <c r="D299" s="15"/>
      <c r="E299" s="15"/>
      <c r="F299" s="15"/>
      <c r="G299" s="15"/>
      <c r="H299" s="15"/>
      <c r="I299" s="15"/>
      <c r="J299" s="15"/>
      <c r="K299" s="15"/>
      <c r="L299" s="15"/>
      <c r="M299" s="15"/>
      <c r="N299" s="15"/>
      <c r="O299" s="15"/>
    </row>
    <row r="300" spans="1:34" x14ac:dyDescent="0.35">
      <c r="A300" s="15" t="s">
        <v>50</v>
      </c>
      <c r="B300" s="15"/>
      <c r="C300" s="15"/>
      <c r="D300" s="15"/>
      <c r="E300" s="15"/>
      <c r="F300" s="15"/>
      <c r="G300" s="15"/>
      <c r="H300" s="15"/>
      <c r="I300" s="15"/>
      <c r="J300" s="15"/>
      <c r="K300" s="15"/>
      <c r="L300" s="15"/>
      <c r="M300" s="15"/>
      <c r="N300" s="15"/>
      <c r="O300" s="15"/>
    </row>
    <row r="301" spans="1:34" x14ac:dyDescent="0.35">
      <c r="A301" s="15"/>
      <c r="B301" s="15"/>
      <c r="C301" s="15"/>
      <c r="D301" s="15"/>
      <c r="E301" s="15"/>
      <c r="F301" s="15"/>
      <c r="G301" s="15"/>
      <c r="H301" s="15"/>
      <c r="I301" s="15"/>
      <c r="J301" s="15"/>
      <c r="K301" s="15"/>
      <c r="L301" s="15"/>
      <c r="M301" s="15"/>
      <c r="N301" s="15"/>
      <c r="O301" s="15"/>
    </row>
    <row r="302" spans="1:34" x14ac:dyDescent="0.35">
      <c r="A302" s="15" t="s">
        <v>125</v>
      </c>
      <c r="B302" s="15"/>
      <c r="C302" s="15"/>
      <c r="D302" s="15"/>
      <c r="E302" s="15"/>
      <c r="F302" s="15"/>
      <c r="G302" s="15" t="s">
        <v>53</v>
      </c>
      <c r="H302" s="15"/>
      <c r="I302" s="15" t="s">
        <v>53</v>
      </c>
      <c r="J302" s="15"/>
      <c r="K302" s="15"/>
      <c r="L302" s="15" t="s">
        <v>54</v>
      </c>
      <c r="M302" s="15"/>
      <c r="N302" s="15" t="s">
        <v>54</v>
      </c>
      <c r="O302" s="15"/>
    </row>
    <row r="303" spans="1:34" x14ac:dyDescent="0.35">
      <c r="A303" s="15"/>
      <c r="B303" s="15"/>
      <c r="C303" s="15"/>
      <c r="D303" s="15"/>
      <c r="E303" s="15"/>
      <c r="F303" s="15"/>
      <c r="G303" s="15" t="s">
        <v>52</v>
      </c>
      <c r="H303" s="15"/>
      <c r="I303" s="15" t="s">
        <v>52</v>
      </c>
      <c r="J303" s="15"/>
      <c r="K303" s="15"/>
      <c r="L303" s="15" t="s">
        <v>52</v>
      </c>
      <c r="M303" s="15"/>
      <c r="N303" s="15" t="s">
        <v>52</v>
      </c>
      <c r="O303" s="15"/>
    </row>
    <row r="304" spans="1:34" x14ac:dyDescent="0.35">
      <c r="A304" s="15"/>
      <c r="B304" s="15"/>
      <c r="C304" s="15"/>
      <c r="D304" s="15"/>
      <c r="E304" s="15"/>
      <c r="F304" s="15"/>
      <c r="G304" s="15" t="s">
        <v>59</v>
      </c>
      <c r="H304" s="15"/>
      <c r="I304" s="15" t="s">
        <v>72</v>
      </c>
      <c r="J304" s="15"/>
      <c r="K304" s="15"/>
      <c r="L304" s="15" t="s">
        <v>59</v>
      </c>
      <c r="M304" s="15"/>
      <c r="N304" s="15" t="s">
        <v>72</v>
      </c>
      <c r="O304" s="15"/>
    </row>
    <row r="305" spans="1:33" x14ac:dyDescent="0.35">
      <c r="A305" s="15" t="s">
        <v>131</v>
      </c>
      <c r="B305" s="15"/>
      <c r="C305" s="15"/>
      <c r="D305" s="15"/>
      <c r="E305" s="15"/>
      <c r="F305" s="15"/>
      <c r="G305" s="139">
        <f ca="1">(-F295/G228-L267*O295*(EXP(-L268*LN(G228/((1+L272)*(1+L274))))))*(1-L271)</f>
        <v>-1840.439213007714</v>
      </c>
      <c r="H305" s="139"/>
      <c r="I305" s="139">
        <f ca="1">(-F297/I228-N267*O297*(EXP(-N268*LN(I228/((1+N272)*(1+N274))))))*(1-N271)</f>
        <v>-324.42596246566188</v>
      </c>
      <c r="J305" s="139"/>
      <c r="K305" s="15"/>
      <c r="L305" s="139">
        <f ca="1">((F295/G228*EXP(-L268*LN(1/(G228*(1+L272)*(1+L273)))))+O295+N305*N37/L37+N306*I37/G37)*(1-L271)</f>
        <v>2411.2262007464278</v>
      </c>
      <c r="M305" s="55"/>
      <c r="N305" s="139">
        <f ca="1">((F297/I228*EXP(-N268*LN(1/(I228*(1+N272)*(1+N273)))))+O297+L305*L38/N38+L306*G38/I38)*(1-N271)</f>
        <v>1245.7492230084249</v>
      </c>
      <c r="O305" s="55"/>
      <c r="P305" s="204"/>
      <c r="Q305" s="15"/>
      <c r="R305" s="15"/>
      <c r="S305" s="15"/>
      <c r="T305" s="15"/>
      <c r="U305" s="15"/>
      <c r="V305" s="15"/>
      <c r="W305" s="15"/>
      <c r="X305" s="15"/>
      <c r="Y305" s="15"/>
      <c r="Z305" s="15"/>
      <c r="AA305" s="15"/>
      <c r="AB305" s="15"/>
    </row>
    <row r="306" spans="1:33" x14ac:dyDescent="0.35">
      <c r="A306" s="15" t="s">
        <v>132</v>
      </c>
      <c r="B306" s="15"/>
      <c r="C306" s="15"/>
      <c r="D306" s="15"/>
      <c r="E306" s="15"/>
      <c r="F306" s="15"/>
      <c r="G306" s="139">
        <f ca="1">((1-L272)*P294+I306*I37/G37+I305*N37/L37)*(1-L271)</f>
        <v>1759.9184792757096</v>
      </c>
      <c r="H306" s="139"/>
      <c r="I306" s="139">
        <f ca="1">((1-N272)*P296+G306*G38/I38+G305*L38/N38)*(1-N271)</f>
        <v>1136.675988750437</v>
      </c>
      <c r="J306" s="139"/>
      <c r="K306" s="15"/>
      <c r="L306" s="139">
        <f ca="1">-L275*P294*(1-L271)</f>
        <v>-942.3257681856669</v>
      </c>
      <c r="M306" s="15"/>
      <c r="N306" s="139">
        <f ca="1">-N275*P296*(1-N271)</f>
        <v>-565.03621796837035</v>
      </c>
      <c r="P306" s="205"/>
      <c r="Q306" s="15"/>
      <c r="R306" s="15"/>
      <c r="S306" s="15"/>
      <c r="T306" s="15"/>
      <c r="U306" s="15"/>
      <c r="V306" s="15"/>
      <c r="W306" s="15"/>
      <c r="X306" s="15"/>
      <c r="Y306" s="15"/>
      <c r="Z306" s="15"/>
      <c r="AA306" s="15"/>
      <c r="AB306" s="15"/>
      <c r="AD306" s="39"/>
      <c r="AE306" s="39"/>
      <c r="AF306" s="39"/>
      <c r="AG306" s="39"/>
    </row>
    <row r="307" spans="1:33" x14ac:dyDescent="0.35">
      <c r="A307" s="15" t="s">
        <v>35</v>
      </c>
      <c r="B307" s="15"/>
      <c r="C307" s="15"/>
      <c r="D307" s="15"/>
      <c r="E307" s="15"/>
      <c r="F307" s="15"/>
      <c r="G307" s="139">
        <f ca="1">G305*G228+G306</f>
        <v>-1149.5605512625243</v>
      </c>
      <c r="H307" s="15"/>
      <c r="I307" s="139">
        <f ca="1">I305*I228+I306</f>
        <v>393.20682379446453</v>
      </c>
      <c r="J307" s="15"/>
      <c r="K307" s="15"/>
      <c r="L307" s="139">
        <f ca="1">L305+L306*L228</f>
        <v>1723.4188472510089</v>
      </c>
      <c r="M307" s="15"/>
      <c r="N307" s="139">
        <f ca="1">N305+N306*N228</f>
        <v>893.20586005292853</v>
      </c>
      <c r="O307" s="15"/>
      <c r="P307" s="15"/>
      <c r="Q307" s="15"/>
      <c r="R307" s="15"/>
      <c r="S307" s="15"/>
      <c r="T307" s="15"/>
      <c r="U307" s="15"/>
      <c r="V307" s="15"/>
      <c r="W307" s="15"/>
      <c r="X307" s="15"/>
      <c r="Y307" s="15"/>
      <c r="Z307" s="15"/>
      <c r="AA307" s="15"/>
      <c r="AB307" s="15"/>
    </row>
    <row r="308" spans="1:33" x14ac:dyDescent="0.35">
      <c r="A308" s="15"/>
      <c r="B308" s="15"/>
      <c r="C308" s="15"/>
      <c r="D308" s="15"/>
      <c r="E308" s="15"/>
      <c r="F308" s="15"/>
      <c r="G308" s="15"/>
      <c r="H308" s="15"/>
      <c r="I308" s="15"/>
      <c r="J308" s="15"/>
      <c r="K308" s="15"/>
      <c r="L308" s="15"/>
      <c r="M308" s="15"/>
      <c r="N308" s="15"/>
      <c r="O308" s="15"/>
    </row>
    <row r="309" spans="1:33" x14ac:dyDescent="0.35">
      <c r="A309" s="15" t="s">
        <v>126</v>
      </c>
      <c r="B309" s="15"/>
      <c r="C309" s="15"/>
      <c r="D309" s="15"/>
      <c r="E309" s="15"/>
      <c r="F309" s="15"/>
      <c r="G309" s="15"/>
      <c r="H309" s="15"/>
      <c r="I309" s="15"/>
      <c r="J309" s="15"/>
      <c r="K309" s="15"/>
      <c r="L309" s="15"/>
      <c r="M309" s="15"/>
      <c r="N309" s="15"/>
      <c r="O309" s="15"/>
      <c r="T309" s="39"/>
    </row>
    <row r="310" spans="1:33" x14ac:dyDescent="0.35">
      <c r="A310" s="15" t="s">
        <v>32</v>
      </c>
      <c r="B310" s="15"/>
      <c r="C310" s="15"/>
      <c r="D310" s="15"/>
      <c r="E310" s="15"/>
      <c r="F310" s="139"/>
      <c r="G310" s="139">
        <f ca="1">(G305*G226+G306*G176)/1000</f>
        <v>-936.84105259651005</v>
      </c>
      <c r="H310" s="139"/>
      <c r="I310" s="139">
        <f ca="1">(I305*I226+I306*I172)/1000</f>
        <v>319.03714030589259</v>
      </c>
      <c r="J310" s="139"/>
      <c r="K310" s="15"/>
      <c r="L310" s="139">
        <f ca="1">(L305*L176+L306*L226)/1000</f>
        <v>750.44914753698436</v>
      </c>
      <c r="M310" s="15"/>
      <c r="N310" s="139">
        <f ca="1">(N305*N172+N306*N226)/1000</f>
        <v>720.9341276520372</v>
      </c>
      <c r="O310" s="15"/>
      <c r="P310" s="15"/>
      <c r="Q310" s="15"/>
    </row>
    <row r="311" spans="1:33" x14ac:dyDescent="0.35">
      <c r="A311" s="15"/>
      <c r="B311" s="15"/>
      <c r="C311" s="15"/>
      <c r="D311" s="15"/>
      <c r="E311" s="15"/>
      <c r="F311" s="15"/>
      <c r="G311" s="15"/>
      <c r="H311" s="15"/>
      <c r="I311" s="15"/>
      <c r="J311" s="15"/>
      <c r="K311" s="15"/>
      <c r="L311" s="15"/>
      <c r="M311" s="15"/>
      <c r="N311" s="15"/>
      <c r="O311" s="15"/>
    </row>
    <row r="312" spans="1:33" x14ac:dyDescent="0.35">
      <c r="A312" s="15"/>
      <c r="B312" s="15"/>
      <c r="C312" s="15"/>
      <c r="D312" s="15"/>
      <c r="E312" s="15"/>
      <c r="F312" s="15"/>
      <c r="G312" s="15"/>
      <c r="H312" s="15"/>
      <c r="I312" s="15"/>
      <c r="J312" s="15"/>
      <c r="K312" s="15"/>
      <c r="L312" s="15"/>
      <c r="M312" s="15"/>
      <c r="N312" s="15"/>
      <c r="O312" s="15"/>
    </row>
    <row r="313" spans="1:33" x14ac:dyDescent="0.35">
      <c r="A313" s="29" t="s">
        <v>143</v>
      </c>
      <c r="B313" s="29"/>
      <c r="C313" s="29"/>
      <c r="D313" s="29"/>
      <c r="E313" s="29"/>
      <c r="F313" s="29"/>
      <c r="G313" s="29"/>
      <c r="H313" s="29"/>
      <c r="I313" s="29"/>
      <c r="J313" s="29"/>
      <c r="K313" s="29"/>
      <c r="L313" s="29"/>
      <c r="M313" s="29"/>
      <c r="N313" s="29"/>
      <c r="O313" s="29"/>
      <c r="P313" s="29"/>
      <c r="Q313" s="29"/>
      <c r="R313" s="15"/>
      <c r="S313" s="15"/>
      <c r="T313" s="15"/>
    </row>
    <row r="314" spans="1:33" x14ac:dyDescent="0.35">
      <c r="A314" s="29"/>
      <c r="B314" s="29"/>
      <c r="C314" s="29"/>
      <c r="D314" s="29"/>
      <c r="E314" s="29"/>
      <c r="F314" s="29"/>
      <c r="G314" s="29"/>
      <c r="H314" s="29"/>
      <c r="I314" s="29"/>
      <c r="J314" s="29"/>
      <c r="K314" s="29"/>
      <c r="L314" s="29"/>
      <c r="M314" s="29"/>
      <c r="N314" s="29"/>
      <c r="O314" s="29"/>
      <c r="P314" s="29"/>
      <c r="Q314" s="29"/>
      <c r="R314" s="15"/>
      <c r="S314" s="15"/>
      <c r="T314" s="15"/>
    </row>
    <row r="315" spans="1:33" x14ac:dyDescent="0.35">
      <c r="A315" s="29"/>
      <c r="B315" s="29"/>
      <c r="C315" s="29"/>
      <c r="D315" s="29"/>
      <c r="E315" s="29"/>
      <c r="F315" s="28" t="s">
        <v>59</v>
      </c>
      <c r="G315" s="29"/>
      <c r="H315" s="29"/>
      <c r="I315" s="28" t="s">
        <v>72</v>
      </c>
      <c r="J315" s="29"/>
      <c r="K315" s="29"/>
      <c r="L315" s="29"/>
      <c r="M315" s="28" t="s">
        <v>59</v>
      </c>
      <c r="N315" s="29"/>
      <c r="O315" s="29"/>
      <c r="P315" s="28" t="s">
        <v>72</v>
      </c>
      <c r="Q315" s="29"/>
      <c r="R315" s="15"/>
      <c r="S315" s="15"/>
      <c r="T315" s="15"/>
    </row>
    <row r="316" spans="1:33" x14ac:dyDescent="0.35">
      <c r="A316" s="29"/>
      <c r="B316" s="29"/>
      <c r="C316" s="29"/>
      <c r="D316" s="29"/>
      <c r="E316" s="29" t="s">
        <v>21</v>
      </c>
      <c r="F316" s="29"/>
      <c r="G316" s="29"/>
      <c r="H316" s="29" t="s">
        <v>21</v>
      </c>
      <c r="I316" s="29"/>
      <c r="J316" s="29"/>
      <c r="K316" s="29"/>
      <c r="L316" s="29" t="s">
        <v>31</v>
      </c>
      <c r="M316" s="29"/>
      <c r="N316" s="29"/>
      <c r="O316" s="29" t="s">
        <v>31</v>
      </c>
      <c r="P316" s="29"/>
      <c r="Q316" s="29"/>
      <c r="R316" s="15"/>
      <c r="S316" s="15"/>
      <c r="T316" s="15"/>
    </row>
    <row r="317" spans="1:33" x14ac:dyDescent="0.35">
      <c r="A317" s="29" t="s">
        <v>44</v>
      </c>
      <c r="B317" s="29"/>
      <c r="C317" s="29"/>
      <c r="D317" s="29"/>
      <c r="E317" s="29" t="s">
        <v>61</v>
      </c>
      <c r="F317" s="29" t="s">
        <v>58</v>
      </c>
      <c r="G317" s="29" t="s">
        <v>60</v>
      </c>
      <c r="H317" s="29" t="s">
        <v>61</v>
      </c>
      <c r="I317" s="29" t="s">
        <v>58</v>
      </c>
      <c r="J317" s="29" t="s">
        <v>60</v>
      </c>
      <c r="K317" s="29"/>
      <c r="L317" s="29" t="s">
        <v>61</v>
      </c>
      <c r="M317" s="29" t="s">
        <v>58</v>
      </c>
      <c r="N317" s="29" t="s">
        <v>60</v>
      </c>
      <c r="O317" s="29" t="s">
        <v>61</v>
      </c>
      <c r="P317" s="29" t="s">
        <v>58</v>
      </c>
      <c r="Q317" s="29" t="s">
        <v>60</v>
      </c>
      <c r="R317" s="15"/>
      <c r="S317" s="15"/>
      <c r="T317" s="15"/>
    </row>
    <row r="318" spans="1:33" x14ac:dyDescent="0.35">
      <c r="A318" s="29" t="s">
        <v>34</v>
      </c>
      <c r="B318" s="29"/>
      <c r="C318" s="29"/>
      <c r="D318" s="29"/>
      <c r="E318" s="29">
        <f ca="1">G306*G197/1000</f>
        <v>5.4868940572432452</v>
      </c>
      <c r="F318" s="29">
        <f ca="1">G305*G252/1000</f>
        <v>-1.0316503827631474</v>
      </c>
      <c r="G318" s="29">
        <f ca="1">(G305*G252+G306*G197)/1000</f>
        <v>4.4552436744800978</v>
      </c>
      <c r="H318" s="29">
        <f ca="1">I306*I197/1000</f>
        <v>6.8712706798203431</v>
      </c>
      <c r="I318" s="29">
        <f ca="1">I305*I252/1000</f>
        <v>-1.3447804882163614</v>
      </c>
      <c r="J318" s="29">
        <f ca="1">(I305*I252+I306*I197)/1000</f>
        <v>5.5264901916039815</v>
      </c>
      <c r="K318" s="29"/>
      <c r="L318" s="29">
        <f ca="1">L306*L252/1000</f>
        <v>-2.7500172574018307</v>
      </c>
      <c r="M318" s="29">
        <f ca="1">L305*L197/1000</f>
        <v>0.99234113428379267</v>
      </c>
      <c r="N318" s="29">
        <f ca="1">(L305*L197+L306*L252)/1000</f>
        <v>-1.757676123118038</v>
      </c>
      <c r="O318" s="29">
        <f ca="1">N306*N252/1000</f>
        <v>-3.1609642453076434</v>
      </c>
      <c r="P318" s="29">
        <f ca="1">N305*N197/1000</f>
        <v>3.5555506129358547</v>
      </c>
      <c r="Q318" s="29">
        <f ca="1">(N305*N197+N306*N252)/1000</f>
        <v>0.39458636762821109</v>
      </c>
      <c r="R318" s="15"/>
      <c r="S318" s="15"/>
      <c r="T318" s="15"/>
      <c r="U318" s="15"/>
    </row>
    <row r="319" spans="1:33" x14ac:dyDescent="0.35">
      <c r="A319" s="29" t="s">
        <v>244</v>
      </c>
      <c r="B319" s="29"/>
      <c r="C319" s="29"/>
      <c r="D319" s="29"/>
      <c r="E319" s="29">
        <f ca="1">G306*G196/1000</f>
        <v>8.4032273686498513</v>
      </c>
      <c r="F319" s="29">
        <f ca="1">G305*G251/1000</f>
        <v>-36.021529628231825</v>
      </c>
      <c r="G319" s="29">
        <f ca="1">(G305*G251+G306*G196)/1000</f>
        <v>-27.61830225958197</v>
      </c>
      <c r="H319" s="29">
        <f ca="1">I306*I196/1000</f>
        <v>9.1139987466716121</v>
      </c>
      <c r="I319" s="29">
        <f ca="1">I305*I251/1000</f>
        <v>-14.950065956057374</v>
      </c>
      <c r="J319" s="29">
        <f ca="1">(I305*I251+I306*I196)/1000</f>
        <v>-5.8360672093857628</v>
      </c>
      <c r="K319" s="29"/>
      <c r="L319" s="29">
        <f ca="1">L306*L251/1000</f>
        <v>-7.8580598999541751</v>
      </c>
      <c r="M319" s="29">
        <f ca="1">L305*L196/1000</f>
        <v>76.327961293259762</v>
      </c>
      <c r="N319" s="29">
        <f ca="1">(L305*L196+L306*L251)/1000</f>
        <v>68.469901393305591</v>
      </c>
      <c r="O319" s="29">
        <f ca="1">N306*N251/1000</f>
        <v>-8.9646595912544331</v>
      </c>
      <c r="P319" s="29">
        <f ca="1">N305*N196/1000</f>
        <v>92.804754892354325</v>
      </c>
      <c r="Q319" s="29">
        <f ca="1">(N305*N196+N306*N251)/1000</f>
        <v>83.840095301099893</v>
      </c>
      <c r="R319" s="15"/>
      <c r="S319" s="15"/>
      <c r="T319" s="15"/>
      <c r="U319" s="15"/>
    </row>
    <row r="320" spans="1:33" x14ac:dyDescent="0.35">
      <c r="A320" s="29" t="s">
        <v>29</v>
      </c>
      <c r="B320" s="29"/>
      <c r="C320" s="29"/>
      <c r="D320" s="29"/>
      <c r="E320" s="29">
        <f ca="1">G306*G198/10</f>
        <v>1188.1500579294345</v>
      </c>
      <c r="F320" s="29">
        <f ca="1">G305*G253/10</f>
        <v>-2524.9128116833299</v>
      </c>
      <c r="G320" s="29">
        <f ca="1">G305/10*G253+G306/10*G198</f>
        <v>-1336.7627537538954</v>
      </c>
      <c r="H320" s="29">
        <f ca="1">I306*I198/10</f>
        <v>2653.8022032209769</v>
      </c>
      <c r="I320" s="29">
        <f ca="1">I305*I253/10</f>
        <v>-1364.5167585487695</v>
      </c>
      <c r="J320" s="29">
        <f ca="1">I305/10*I253+I306/10*I198</f>
        <v>1289.2854446722072</v>
      </c>
      <c r="K320" s="29"/>
      <c r="L320" s="29">
        <f ca="1">L306*L253/10*L188/100</f>
        <v>-310.74450313496851</v>
      </c>
      <c r="M320" s="29">
        <f ca="1">L305*L198/10*L188/100</f>
        <v>1267.2523240913886</v>
      </c>
      <c r="N320" s="29">
        <f ca="1">(L305*L198+L306*L253)/10*L188/100</f>
        <v>956.50782095642001</v>
      </c>
      <c r="O320" s="29">
        <f ca="1">N306*N253/10*N188/100</f>
        <v>-645.59445687379218</v>
      </c>
      <c r="P320" s="29">
        <f ca="1">N305*N198/10*N188/100</f>
        <v>1907.8448880156718</v>
      </c>
      <c r="Q320" s="29">
        <f ca="1">(N305*N198+N306*N253)/10*N188/100</f>
        <v>1262.2504311418795</v>
      </c>
      <c r="R320" s="15"/>
      <c r="S320" s="15"/>
      <c r="T320" s="15"/>
      <c r="U320" s="15"/>
    </row>
    <row r="321" spans="1:21" x14ac:dyDescent="0.35">
      <c r="A321" s="29"/>
      <c r="B321" s="29"/>
      <c r="C321" s="29"/>
      <c r="D321" s="29"/>
      <c r="E321" s="29"/>
      <c r="F321" s="29"/>
      <c r="G321" s="29"/>
      <c r="H321" s="29"/>
      <c r="I321" s="29"/>
      <c r="J321" s="29"/>
      <c r="K321" s="29"/>
      <c r="L321" s="29"/>
      <c r="M321" s="29"/>
      <c r="N321" s="29"/>
      <c r="O321" s="29"/>
      <c r="P321" s="29"/>
      <c r="Q321" s="29"/>
      <c r="R321" s="15"/>
      <c r="S321" s="15"/>
      <c r="T321" s="15"/>
      <c r="U321" s="15"/>
    </row>
    <row r="322" spans="1:21" x14ac:dyDescent="0.35">
      <c r="A322" s="29" t="s">
        <v>130</v>
      </c>
      <c r="B322" s="26"/>
      <c r="C322" s="26"/>
      <c r="D322" s="26"/>
      <c r="E322" s="26"/>
      <c r="F322" s="26"/>
      <c r="G322" s="26">
        <f>G98</f>
        <v>1903.4354964816262</v>
      </c>
      <c r="H322" s="26"/>
      <c r="I322" s="26"/>
      <c r="J322" s="26">
        <f>I98</f>
        <v>1744.8264268960127</v>
      </c>
      <c r="K322" s="26"/>
      <c r="L322" s="26"/>
      <c r="M322" s="26"/>
      <c r="N322" s="26">
        <f>L98</f>
        <v>2282.6452304394425</v>
      </c>
      <c r="O322" s="26"/>
      <c r="P322" s="26"/>
      <c r="Q322" s="26">
        <f>N98</f>
        <v>2125.7963558413712</v>
      </c>
      <c r="R322" s="26"/>
      <c r="S322" s="15"/>
      <c r="T322" s="15"/>
      <c r="U322" s="15"/>
    </row>
    <row r="323" spans="1:21" x14ac:dyDescent="0.35">
      <c r="A323" s="29"/>
      <c r="B323" s="29"/>
      <c r="C323" s="29"/>
      <c r="D323" s="29"/>
      <c r="E323" s="29"/>
      <c r="F323" s="29"/>
      <c r="G323" s="29"/>
      <c r="H323" s="29"/>
      <c r="I323" s="29"/>
      <c r="J323" s="29"/>
      <c r="K323" s="33" t="s">
        <v>142</v>
      </c>
      <c r="L323" s="29"/>
      <c r="M323" s="29"/>
      <c r="N323" s="29"/>
      <c r="O323" s="29"/>
      <c r="P323" s="29"/>
      <c r="Q323" s="29"/>
      <c r="R323" s="33" t="s">
        <v>142</v>
      </c>
      <c r="S323" s="15"/>
      <c r="T323" s="15"/>
    </row>
    <row r="324" spans="1:21" x14ac:dyDescent="0.35">
      <c r="A324" s="29" t="s">
        <v>258</v>
      </c>
      <c r="B324" s="29"/>
      <c r="C324" s="29"/>
      <c r="D324" s="29"/>
      <c r="E324" s="29">
        <f ca="1">E318*1000/G322*100/G185</f>
        <v>2.8826267385395528</v>
      </c>
      <c r="F324" s="29">
        <f ca="1">F318*1000/G322*100/G185</f>
        <v>-0.54199387616238337</v>
      </c>
      <c r="G324" s="29">
        <f ca="1">G318*1000/G322*100/G185</f>
        <v>2.3406328623771699</v>
      </c>
      <c r="H324" s="29">
        <f ca="1">H318*1000/J322*100/I185</f>
        <v>3.9380826504583051</v>
      </c>
      <c r="I324" s="29">
        <f ca="1">I318*1000/J322*100/I185</f>
        <v>-0.77072450731313169</v>
      </c>
      <c r="J324" s="29">
        <f ca="1">J318*1000/J322*100/I185</f>
        <v>3.1673581431451732</v>
      </c>
      <c r="K324" s="29">
        <f ca="1">G324+J324</f>
        <v>5.5079910055223431</v>
      </c>
      <c r="L324" s="29">
        <f ca="1">L318*1000/N322*100/L185</f>
        <v>-2.4095003645156128</v>
      </c>
      <c r="M324" s="29">
        <f ca="1">M318*1000/N322*100/L185</f>
        <v>0.86946593456640886</v>
      </c>
      <c r="N324" s="29">
        <f ca="1">N318*1000/N322*100/L185</f>
        <v>-1.5400344299492039</v>
      </c>
      <c r="O324" s="29">
        <f ca="1">O318*1000/Q322*100/N185</f>
        <v>-2.9739106821044121</v>
      </c>
      <c r="P324" s="29">
        <f ca="1">P318*1000/Q322*100/N185</f>
        <v>3.3451469640219602</v>
      </c>
      <c r="Q324" s="29">
        <f ca="1">Q318*1000/Q322*100/N185</f>
        <v>0.37123628191754743</v>
      </c>
      <c r="R324" s="29">
        <f ca="1">N324+Q324</f>
        <v>-1.1687981480316565</v>
      </c>
      <c r="S324" s="15"/>
      <c r="T324" s="15"/>
    </row>
    <row r="325" spans="1:21" x14ac:dyDescent="0.35">
      <c r="A325" s="29" t="s">
        <v>259</v>
      </c>
      <c r="B325" s="29"/>
      <c r="C325" s="29"/>
      <c r="D325" s="29"/>
      <c r="E325" s="29">
        <f ca="1">E319*1000/G322</f>
        <v>4.4147686560341333</v>
      </c>
      <c r="F325" s="29">
        <f ca="1">F319*1000/G322</f>
        <v>-18.924481388949204</v>
      </c>
      <c r="G325" s="29">
        <f ca="1">G319*1000/$G$322</f>
        <v>-14.509712732915071</v>
      </c>
      <c r="H325" s="29">
        <f ca="1">H319*1000/J322</f>
        <v>5.2234414874636608</v>
      </c>
      <c r="I325" s="29">
        <f ca="1">I319*1000/J322</f>
        <v>-8.5682253120461027</v>
      </c>
      <c r="J325" s="29">
        <f ca="1">J319*1000/J322</f>
        <v>-3.3447838245824424</v>
      </c>
      <c r="K325" s="29">
        <f ca="1">G325+J325</f>
        <v>-17.854496557497512</v>
      </c>
      <c r="L325" s="29">
        <f ca="1">L319*1000/N322</f>
        <v>-3.4425235227821118</v>
      </c>
      <c r="M325" s="29">
        <f ca="1">M319*1000/N322</f>
        <v>33.438381170851294</v>
      </c>
      <c r="N325" s="29">
        <f ca="1">N319*1000/N322</f>
        <v>29.995857648069187</v>
      </c>
      <c r="O325" s="29">
        <f ca="1">O319*1000/Q322</f>
        <v>-4.2170829612257474</v>
      </c>
      <c r="P325" s="29">
        <f ca="1">P319*1000/Q322</f>
        <v>43.656465322908616</v>
      </c>
      <c r="Q325" s="29">
        <f ca="1">Q319*1000/Q322</f>
        <v>39.439382361682867</v>
      </c>
      <c r="R325" s="29">
        <f ca="1">N325+Q325</f>
        <v>69.43524000975205</v>
      </c>
      <c r="S325" s="15"/>
      <c r="T325" s="15"/>
    </row>
    <row r="326" spans="1:21" x14ac:dyDescent="0.35">
      <c r="A326" s="29" t="s">
        <v>37</v>
      </c>
      <c r="B326" s="29"/>
      <c r="C326" s="29"/>
      <c r="D326" s="29"/>
      <c r="E326" s="29">
        <f t="shared" ref="E326:J326" ca="1" si="2">E324+E325</f>
        <v>7.2973953945736856</v>
      </c>
      <c r="F326" s="29">
        <f t="shared" ca="1" si="2"/>
        <v>-19.466475265111587</v>
      </c>
      <c r="G326" s="29">
        <f t="shared" ca="1" si="2"/>
        <v>-12.169079870537901</v>
      </c>
      <c r="H326" s="29">
        <f t="shared" ca="1" si="2"/>
        <v>9.1615241379219654</v>
      </c>
      <c r="I326" s="29">
        <f t="shared" ca="1" si="2"/>
        <v>-9.3389498193592342</v>
      </c>
      <c r="J326" s="29">
        <f t="shared" ca="1" si="2"/>
        <v>-0.17742568143726922</v>
      </c>
      <c r="K326" s="29">
        <f ca="1">G326+J326</f>
        <v>-12.34650555197517</v>
      </c>
      <c r="L326" s="29">
        <f t="shared" ref="L326:Q326" ca="1" si="3">L324+L325</f>
        <v>-5.8520238872977242</v>
      </c>
      <c r="M326" s="29">
        <f t="shared" ca="1" si="3"/>
        <v>34.3078471054177</v>
      </c>
      <c r="N326" s="29">
        <f t="shared" ca="1" si="3"/>
        <v>28.455823218119981</v>
      </c>
      <c r="O326" s="29">
        <f t="shared" ca="1" si="3"/>
        <v>-7.1909936433301596</v>
      </c>
      <c r="P326" s="29">
        <f t="shared" ca="1" si="3"/>
        <v>47.001612286930573</v>
      </c>
      <c r="Q326" s="29">
        <f t="shared" ca="1" si="3"/>
        <v>39.810618643600414</v>
      </c>
      <c r="R326" s="29">
        <f ca="1">N326+Q326</f>
        <v>68.266441861720395</v>
      </c>
      <c r="S326" s="15"/>
      <c r="T326" s="15"/>
    </row>
    <row r="327" spans="1:21" x14ac:dyDescent="0.35">
      <c r="A327" s="29" t="s">
        <v>30</v>
      </c>
      <c r="B327" s="29"/>
      <c r="C327" s="29"/>
      <c r="D327" s="29"/>
      <c r="E327" s="29">
        <f t="shared" ref="E327:J327" ca="1" si="4">E320*$G$188/100</f>
        <v>1188.1500579294345</v>
      </c>
      <c r="F327" s="29">
        <f t="shared" ca="1" si="4"/>
        <v>-2524.9128116833299</v>
      </c>
      <c r="G327" s="29">
        <f t="shared" ca="1" si="4"/>
        <v>-1336.7627537538951</v>
      </c>
      <c r="H327" s="29">
        <f t="shared" ca="1" si="4"/>
        <v>2653.8022032209769</v>
      </c>
      <c r="I327" s="29">
        <f t="shared" ca="1" si="4"/>
        <v>-1364.5167585487695</v>
      </c>
      <c r="J327" s="29">
        <f t="shared" ca="1" si="4"/>
        <v>1289.2854446722072</v>
      </c>
      <c r="K327" s="29"/>
      <c r="L327" s="29">
        <f ca="1">L320*$L$188/100</f>
        <v>-186.4467018809811</v>
      </c>
      <c r="M327" s="29">
        <f ca="1">M320*$L$188/100</f>
        <v>760.35139445483321</v>
      </c>
      <c r="N327" s="29">
        <f ca="1">N320*$L$188/100</f>
        <v>573.904692573852</v>
      </c>
      <c r="O327" s="29">
        <f ca="1">O320*N188/100</f>
        <v>-387.35667412427529</v>
      </c>
      <c r="P327" s="29">
        <f ca="1">P320*N188/100</f>
        <v>1144.706932809403</v>
      </c>
      <c r="Q327" s="29">
        <f ca="1">Q320*N188/100</f>
        <v>757.35025868512776</v>
      </c>
      <c r="R327" s="15"/>
      <c r="S327" s="15"/>
      <c r="T327" s="15"/>
    </row>
    <row r="328" spans="1:21" x14ac:dyDescent="0.35">
      <c r="A328" s="29"/>
      <c r="B328" s="29"/>
      <c r="C328" s="29"/>
      <c r="D328" s="29"/>
      <c r="E328" s="29"/>
      <c r="F328" s="29"/>
      <c r="G328" s="29"/>
      <c r="H328" s="29"/>
      <c r="I328" s="29"/>
      <c r="J328" s="29"/>
      <c r="K328" s="29"/>
      <c r="L328" s="29"/>
      <c r="M328" s="29"/>
      <c r="N328" s="29"/>
      <c r="O328" s="29"/>
      <c r="P328" s="29"/>
      <c r="Q328" s="29"/>
      <c r="R328" s="15"/>
      <c r="S328" s="15"/>
      <c r="T328" s="15"/>
    </row>
    <row r="329" spans="1:21" s="15" customFormat="1" x14ac:dyDescent="0.35">
      <c r="A329" s="15" t="s">
        <v>289</v>
      </c>
    </row>
    <row r="330" spans="1:21" s="15" customFormat="1" x14ac:dyDescent="0.35">
      <c r="A330" s="15" t="s">
        <v>36</v>
      </c>
      <c r="G330" s="55">
        <f ca="1">G326/F10*100</f>
        <v>-23.037900629544321</v>
      </c>
      <c r="J330" s="55">
        <f ca="1">J326/F11*100</f>
        <v>-4.8997459746506385E-2</v>
      </c>
      <c r="N330" s="55">
        <f ca="1">N326/O10*100</f>
        <v>7.7947919033260051</v>
      </c>
      <c r="Q330" s="55">
        <f ca="1">Q326/O11*100</f>
        <v>3.134126783621896</v>
      </c>
    </row>
    <row r="331" spans="1:21" s="15" customFormat="1" x14ac:dyDescent="0.35">
      <c r="L331" s="15" t="s">
        <v>310</v>
      </c>
    </row>
    <row r="332" spans="1:21" s="15" customFormat="1" x14ac:dyDescent="0.35">
      <c r="A332" s="15" t="s">
        <v>309</v>
      </c>
      <c r="G332" s="31" t="s">
        <v>139</v>
      </c>
      <c r="H332" s="31" t="s">
        <v>140</v>
      </c>
      <c r="I332" s="31" t="s">
        <v>141</v>
      </c>
      <c r="J332" s="31"/>
      <c r="K332" s="31"/>
      <c r="L332" s="31"/>
      <c r="M332" s="31"/>
      <c r="N332" s="31" t="s">
        <v>139</v>
      </c>
      <c r="O332" s="31" t="s">
        <v>140</v>
      </c>
      <c r="P332" s="31" t="s">
        <v>141</v>
      </c>
    </row>
    <row r="333" spans="1:21" s="15" customFormat="1" x14ac:dyDescent="0.35">
      <c r="A333" s="15" t="s">
        <v>260</v>
      </c>
      <c r="G333" s="55">
        <f ca="1">G324/C12*100</f>
        <v>2.7982706368013499</v>
      </c>
      <c r="H333" s="55">
        <f ca="1">J324/C12*100</f>
        <v>3.7866362686180981</v>
      </c>
      <c r="I333" s="55">
        <f ca="1">100*K324/C12</f>
        <v>6.584906905419448</v>
      </c>
      <c r="J333" s="55"/>
      <c r="N333" s="55">
        <f ca="1">N324/K12*100</f>
        <v>-0.97706478266232044</v>
      </c>
      <c r="O333" s="55">
        <f ca="1">Q324/K12*100</f>
        <v>0.23552843368579773</v>
      </c>
      <c r="P333" s="55">
        <f ca="1">N333+O333</f>
        <v>-0.74153634897652276</v>
      </c>
    </row>
    <row r="334" spans="1:21" s="15" customFormat="1" x14ac:dyDescent="0.35">
      <c r="A334" s="15" t="s">
        <v>261</v>
      </c>
      <c r="G334" s="55">
        <f ca="1">G325/(D12+E12)*100</f>
        <v>-4.2140282093464787</v>
      </c>
      <c r="H334" s="55">
        <f ca="1">J325/(D12+E12)*100</f>
        <v>-0.97141919005618116</v>
      </c>
      <c r="I334" s="55">
        <f ca="1">100*K325/(D12+E12)</f>
        <v>-5.1854473994026593</v>
      </c>
      <c r="N334" s="55">
        <f ca="1">N325/(L12+M12)*100</f>
        <v>1.5980951830499985</v>
      </c>
      <c r="O334" s="55">
        <f ca="1">Q325/(L12+M12)*100</f>
        <v>2.1012196988716383</v>
      </c>
      <c r="P334" s="55">
        <f ca="1">N334+O334</f>
        <v>3.6993148819216368</v>
      </c>
    </row>
    <row r="335" spans="1:21" s="15" customFormat="1" x14ac:dyDescent="0.35">
      <c r="A335" s="15" t="s">
        <v>165</v>
      </c>
      <c r="G335" s="55">
        <f t="shared" ref="G335:H335" ca="1" si="5">100*((1+G333/100)/(1+G334/100)-1)</f>
        <v>7.3207993979261143</v>
      </c>
      <c r="H335" s="55">
        <f t="shared" ca="1" si="5"/>
        <v>4.8047295232938492</v>
      </c>
      <c r="I335" s="55">
        <f ca="1">100*((1+I333/100)/(1+I334/100)-1)</f>
        <v>12.414079887508688</v>
      </c>
      <c r="L335" s="55"/>
      <c r="N335" s="55">
        <f t="shared" ref="N335:O335" ca="1" si="6">100*((1+N333/100)/(1+N334/100)-1)</f>
        <v>-2.5346537856567486</v>
      </c>
      <c r="O335" s="55">
        <f t="shared" ca="1" si="6"/>
        <v>-1.8272957665817935</v>
      </c>
      <c r="P335" s="55">
        <f ca="1">100*((1+P333/100)/(1+P334/100)-1)</f>
        <v>-4.2824306370343734</v>
      </c>
    </row>
    <row r="336" spans="1:21" s="15" customFormat="1" x14ac:dyDescent="0.35">
      <c r="A336" s="15" t="s">
        <v>164</v>
      </c>
      <c r="G336" s="55">
        <f ca="1">G326/F12*100</f>
        <v>-2.8434754876071411</v>
      </c>
      <c r="H336" s="55">
        <f ca="1">J326/F12*100</f>
        <v>-4.1457988722738828E-2</v>
      </c>
      <c r="I336" s="55">
        <f ca="1">G336+H336</f>
        <v>-2.8849334763298797</v>
      </c>
      <c r="L336" s="15" t="s">
        <v>311</v>
      </c>
      <c r="N336" s="55">
        <f ca="1">N326/O12*100</f>
        <v>1.0534090602819073</v>
      </c>
      <c r="O336" s="55">
        <f ca="1">Q326/O12*100</f>
        <v>1.4737534055206001</v>
      </c>
      <c r="P336" s="55">
        <f ca="1">N336+O336</f>
        <v>2.5271624658025074</v>
      </c>
    </row>
    <row r="337" spans="1:20" s="15" customFormat="1" x14ac:dyDescent="0.35">
      <c r="G337" s="55"/>
      <c r="H337" s="55"/>
      <c r="I337" s="55"/>
      <c r="N337" s="55"/>
      <c r="O337" s="55"/>
      <c r="P337" s="55"/>
    </row>
    <row r="338" spans="1:20" x14ac:dyDescent="0.35">
      <c r="A338" s="15"/>
      <c r="B338" s="15"/>
      <c r="C338" s="15"/>
      <c r="D338" s="15"/>
      <c r="E338" s="15"/>
      <c r="F338" s="15"/>
      <c r="G338" s="236" t="s">
        <v>167</v>
      </c>
      <c r="H338" s="15"/>
      <c r="I338" s="236" t="s">
        <v>167</v>
      </c>
      <c r="J338" s="15"/>
      <c r="K338" s="15"/>
      <c r="L338" s="15"/>
      <c r="M338" s="15"/>
      <c r="N338" s="236" t="s">
        <v>167</v>
      </c>
      <c r="O338" s="15"/>
      <c r="P338" s="236" t="s">
        <v>167</v>
      </c>
      <c r="Q338" s="15"/>
      <c r="R338" s="15"/>
      <c r="S338" s="15"/>
      <c r="T338" s="15"/>
    </row>
    <row r="339" spans="1:20" x14ac:dyDescent="0.35">
      <c r="A339" s="15"/>
      <c r="B339" s="15"/>
      <c r="C339" s="15"/>
      <c r="D339" s="15"/>
      <c r="E339" s="15"/>
      <c r="F339" s="15"/>
      <c r="G339" s="236" t="s">
        <v>168</v>
      </c>
      <c r="H339" s="15"/>
      <c r="I339" s="236" t="s">
        <v>171</v>
      </c>
      <c r="J339" s="15"/>
      <c r="K339" s="15"/>
      <c r="L339" s="15"/>
      <c r="M339" s="15"/>
      <c r="N339" s="236" t="s">
        <v>168</v>
      </c>
      <c r="O339" s="15"/>
      <c r="P339" s="236" t="s">
        <v>171</v>
      </c>
      <c r="Q339" s="15"/>
      <c r="R339" s="15"/>
      <c r="S339" s="15"/>
      <c r="T339" s="15"/>
    </row>
    <row r="340" spans="1:20" x14ac:dyDescent="0.35">
      <c r="A340" s="15"/>
      <c r="B340" s="15"/>
      <c r="C340" s="15"/>
      <c r="D340" s="15"/>
      <c r="E340" s="15"/>
      <c r="F340" s="15"/>
      <c r="G340" s="236" t="s">
        <v>169</v>
      </c>
      <c r="H340" s="15"/>
      <c r="I340" s="236" t="s">
        <v>172</v>
      </c>
      <c r="J340" s="15"/>
      <c r="K340" s="15"/>
      <c r="L340" s="15"/>
      <c r="M340" s="15"/>
      <c r="N340" s="236" t="s">
        <v>169</v>
      </c>
      <c r="O340" s="15"/>
      <c r="P340" s="236" t="s">
        <v>172</v>
      </c>
      <c r="Q340" s="15"/>
      <c r="R340" s="15"/>
      <c r="S340" s="15"/>
      <c r="T340" s="15"/>
    </row>
    <row r="341" spans="1:20" x14ac:dyDescent="0.35">
      <c r="A341" s="15" t="s">
        <v>166</v>
      </c>
      <c r="B341" s="15"/>
      <c r="C341" s="15"/>
      <c r="D341" s="15"/>
      <c r="E341" s="15"/>
      <c r="F341" s="15"/>
      <c r="G341" s="236" t="s">
        <v>170</v>
      </c>
      <c r="H341" s="15"/>
      <c r="I341" s="236" t="s">
        <v>173</v>
      </c>
      <c r="J341" s="56"/>
      <c r="K341" s="56"/>
      <c r="L341" s="56"/>
      <c r="M341" s="56"/>
      <c r="N341" s="236" t="s">
        <v>170</v>
      </c>
      <c r="O341" s="15"/>
      <c r="P341" s="236" t="s">
        <v>173</v>
      </c>
      <c r="Q341" s="15"/>
      <c r="R341" s="15"/>
      <c r="S341" s="15"/>
      <c r="T341" s="15"/>
    </row>
    <row r="343" spans="1:20" s="222" customFormat="1" x14ac:dyDescent="0.35">
      <c r="G343" s="222">
        <f ca="1">G326</f>
        <v>-12.169079870537901</v>
      </c>
      <c r="I343" s="222">
        <f ca="1">I335</f>
        <v>12.414079887508688</v>
      </c>
      <c r="N343" s="222">
        <f ca="1">N326</f>
        <v>28.455823218119981</v>
      </c>
      <c r="P343" s="222">
        <f ca="1">P335</f>
        <v>-4.2824306370343734</v>
      </c>
    </row>
    <row r="345" spans="1:20" x14ac:dyDescent="0.35">
      <c r="A345" s="4" t="s">
        <v>287</v>
      </c>
      <c r="C345" s="78"/>
      <c r="D345" s="78"/>
      <c r="E345" s="78"/>
      <c r="F345" s="78" t="s">
        <v>59</v>
      </c>
      <c r="G345" s="78"/>
      <c r="H345" s="78"/>
      <c r="I345" s="78"/>
      <c r="J345" s="78" t="s">
        <v>72</v>
      </c>
      <c r="K345" s="78"/>
      <c r="L345" s="237"/>
      <c r="M345" s="237" t="s">
        <v>272</v>
      </c>
      <c r="N345" s="237"/>
    </row>
    <row r="346" spans="1:20" x14ac:dyDescent="0.35">
      <c r="C346" s="78"/>
      <c r="D346" s="78"/>
      <c r="E346" s="77" t="s">
        <v>273</v>
      </c>
      <c r="F346" s="77" t="s">
        <v>274</v>
      </c>
      <c r="G346" s="77" t="s">
        <v>60</v>
      </c>
      <c r="H346" s="78"/>
      <c r="I346" s="77" t="s">
        <v>273</v>
      </c>
      <c r="J346" s="77" t="s">
        <v>274</v>
      </c>
      <c r="K346" s="77" t="s">
        <v>60</v>
      </c>
      <c r="L346" s="237"/>
      <c r="M346" s="77" t="s">
        <v>60</v>
      </c>
      <c r="N346" s="237"/>
    </row>
    <row r="347" spans="1:20" x14ac:dyDescent="0.35">
      <c r="C347" s="78"/>
      <c r="D347" s="78"/>
      <c r="E347" s="77" t="s">
        <v>275</v>
      </c>
      <c r="F347" s="77" t="s">
        <v>276</v>
      </c>
      <c r="G347" s="77" t="s">
        <v>277</v>
      </c>
      <c r="H347" s="78"/>
      <c r="I347" s="77" t="s">
        <v>275</v>
      </c>
      <c r="J347" s="77" t="s">
        <v>276</v>
      </c>
      <c r="K347" s="77" t="s">
        <v>277</v>
      </c>
      <c r="L347" s="237"/>
      <c r="M347" s="77" t="s">
        <v>277</v>
      </c>
      <c r="N347" s="237"/>
    </row>
    <row r="348" spans="1:20" x14ac:dyDescent="0.35">
      <c r="C348" s="78" t="s">
        <v>278</v>
      </c>
      <c r="D348" s="78"/>
      <c r="E348" s="78"/>
      <c r="F348" s="78"/>
      <c r="G348" s="78"/>
      <c r="H348" s="78"/>
      <c r="I348" s="78"/>
      <c r="J348" s="78"/>
      <c r="K348" s="78"/>
      <c r="L348" s="237"/>
      <c r="M348" s="237"/>
      <c r="N348" s="237"/>
    </row>
    <row r="349" spans="1:20" x14ac:dyDescent="0.35">
      <c r="C349" s="78" t="s">
        <v>279</v>
      </c>
      <c r="D349" s="78"/>
      <c r="E349" s="78">
        <f t="shared" ref="E349:G351" ca="1" si="7">E324</f>
        <v>2.8826267385395528</v>
      </c>
      <c r="F349" s="78">
        <f t="shared" ca="1" si="7"/>
        <v>-0.54199387616238337</v>
      </c>
      <c r="G349" s="78">
        <f t="shared" ca="1" si="7"/>
        <v>2.3406328623771699</v>
      </c>
      <c r="H349" s="78"/>
      <c r="I349" s="78">
        <f t="shared" ref="I349:K351" ca="1" si="8">H324</f>
        <v>3.9380826504583051</v>
      </c>
      <c r="J349" s="78">
        <f t="shared" ca="1" si="8"/>
        <v>-0.77072450731313169</v>
      </c>
      <c r="K349" s="78">
        <f t="shared" ca="1" si="8"/>
        <v>3.1673581431451732</v>
      </c>
      <c r="L349" s="237"/>
      <c r="M349" s="78">
        <f ca="1">K324</f>
        <v>5.5079910055223431</v>
      </c>
      <c r="N349" s="237"/>
    </row>
    <row r="350" spans="1:20" x14ac:dyDescent="0.35">
      <c r="C350" s="78" t="s">
        <v>280</v>
      </c>
      <c r="D350" s="78"/>
      <c r="E350" s="78">
        <f t="shared" ca="1" si="7"/>
        <v>4.4147686560341333</v>
      </c>
      <c r="F350" s="78">
        <f t="shared" ca="1" si="7"/>
        <v>-18.924481388949204</v>
      </c>
      <c r="G350" s="78">
        <f t="shared" ca="1" si="7"/>
        <v>-14.509712732915071</v>
      </c>
      <c r="H350" s="78"/>
      <c r="I350" s="78">
        <f t="shared" ca="1" si="8"/>
        <v>5.2234414874636608</v>
      </c>
      <c r="J350" s="78">
        <f t="shared" ca="1" si="8"/>
        <v>-8.5682253120461027</v>
      </c>
      <c r="K350" s="78">
        <f t="shared" ca="1" si="8"/>
        <v>-3.3447838245824424</v>
      </c>
      <c r="L350" s="237"/>
      <c r="M350" s="78">
        <f ca="1">K325</f>
        <v>-17.854496557497512</v>
      </c>
      <c r="N350" s="237"/>
    </row>
    <row r="351" spans="1:20" x14ac:dyDescent="0.35">
      <c r="C351" s="78" t="s">
        <v>281</v>
      </c>
      <c r="D351" s="78"/>
      <c r="E351" s="78">
        <f t="shared" ca="1" si="7"/>
        <v>7.2973953945736856</v>
      </c>
      <c r="F351" s="78">
        <f t="shared" ca="1" si="7"/>
        <v>-19.466475265111587</v>
      </c>
      <c r="G351" s="78">
        <f t="shared" ca="1" si="7"/>
        <v>-12.169079870537901</v>
      </c>
      <c r="H351" s="78"/>
      <c r="I351" s="78">
        <f t="shared" ca="1" si="8"/>
        <v>9.1615241379219654</v>
      </c>
      <c r="J351" s="78">
        <f t="shared" ca="1" si="8"/>
        <v>-9.3389498193592342</v>
      </c>
      <c r="K351" s="78">
        <f t="shared" ca="1" si="8"/>
        <v>-0.17742568143726922</v>
      </c>
      <c r="L351" s="237"/>
      <c r="M351" s="78">
        <f ca="1">K326</f>
        <v>-12.34650555197517</v>
      </c>
      <c r="N351" s="237"/>
    </row>
    <row r="352" spans="1:20" x14ac:dyDescent="0.35">
      <c r="C352" s="78" t="s">
        <v>282</v>
      </c>
      <c r="D352" s="78"/>
      <c r="E352" s="78"/>
      <c r="F352" s="78"/>
      <c r="G352" s="78"/>
      <c r="H352" s="78"/>
      <c r="I352" s="78"/>
      <c r="J352" s="78"/>
      <c r="K352" s="78"/>
      <c r="L352" s="237"/>
      <c r="M352" s="237"/>
      <c r="N352" s="237"/>
    </row>
    <row r="353" spans="1:17" x14ac:dyDescent="0.35">
      <c r="C353" s="78" t="s">
        <v>286</v>
      </c>
      <c r="D353" s="238"/>
      <c r="E353" s="238"/>
      <c r="F353" s="238"/>
      <c r="G353" s="79">
        <f ca="1">G330</f>
        <v>-23.037900629544321</v>
      </c>
      <c r="H353" s="239"/>
      <c r="I353" s="239"/>
      <c r="J353" s="239"/>
      <c r="K353" s="79">
        <f ca="1">J330</f>
        <v>-4.8997459746506385E-2</v>
      </c>
      <c r="L353" s="239"/>
      <c r="M353" s="79">
        <f ca="1">I336</f>
        <v>-2.8849334763298797</v>
      </c>
      <c r="N353" s="237" t="s">
        <v>295</v>
      </c>
    </row>
    <row r="354" spans="1:17" x14ac:dyDescent="0.35">
      <c r="C354" s="78" t="s">
        <v>283</v>
      </c>
      <c r="D354" s="238"/>
      <c r="E354" s="238"/>
      <c r="F354" s="238"/>
      <c r="G354" s="79">
        <f ca="1">G333</f>
        <v>2.7982706368013499</v>
      </c>
      <c r="H354" s="240"/>
      <c r="I354" s="240"/>
      <c r="J354" s="240"/>
      <c r="K354" s="79">
        <f ca="1">H333</f>
        <v>3.7866362686180981</v>
      </c>
      <c r="L354" s="240"/>
      <c r="M354" s="79">
        <f ca="1">I333</f>
        <v>6.584906905419448</v>
      </c>
      <c r="N354" s="237"/>
    </row>
    <row r="355" spans="1:17" x14ac:dyDescent="0.35">
      <c r="C355" s="78" t="s">
        <v>284</v>
      </c>
      <c r="D355" s="238"/>
      <c r="E355" s="238"/>
      <c r="F355" s="238"/>
      <c r="G355" s="79">
        <f ca="1">G334</f>
        <v>-4.2140282093464787</v>
      </c>
      <c r="H355" s="240"/>
      <c r="I355" s="240"/>
      <c r="J355" s="240"/>
      <c r="K355" s="79">
        <f ca="1">H334</f>
        <v>-0.97141919005618116</v>
      </c>
      <c r="L355" s="240"/>
      <c r="M355" s="79">
        <f ca="1">I334</f>
        <v>-5.1854473994026593</v>
      </c>
      <c r="N355" s="237"/>
    </row>
    <row r="356" spans="1:17" x14ac:dyDescent="0.35">
      <c r="C356" s="78" t="s">
        <v>285</v>
      </c>
      <c r="D356" s="238"/>
      <c r="E356" s="238"/>
      <c r="F356" s="238"/>
      <c r="G356" s="76">
        <f ca="1">G335</f>
        <v>7.3207993979261143</v>
      </c>
      <c r="H356" s="240"/>
      <c r="I356" s="240"/>
      <c r="J356" s="240"/>
      <c r="K356" s="79">
        <f ca="1">H335</f>
        <v>4.8047295232938492</v>
      </c>
      <c r="L356" s="240"/>
      <c r="M356" s="79">
        <f ca="1">I335</f>
        <v>12.414079887508688</v>
      </c>
      <c r="N356" s="237"/>
    </row>
    <row r="358" spans="1:17" x14ac:dyDescent="0.35">
      <c r="C358" s="238"/>
      <c r="D358" s="238"/>
      <c r="E358" s="238"/>
      <c r="F358" s="238"/>
      <c r="G358" s="238"/>
      <c r="H358" s="238"/>
      <c r="I358" s="238"/>
      <c r="J358" s="238"/>
      <c r="K358" s="238"/>
      <c r="L358" s="238"/>
      <c r="M358" s="238"/>
      <c r="N358" s="237"/>
    </row>
    <row r="359" spans="1:17" x14ac:dyDescent="0.35">
      <c r="A359" s="5"/>
      <c r="B359"/>
      <c r="C359" s="241"/>
      <c r="D359" s="241"/>
      <c r="E359" s="241"/>
      <c r="F359"/>
      <c r="G359"/>
      <c r="H359"/>
      <c r="I359"/>
      <c r="J359" s="78"/>
      <c r="K359" s="78"/>
      <c r="L359" s="78"/>
      <c r="M359" s="78"/>
      <c r="N359"/>
      <c r="O359"/>
      <c r="P359"/>
      <c r="Q359"/>
    </row>
    <row r="360" spans="1:17" x14ac:dyDescent="0.35">
      <c r="A360"/>
      <c r="B360"/>
      <c r="C360"/>
      <c r="D360"/>
      <c r="E360"/>
      <c r="F360"/>
      <c r="G360"/>
      <c r="H360"/>
      <c r="I360"/>
      <c r="J360"/>
      <c r="K360" s="48"/>
      <c r="L360"/>
      <c r="M360"/>
      <c r="N360"/>
      <c r="O360"/>
      <c r="P360"/>
      <c r="Q360"/>
    </row>
    <row r="361" spans="1:17" s="15" customFormat="1" x14ac:dyDescent="0.35">
      <c r="A361" s="242"/>
      <c r="B361" s="7"/>
      <c r="C361" s="7"/>
      <c r="D361" s="7"/>
      <c r="E361" s="7"/>
      <c r="F361" s="7"/>
      <c r="G361" s="7"/>
      <c r="H361" s="7"/>
      <c r="I361" s="7"/>
      <c r="J361" s="14"/>
      <c r="K361" s="14"/>
      <c r="L361" s="14"/>
      <c r="M361" s="14"/>
      <c r="N361" s="7"/>
    </row>
    <row r="362" spans="1:17" x14ac:dyDescent="0.35">
      <c r="A362" s="243"/>
      <c r="B362"/>
      <c r="C362"/>
      <c r="D362"/>
      <c r="E362"/>
      <c r="F362"/>
      <c r="G362"/>
      <c r="H362"/>
      <c r="I362"/>
      <c r="J362" s="1"/>
      <c r="K362" s="14"/>
      <c r="L362" s="1"/>
      <c r="M362" s="14"/>
      <c r="N362" s="15"/>
      <c r="O362" s="15"/>
    </row>
    <row r="363" spans="1:17" x14ac:dyDescent="0.35">
      <c r="A363" s="243"/>
      <c r="B363"/>
      <c r="C363"/>
      <c r="D363"/>
      <c r="E363"/>
      <c r="F363"/>
      <c r="G363"/>
      <c r="H363"/>
      <c r="I363"/>
      <c r="J363" s="1"/>
      <c r="K363" s="1"/>
      <c r="L363" s="1"/>
      <c r="M363" s="1"/>
      <c r="N363"/>
    </row>
    <row r="364" spans="1:17" s="15" customFormat="1" x14ac:dyDescent="0.35">
      <c r="A364" s="242"/>
      <c r="B364" s="7"/>
      <c r="C364" s="7"/>
      <c r="D364" s="7"/>
      <c r="E364" s="7"/>
      <c r="F364" s="7"/>
      <c r="G364" s="7"/>
      <c r="H364" s="7"/>
      <c r="I364" s="7"/>
      <c r="J364" s="16"/>
      <c r="K364" s="16"/>
      <c r="L364" s="16"/>
      <c r="M364" s="14"/>
      <c r="N364" s="7"/>
    </row>
    <row r="365" spans="1:17" s="15" customFormat="1" x14ac:dyDescent="0.35">
      <c r="A365" s="244"/>
      <c r="B365" s="7"/>
      <c r="C365" s="7"/>
      <c r="D365" s="7"/>
      <c r="E365" s="7"/>
      <c r="F365" s="7"/>
      <c r="G365" s="7"/>
      <c r="H365" s="7"/>
      <c r="I365" s="7"/>
      <c r="J365" s="16"/>
      <c r="K365" s="16"/>
      <c r="L365" s="16"/>
      <c r="M365" s="7"/>
      <c r="N365" s="7"/>
    </row>
    <row r="366" spans="1:17" s="15" customFormat="1" x14ac:dyDescent="0.35">
      <c r="A366" s="242"/>
      <c r="B366" s="7"/>
      <c r="C366" s="7"/>
      <c r="D366" s="7"/>
      <c r="E366" s="7"/>
      <c r="F366" s="7"/>
      <c r="G366" s="7"/>
      <c r="H366" s="7"/>
      <c r="I366" s="7"/>
      <c r="J366" s="16"/>
      <c r="K366" s="16"/>
      <c r="L366" s="16"/>
      <c r="N366" s="7"/>
    </row>
    <row r="367" spans="1:17" s="15" customFormat="1" x14ac:dyDescent="0.35">
      <c r="A367" s="242"/>
      <c r="B367" s="7"/>
      <c r="C367" s="7"/>
      <c r="D367" s="7"/>
      <c r="E367" s="7"/>
      <c r="F367" s="7"/>
      <c r="G367" s="7"/>
      <c r="H367" s="7"/>
      <c r="I367" s="7"/>
      <c r="J367" s="16"/>
      <c r="K367" s="16"/>
      <c r="L367" s="16"/>
      <c r="M367" s="7"/>
      <c r="N367" s="7"/>
    </row>
    <row r="368" spans="1:17" s="15" customFormat="1" x14ac:dyDescent="0.35">
      <c r="A368" s="242"/>
      <c r="B368" s="7"/>
      <c r="C368" s="7"/>
      <c r="D368" s="7"/>
      <c r="E368" s="7"/>
      <c r="F368" s="7"/>
      <c r="G368" s="7"/>
      <c r="H368" s="7"/>
      <c r="I368" s="7"/>
      <c r="J368" s="16"/>
      <c r="K368" s="16"/>
      <c r="L368" s="16"/>
      <c r="M368" s="7"/>
      <c r="N368" s="7"/>
    </row>
    <row r="369" spans="1:14" s="15" customFormat="1" x14ac:dyDescent="0.35">
      <c r="A369" s="242"/>
      <c r="B369" s="7"/>
      <c r="C369" s="7"/>
      <c r="D369" s="7"/>
      <c r="E369" s="7"/>
      <c r="F369" s="7"/>
      <c r="G369" s="7"/>
      <c r="H369" s="7"/>
      <c r="I369" s="7"/>
      <c r="J369" s="16"/>
      <c r="K369" s="16"/>
      <c r="L369" s="16"/>
      <c r="N369" s="7"/>
    </row>
    <row r="370" spans="1:14" s="15" customFormat="1" x14ac:dyDescent="0.35">
      <c r="A370" s="38"/>
      <c r="B370" s="7"/>
      <c r="C370" s="7"/>
      <c r="D370" s="7"/>
      <c r="E370" s="7"/>
      <c r="F370" s="7"/>
      <c r="G370" s="7"/>
      <c r="H370" s="7"/>
      <c r="I370" s="7"/>
      <c r="J370" s="16"/>
      <c r="K370" s="16"/>
      <c r="L370" s="16"/>
      <c r="N370" s="7"/>
    </row>
    <row r="371" spans="1:14" s="15" customFormat="1" x14ac:dyDescent="0.35">
      <c r="J371" s="64"/>
      <c r="K371" s="64"/>
      <c r="L371" s="64"/>
    </row>
    <row r="372" spans="1:14" s="15" customFormat="1" x14ac:dyDescent="0.35">
      <c r="A372" s="242"/>
      <c r="C372" s="157"/>
      <c r="J372" s="55"/>
      <c r="K372" s="55"/>
      <c r="L372" s="55"/>
    </row>
    <row r="373" spans="1:14" s="15" customFormat="1" x14ac:dyDescent="0.35">
      <c r="A373" s="242"/>
      <c r="C373" s="157"/>
      <c r="J373" s="55"/>
      <c r="K373" s="55"/>
      <c r="L373" s="55"/>
    </row>
    <row r="374" spans="1:14" s="15" customFormat="1" x14ac:dyDescent="0.35">
      <c r="A374" s="242"/>
      <c r="J374" s="139"/>
      <c r="K374" s="64"/>
      <c r="L374" s="139"/>
    </row>
    <row r="375" spans="1:14" s="15" customFormat="1" x14ac:dyDescent="0.35">
      <c r="A375" s="242"/>
      <c r="J375" s="139"/>
      <c r="K375" s="16"/>
      <c r="L375" s="139"/>
    </row>
    <row r="376" spans="1:14" s="15" customFormat="1" x14ac:dyDescent="0.35">
      <c r="A376" s="242"/>
      <c r="J376" s="139"/>
      <c r="K376" s="16"/>
      <c r="L376" s="139"/>
    </row>
    <row r="377" spans="1:14" s="15" customFormat="1" x14ac:dyDescent="0.35">
      <c r="A377" s="242"/>
      <c r="J377" s="139"/>
      <c r="K377" s="16"/>
      <c r="L377" s="139"/>
    </row>
    <row r="378" spans="1:14" s="15" customFormat="1" x14ac:dyDescent="0.35">
      <c r="J378" s="139"/>
      <c r="K378" s="139"/>
      <c r="L378" s="139"/>
    </row>
    <row r="379" spans="1:14" s="15" customFormat="1" x14ac:dyDescent="0.35">
      <c r="A379" s="242"/>
      <c r="J379" s="64"/>
      <c r="K379" s="64"/>
      <c r="L379" s="64"/>
    </row>
    <row r="380" spans="1:14" s="15" customFormat="1" x14ac:dyDescent="0.35">
      <c r="J380" s="55"/>
      <c r="L380" s="55"/>
    </row>
    <row r="381" spans="1:14" s="15" customFormat="1" x14ac:dyDescent="0.35">
      <c r="J381" s="55"/>
      <c r="K381" s="55"/>
      <c r="L381" s="55"/>
    </row>
    <row r="382" spans="1:14" s="15" customFormat="1" x14ac:dyDescent="0.35">
      <c r="J382" s="29"/>
      <c r="K382" s="29"/>
      <c r="L382" s="29"/>
    </row>
    <row r="383" spans="1:14" s="15" customFormat="1" x14ac:dyDescent="0.35">
      <c r="J383" s="29"/>
      <c r="K383" s="29"/>
      <c r="L383" s="29"/>
    </row>
    <row r="384" spans="1:14" s="15" customFormat="1" x14ac:dyDescent="0.35">
      <c r="K384" s="24"/>
    </row>
    <row r="385" spans="11:11" s="15" customFormat="1" x14ac:dyDescent="0.35">
      <c r="K385" s="24"/>
    </row>
    <row r="386" spans="11:11" s="15" customFormat="1" x14ac:dyDescent="0.35">
      <c r="K386" s="24"/>
    </row>
    <row r="387" spans="11:11" s="15" customFormat="1" x14ac:dyDescent="0.35">
      <c r="K387" s="139"/>
    </row>
  </sheetData>
  <pageMargins left="0.39370078740157483" right="0.39370078740157483" top="0.98425196850393704" bottom="0.98425196850393704" header="0.51181102362204722" footer="0.51181102362204722"/>
  <pageSetup paperSize="9" scale="68" fitToHeight="0" orientation="landscape" r:id="rId1"/>
  <headerFooter>
    <oddHeader>&amp;LAdrian Wood&amp;CPage &amp;P&amp;R&amp;D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58"/>
  <sheetViews>
    <sheetView zoomScale="90" zoomScaleNormal="90" workbookViewId="0">
      <selection activeCell="H367" sqref="H367"/>
    </sheetView>
  </sheetViews>
  <sheetFormatPr defaultColWidth="8" defaultRowHeight="15.5" x14ac:dyDescent="0.35"/>
  <cols>
    <col min="1" max="1" width="14.33203125" style="80" customWidth="1"/>
    <col min="2" max="2" width="8" style="80"/>
    <col min="3" max="5" width="7.9140625" style="80" customWidth="1"/>
    <col min="6" max="6" width="9.6640625" style="80" customWidth="1"/>
    <col min="7" max="8" width="8.6640625" style="80" customWidth="1"/>
    <col min="9" max="9" width="9.6640625" style="80" customWidth="1"/>
    <col min="10" max="10" width="8.6640625" style="80" customWidth="1"/>
    <col min="11" max="11" width="7.08203125" style="80" customWidth="1"/>
    <col min="12" max="13" width="8.6640625" style="80" customWidth="1"/>
    <col min="14" max="14" width="9.6640625" style="80" customWidth="1"/>
    <col min="15" max="16384" width="8" style="80"/>
  </cols>
  <sheetData>
    <row r="1" spans="1:19" x14ac:dyDescent="0.35">
      <c r="A1" s="155" t="s">
        <v>343</v>
      </c>
      <c r="B1" s="173"/>
      <c r="C1" s="173"/>
      <c r="D1" s="173"/>
      <c r="E1" s="173"/>
      <c r="F1" s="173"/>
      <c r="G1" s="173"/>
      <c r="H1" s="173"/>
      <c r="I1" s="173"/>
      <c r="J1" s="81"/>
      <c r="K1" s="81"/>
      <c r="L1" s="81"/>
      <c r="M1" s="81"/>
      <c r="N1" s="81"/>
      <c r="O1" s="81"/>
    </row>
    <row r="3" spans="1:19" x14ac:dyDescent="0.35">
      <c r="A3" s="85" t="s">
        <v>149</v>
      </c>
      <c r="B3" s="81"/>
      <c r="C3" s="81"/>
      <c r="D3" s="81"/>
      <c r="E3" s="81"/>
      <c r="F3" s="81"/>
      <c r="G3" s="81"/>
      <c r="H3" s="81"/>
      <c r="I3" s="81"/>
      <c r="J3" s="81"/>
      <c r="K3" s="81"/>
      <c r="L3" s="81"/>
      <c r="M3" s="81"/>
      <c r="N3" s="81"/>
      <c r="O3" s="81"/>
      <c r="P3" s="81"/>
      <c r="Q3" s="81"/>
      <c r="R3" s="81"/>
    </row>
    <row r="4" spans="1:19" x14ac:dyDescent="0.35">
      <c r="A4" s="81"/>
      <c r="B4" s="81"/>
      <c r="C4" s="81"/>
      <c r="D4" s="81"/>
      <c r="E4" s="81"/>
      <c r="F4" s="81"/>
      <c r="G4" s="81"/>
      <c r="H4" s="81"/>
      <c r="I4" s="81"/>
      <c r="J4" s="81"/>
      <c r="K4" s="81"/>
      <c r="L4" s="81"/>
      <c r="M4" s="81"/>
      <c r="N4" s="81"/>
      <c r="O4" s="81"/>
      <c r="P4" s="81"/>
      <c r="Q4" s="81"/>
      <c r="R4" s="81"/>
    </row>
    <row r="5" spans="1:19" customFormat="1" x14ac:dyDescent="0.35">
      <c r="A5" s="38" t="s">
        <v>305</v>
      </c>
      <c r="B5" s="7"/>
      <c r="C5" s="7"/>
      <c r="D5" s="7"/>
      <c r="E5" s="7"/>
      <c r="F5" s="7"/>
      <c r="G5" s="7"/>
      <c r="H5" s="7"/>
      <c r="I5" s="7"/>
      <c r="J5" s="7"/>
      <c r="K5" s="7"/>
      <c r="L5" s="7"/>
      <c r="M5" s="7"/>
      <c r="N5" s="7"/>
      <c r="O5" s="7" t="s">
        <v>297</v>
      </c>
      <c r="P5" s="7"/>
      <c r="Q5" s="7"/>
      <c r="R5" s="7"/>
    </row>
    <row r="6" spans="1:19" customFormat="1" x14ac:dyDescent="0.35">
      <c r="A6" s="38"/>
      <c r="B6" s="7"/>
      <c r="C6" s="7"/>
      <c r="D6" s="7"/>
      <c r="E6" s="7"/>
      <c r="F6" s="7"/>
      <c r="G6" s="7"/>
      <c r="H6" s="7"/>
      <c r="I6" s="7"/>
      <c r="J6" s="7"/>
      <c r="K6" s="7"/>
      <c r="L6" s="7"/>
      <c r="M6" s="7"/>
      <c r="N6" s="7"/>
      <c r="O6" s="7"/>
      <c r="P6" s="7"/>
      <c r="Q6" s="7"/>
      <c r="R6" s="7"/>
      <c r="S6" s="7"/>
    </row>
    <row r="7" spans="1:19" customFormat="1" x14ac:dyDescent="0.35">
      <c r="A7" s="7"/>
      <c r="B7" s="7"/>
      <c r="C7" s="7"/>
      <c r="D7" s="15" t="s">
        <v>298</v>
      </c>
      <c r="E7" s="7"/>
      <c r="F7" s="7"/>
      <c r="G7" s="7"/>
      <c r="H7" s="7"/>
      <c r="I7" s="7"/>
      <c r="J7" s="7"/>
      <c r="K7" s="7"/>
      <c r="L7" s="15" t="s">
        <v>296</v>
      </c>
      <c r="M7" s="7"/>
      <c r="N7" s="7"/>
      <c r="O7" s="7"/>
      <c r="P7" s="7"/>
      <c r="Q7" s="7"/>
      <c r="R7" s="7"/>
      <c r="S7" s="7"/>
    </row>
    <row r="8" spans="1:19" customFormat="1" x14ac:dyDescent="0.35">
      <c r="A8" s="15" t="s">
        <v>306</v>
      </c>
      <c r="B8" s="7"/>
      <c r="C8" s="31" t="s">
        <v>133</v>
      </c>
      <c r="D8" s="31" t="s">
        <v>136</v>
      </c>
      <c r="E8" s="31" t="s">
        <v>134</v>
      </c>
      <c r="F8" s="32" t="s">
        <v>62</v>
      </c>
      <c r="G8" s="31"/>
      <c r="I8" s="7"/>
      <c r="J8" s="7"/>
      <c r="K8" s="31" t="s">
        <v>137</v>
      </c>
      <c r="L8" s="31" t="s">
        <v>136</v>
      </c>
      <c r="M8" s="31" t="s">
        <v>134</v>
      </c>
      <c r="N8" s="31" t="s">
        <v>134</v>
      </c>
      <c r="O8" s="32" t="s">
        <v>62</v>
      </c>
      <c r="Q8" s="7"/>
      <c r="R8" s="7"/>
      <c r="S8" s="80"/>
    </row>
    <row r="9" spans="1:19" customFormat="1" x14ac:dyDescent="0.35">
      <c r="A9" s="7"/>
      <c r="B9" s="7"/>
      <c r="C9" s="32"/>
      <c r="D9" s="31" t="s">
        <v>135</v>
      </c>
      <c r="E9" s="32"/>
      <c r="F9" s="32"/>
      <c r="G9" s="52"/>
      <c r="I9" s="7"/>
      <c r="J9" s="7"/>
      <c r="K9" s="31" t="s">
        <v>135</v>
      </c>
      <c r="L9" s="31" t="s">
        <v>135</v>
      </c>
      <c r="M9" s="31" t="s">
        <v>301</v>
      </c>
      <c r="N9" s="53" t="s">
        <v>302</v>
      </c>
      <c r="O9" s="32"/>
      <c r="Q9" s="7"/>
      <c r="R9" s="7"/>
      <c r="S9" s="80"/>
    </row>
    <row r="10" spans="1:19" customFormat="1" x14ac:dyDescent="0.35">
      <c r="A10" s="15" t="s">
        <v>138</v>
      </c>
      <c r="B10" s="7"/>
      <c r="C10" s="16"/>
      <c r="D10" s="16"/>
      <c r="E10" s="16"/>
      <c r="F10" s="35">
        <v>76.2</v>
      </c>
      <c r="H10" s="4" t="s">
        <v>307</v>
      </c>
      <c r="I10" s="16"/>
      <c r="J10" s="16"/>
      <c r="K10" s="30"/>
      <c r="L10" s="30"/>
      <c r="M10" s="30"/>
      <c r="O10" s="35">
        <v>341.7</v>
      </c>
      <c r="P10" s="4" t="s">
        <v>307</v>
      </c>
      <c r="Q10" s="16"/>
      <c r="R10" s="16"/>
      <c r="S10" s="80"/>
    </row>
    <row r="11" spans="1:19" customFormat="1" x14ac:dyDescent="0.35">
      <c r="A11" s="7" t="s">
        <v>288</v>
      </c>
      <c r="B11" s="7"/>
      <c r="C11" s="16"/>
      <c r="D11" s="16"/>
      <c r="E11" s="16"/>
      <c r="F11" s="35">
        <v>458.7</v>
      </c>
      <c r="H11" s="4" t="s">
        <v>308</v>
      </c>
      <c r="I11" s="16"/>
      <c r="J11" s="16"/>
      <c r="K11" s="30"/>
      <c r="L11" s="30"/>
      <c r="M11" s="30"/>
      <c r="O11" s="35">
        <v>1173.7</v>
      </c>
      <c r="P11" s="4" t="s">
        <v>308</v>
      </c>
      <c r="Q11" s="16"/>
      <c r="R11" s="16"/>
      <c r="S11" s="80"/>
    </row>
    <row r="12" spans="1:19" customFormat="1" x14ac:dyDescent="0.35">
      <c r="A12" s="15" t="s">
        <v>62</v>
      </c>
      <c r="B12" s="7"/>
      <c r="C12" s="16">
        <f>C15*F12</f>
        <v>103.08183594266318</v>
      </c>
      <c r="D12" s="16">
        <f>D15*F12</f>
        <v>302.13853566908585</v>
      </c>
      <c r="E12" s="16">
        <f>E15*F12</f>
        <v>161.17962838825088</v>
      </c>
      <c r="F12" s="35">
        <v>566.4</v>
      </c>
      <c r="G12" s="16"/>
      <c r="H12" s="2">
        <f>F12-F10-F11</f>
        <v>31.5</v>
      </c>
      <c r="I12" s="139">
        <f>100*H12/F12</f>
        <v>5.5614406779661021</v>
      </c>
      <c r="J12" s="139" t="s">
        <v>41</v>
      </c>
      <c r="K12" s="16">
        <f>K14*O12</f>
        <v>138.36693264462625</v>
      </c>
      <c r="L12" s="16">
        <f>L14*O12</f>
        <v>719.71065468254812</v>
      </c>
      <c r="M12" s="16">
        <f>(M14-N14)*O12</f>
        <v>1050.2535630649195</v>
      </c>
      <c r="N12" s="16">
        <f>N14*O12</f>
        <v>654.46884960790646</v>
      </c>
      <c r="O12" s="35">
        <v>2562.8000000000002</v>
      </c>
      <c r="P12" s="2">
        <f>O12-O10-O11</f>
        <v>1047.4000000000003</v>
      </c>
      <c r="Q12" s="139">
        <f>100*P12/O12</f>
        <v>40.869361635710952</v>
      </c>
      <c r="R12" s="139" t="s">
        <v>41</v>
      </c>
      <c r="S12" s="80"/>
    </row>
    <row r="13" spans="1:19" customFormat="1" x14ac:dyDescent="0.35">
      <c r="A13" s="15" t="s">
        <v>299</v>
      </c>
      <c r="B13" s="7"/>
      <c r="C13" s="16"/>
      <c r="D13" s="16"/>
      <c r="E13" s="139" t="s">
        <v>303</v>
      </c>
      <c r="F13" s="16"/>
      <c r="G13" s="139" t="s">
        <v>302</v>
      </c>
      <c r="I13" s="16"/>
      <c r="J13" s="16"/>
      <c r="K13" s="16"/>
      <c r="L13" s="16"/>
      <c r="M13" s="139" t="s">
        <v>312</v>
      </c>
      <c r="N13" s="139"/>
      <c r="O13" s="16"/>
      <c r="Q13" s="7"/>
      <c r="R13" s="7"/>
      <c r="S13" s="80"/>
    </row>
    <row r="14" spans="1:19" s="138" customFormat="1" x14ac:dyDescent="0.35">
      <c r="A14" s="64"/>
      <c r="B14" s="22"/>
      <c r="C14" s="69">
        <v>0.17210394794871034</v>
      </c>
      <c r="D14" s="69">
        <v>0.50444614553639944</v>
      </c>
      <c r="E14" s="69">
        <v>0.3234499065148902</v>
      </c>
      <c r="F14" s="140"/>
      <c r="G14" s="69">
        <v>5.434672144983637E-2</v>
      </c>
      <c r="I14" s="22"/>
      <c r="J14" s="22"/>
      <c r="K14" s="69">
        <v>5.3990530921112154E-2</v>
      </c>
      <c r="L14" s="69">
        <v>0.28082981687316533</v>
      </c>
      <c r="M14" s="69">
        <v>0.66517965220572262</v>
      </c>
      <c r="N14" s="69">
        <v>0.25537258061803747</v>
      </c>
      <c r="O14" s="22"/>
      <c r="Q14" s="22"/>
      <c r="R14" s="22"/>
    </row>
    <row r="15" spans="1:19" s="138" customFormat="1" x14ac:dyDescent="0.35">
      <c r="A15" s="64" t="s">
        <v>300</v>
      </c>
      <c r="B15" s="22"/>
      <c r="C15" s="22">
        <f>C14/(1-G14)</f>
        <v>0.18199476684792229</v>
      </c>
      <c r="D15" s="22">
        <f>D14/(1-G14)</f>
        <v>0.53343668020671942</v>
      </c>
      <c r="E15" s="22">
        <f>(E14-G14)/(1-G14)</f>
        <v>0.28456855294535821</v>
      </c>
      <c r="F15" s="22"/>
      <c r="G15" s="22"/>
      <c r="I15" s="22"/>
      <c r="J15" s="22"/>
      <c r="K15" s="22"/>
      <c r="L15" s="22"/>
      <c r="M15" s="22"/>
      <c r="N15" s="22"/>
      <c r="O15" s="22"/>
      <c r="P15" s="2"/>
      <c r="Q15" s="64" t="s">
        <v>208</v>
      </c>
      <c r="R15" s="22"/>
      <c r="S15" s="22"/>
    </row>
    <row r="16" spans="1:19" customFormat="1" x14ac:dyDescent="0.35">
      <c r="A16" s="15" t="s">
        <v>304</v>
      </c>
      <c r="B16" s="7"/>
      <c r="C16" s="16"/>
      <c r="D16" s="16"/>
      <c r="E16" s="16"/>
      <c r="F16" s="16"/>
      <c r="G16" s="16"/>
      <c r="H16" s="16"/>
      <c r="I16" s="16"/>
      <c r="J16" s="16"/>
      <c r="K16" s="16"/>
      <c r="L16" s="16"/>
      <c r="M16" s="16"/>
      <c r="N16" s="16"/>
      <c r="O16" s="16"/>
      <c r="P16" s="7"/>
      <c r="Q16" s="7"/>
      <c r="R16" s="7"/>
      <c r="S16" s="7"/>
    </row>
    <row r="17" spans="1:23" customFormat="1" x14ac:dyDescent="0.35">
      <c r="A17" s="15" t="s">
        <v>313</v>
      </c>
      <c r="B17" s="7"/>
      <c r="C17" s="16"/>
      <c r="D17" s="16"/>
      <c r="E17" s="16"/>
      <c r="F17" s="16"/>
      <c r="G17" s="16"/>
      <c r="H17" s="16"/>
      <c r="I17" s="16"/>
      <c r="J17" s="16"/>
      <c r="K17" s="16"/>
      <c r="L17" s="16"/>
      <c r="M17" s="16"/>
      <c r="N17" s="16"/>
      <c r="O17" s="16"/>
      <c r="P17" s="7"/>
      <c r="Q17" s="7"/>
      <c r="R17" s="7"/>
      <c r="S17" s="7"/>
    </row>
    <row r="18" spans="1:23" customFormat="1" x14ac:dyDescent="0.35">
      <c r="A18" s="15" t="s">
        <v>314</v>
      </c>
      <c r="B18" s="7"/>
      <c r="C18" s="16"/>
      <c r="D18" s="16"/>
      <c r="E18" s="16"/>
      <c r="F18" s="16"/>
      <c r="G18" s="16"/>
      <c r="H18" s="16"/>
      <c r="I18" s="16"/>
      <c r="J18" s="16"/>
      <c r="K18" s="16"/>
      <c r="L18" s="16"/>
      <c r="M18" s="16"/>
      <c r="N18" s="16"/>
      <c r="O18" s="16"/>
      <c r="P18" s="7"/>
      <c r="Q18" s="7"/>
      <c r="R18" s="7"/>
      <c r="S18" s="7"/>
    </row>
    <row r="19" spans="1:23" x14ac:dyDescent="0.35">
      <c r="A19" s="80" t="s">
        <v>42</v>
      </c>
    </row>
    <row r="20" spans="1:23" x14ac:dyDescent="0.35">
      <c r="A20" s="38" t="s">
        <v>325</v>
      </c>
      <c r="B20" s="85"/>
      <c r="C20" s="85"/>
      <c r="D20" s="85"/>
    </row>
    <row r="22" spans="1:23" x14ac:dyDescent="0.35">
      <c r="C22" s="90" t="s">
        <v>64</v>
      </c>
      <c r="D22" s="90"/>
      <c r="E22" s="90" t="s">
        <v>65</v>
      </c>
      <c r="F22" s="91"/>
      <c r="G22" s="91" t="s">
        <v>66</v>
      </c>
      <c r="J22" s="80" t="s">
        <v>192</v>
      </c>
      <c r="L22" s="80" t="s">
        <v>193</v>
      </c>
    </row>
    <row r="23" spans="1:23" x14ac:dyDescent="0.35">
      <c r="C23" s="90" t="s">
        <v>67</v>
      </c>
      <c r="D23" s="90"/>
      <c r="E23" s="90" t="s">
        <v>68</v>
      </c>
      <c r="F23" s="91"/>
      <c r="G23" s="91" t="s">
        <v>69</v>
      </c>
      <c r="J23" s="80" t="s">
        <v>68</v>
      </c>
      <c r="L23" s="80" t="s">
        <v>68</v>
      </c>
    </row>
    <row r="24" spans="1:23" x14ac:dyDescent="0.35">
      <c r="C24" s="90"/>
      <c r="D24" s="90"/>
      <c r="E24" s="90"/>
      <c r="F24" s="91"/>
      <c r="G24" s="91"/>
    </row>
    <row r="25" spans="1:23" x14ac:dyDescent="0.35">
      <c r="A25" s="80" t="s">
        <v>70</v>
      </c>
      <c r="C25" s="92">
        <v>188.22728000000001</v>
      </c>
      <c r="D25" s="92"/>
      <c r="E25" s="92">
        <v>891.92097000000001</v>
      </c>
      <c r="F25" s="91"/>
      <c r="G25" s="90">
        <f>E25-C25</f>
        <v>703.69369000000006</v>
      </c>
      <c r="J25" s="93">
        <f>6.7+4.1</f>
        <v>10.8</v>
      </c>
      <c r="L25" s="90">
        <f>E25-J25</f>
        <v>881.12097000000006</v>
      </c>
    </row>
    <row r="26" spans="1:23" x14ac:dyDescent="0.35">
      <c r="A26" s="80" t="s">
        <v>71</v>
      </c>
      <c r="C26" s="92">
        <v>2290.7207300000005</v>
      </c>
      <c r="D26" s="92"/>
      <c r="E26" s="92">
        <v>2153.3555899999997</v>
      </c>
      <c r="F26" s="91"/>
      <c r="G26" s="90">
        <f>E26-C26</f>
        <v>-137.36514000000079</v>
      </c>
      <c r="J26" s="93">
        <v>995</v>
      </c>
      <c r="L26" s="90">
        <f>E26-J26</f>
        <v>1158.3555899999997</v>
      </c>
    </row>
    <row r="27" spans="1:23" x14ac:dyDescent="0.35">
      <c r="A27" s="80" t="s">
        <v>72</v>
      </c>
      <c r="C27" s="92">
        <v>1195.9600700000001</v>
      </c>
      <c r="D27" s="92"/>
      <c r="E27" s="92">
        <v>1112.3085600000004</v>
      </c>
      <c r="F27" s="91"/>
      <c r="G27" s="90">
        <f>E27-C27</f>
        <v>-83.651509999999689</v>
      </c>
      <c r="J27" s="93">
        <f>287.8+0.2</f>
        <v>288</v>
      </c>
      <c r="L27" s="90">
        <f>E27-J27</f>
        <v>824.3085600000004</v>
      </c>
    </row>
    <row r="28" spans="1:23" x14ac:dyDescent="0.35">
      <c r="A28" s="80" t="s">
        <v>62</v>
      </c>
      <c r="C28" s="92">
        <v>3674.9081299999998</v>
      </c>
      <c r="D28" s="92"/>
      <c r="E28" s="92">
        <v>4157.5851399999992</v>
      </c>
      <c r="F28" s="91"/>
      <c r="G28" s="90">
        <f>E28-C28</f>
        <v>482.67700999999943</v>
      </c>
      <c r="J28" s="93">
        <v>1293.8</v>
      </c>
      <c r="L28" s="90">
        <f>E28-J28</f>
        <v>2863.785139999999</v>
      </c>
    </row>
    <row r="29" spans="1:23" x14ac:dyDescent="0.35">
      <c r="J29" s="94"/>
    </row>
    <row r="30" spans="1:23" x14ac:dyDescent="0.35">
      <c r="A30" s="80" t="s">
        <v>81</v>
      </c>
      <c r="P30" s="80" t="s">
        <v>195</v>
      </c>
    </row>
    <row r="31" spans="1:23" x14ac:dyDescent="0.35">
      <c r="P31" s="80" t="s">
        <v>196</v>
      </c>
    </row>
    <row r="32" spans="1:23" x14ac:dyDescent="0.35">
      <c r="G32" s="85" t="s">
        <v>73</v>
      </c>
      <c r="H32" s="85"/>
      <c r="I32" s="85"/>
      <c r="J32" s="85"/>
      <c r="K32" s="85"/>
      <c r="L32" s="85" t="s">
        <v>75</v>
      </c>
      <c r="M32" s="85"/>
      <c r="N32" s="85"/>
      <c r="O32" s="85"/>
      <c r="P32" s="85" t="s">
        <v>194</v>
      </c>
      <c r="Q32" s="85"/>
      <c r="R32" s="85"/>
      <c r="U32" s="85"/>
      <c r="V32" s="85"/>
      <c r="W32" s="85"/>
    </row>
    <row r="33" spans="1:23" x14ac:dyDescent="0.35">
      <c r="G33" s="85" t="s">
        <v>74</v>
      </c>
      <c r="H33" s="85"/>
      <c r="I33" s="85" t="s">
        <v>72</v>
      </c>
      <c r="J33" s="85"/>
      <c r="K33" s="85"/>
      <c r="L33" s="85" t="s">
        <v>74</v>
      </c>
      <c r="M33" s="85"/>
      <c r="N33" s="85" t="s">
        <v>72</v>
      </c>
      <c r="O33" s="85"/>
      <c r="P33" s="85" t="s">
        <v>74</v>
      </c>
      <c r="Q33" s="85"/>
      <c r="R33" s="85" t="s">
        <v>72</v>
      </c>
      <c r="U33" s="85"/>
      <c r="V33" s="85"/>
      <c r="W33" s="85"/>
    </row>
    <row r="34" spans="1:23" x14ac:dyDescent="0.35">
      <c r="A34" s="95" t="s">
        <v>175</v>
      </c>
      <c r="W34" s="83"/>
    </row>
    <row r="35" spans="1:23" x14ac:dyDescent="0.35">
      <c r="D35" s="96" t="s">
        <v>76</v>
      </c>
      <c r="T35" s="95"/>
    </row>
    <row r="36" spans="1:23" x14ac:dyDescent="0.35">
      <c r="D36" s="80" t="s">
        <v>70</v>
      </c>
      <c r="G36" s="89">
        <v>4.0202802362724244</v>
      </c>
      <c r="H36" s="89"/>
      <c r="I36" s="89">
        <v>1.7356879469923003</v>
      </c>
      <c r="J36" s="89"/>
      <c r="K36" s="89"/>
      <c r="L36" s="89">
        <v>17.149013949435474</v>
      </c>
      <c r="M36" s="89"/>
      <c r="N36" s="89">
        <v>5.3856144896683329</v>
      </c>
      <c r="P36" s="89">
        <v>8.0059524144868615</v>
      </c>
      <c r="Q36" s="89"/>
      <c r="R36" s="89">
        <v>5.9145679451497877</v>
      </c>
    </row>
    <row r="37" spans="1:23" x14ac:dyDescent="0.35">
      <c r="D37" s="80" t="s">
        <v>71</v>
      </c>
      <c r="G37" s="89">
        <v>50.016463865317704</v>
      </c>
      <c r="H37" s="89"/>
      <c r="I37" s="89">
        <v>5.3701924275809185</v>
      </c>
      <c r="J37" s="89"/>
      <c r="K37" s="89"/>
      <c r="L37" s="89">
        <v>40.464394517360411</v>
      </c>
      <c r="M37" s="89"/>
      <c r="N37" s="89">
        <v>6.6561797037231818</v>
      </c>
      <c r="P37" s="89">
        <v>37.01395592066514</v>
      </c>
      <c r="Q37" s="89"/>
      <c r="R37" s="89">
        <v>10.916212151478616</v>
      </c>
    </row>
    <row r="38" spans="1:23" x14ac:dyDescent="0.35">
      <c r="D38" s="80" t="s">
        <v>72</v>
      </c>
      <c r="G38" s="89">
        <v>32.987131859472463</v>
      </c>
      <c r="H38" s="89"/>
      <c r="I38" s="89">
        <v>88.071341583956851</v>
      </c>
      <c r="J38" s="89"/>
      <c r="K38" s="89"/>
      <c r="L38" s="89">
        <v>23.429508463739637</v>
      </c>
      <c r="M38" s="89"/>
      <c r="N38" s="89">
        <v>80.900758267445397</v>
      </c>
      <c r="P38" s="89">
        <v>14.881202990786226</v>
      </c>
      <c r="Q38" s="89"/>
      <c r="R38" s="89">
        <v>76.68437492495849</v>
      </c>
    </row>
    <row r="39" spans="1:23" x14ac:dyDescent="0.35">
      <c r="D39" s="80" t="s">
        <v>77</v>
      </c>
      <c r="G39" s="89">
        <v>87.0238759610626</v>
      </c>
      <c r="H39" s="89"/>
      <c r="I39" s="89">
        <v>95.177221874750998</v>
      </c>
      <c r="J39" s="89"/>
      <c r="K39" s="89"/>
      <c r="L39" s="89">
        <v>81.042916930535497</v>
      </c>
      <c r="M39" s="89"/>
      <c r="N39" s="89">
        <v>92.942552550455218</v>
      </c>
      <c r="P39" s="89">
        <v>59.901111325938224</v>
      </c>
      <c r="Q39" s="89"/>
      <c r="R39" s="89">
        <v>93.51515524148877</v>
      </c>
    </row>
    <row r="40" spans="1:23" x14ac:dyDescent="0.35">
      <c r="D40" s="80" t="s">
        <v>78</v>
      </c>
      <c r="G40" s="89">
        <v>69.246845797821081</v>
      </c>
      <c r="H40" s="89"/>
      <c r="I40" s="89">
        <v>86.736365991658886</v>
      </c>
      <c r="J40" s="89"/>
      <c r="K40" s="89"/>
      <c r="L40" s="89">
        <v>65.487226153179719</v>
      </c>
      <c r="M40" s="89"/>
      <c r="N40" s="89">
        <v>86.786285811208714</v>
      </c>
      <c r="P40" s="97"/>
      <c r="Q40" s="97"/>
      <c r="R40" s="97"/>
    </row>
    <row r="41" spans="1:23" x14ac:dyDescent="0.35">
      <c r="D41" s="80" t="s">
        <v>79</v>
      </c>
      <c r="G41" s="89">
        <v>17.777030163241523</v>
      </c>
      <c r="H41" s="89"/>
      <c r="I41" s="89">
        <v>8.4408558830921159</v>
      </c>
      <c r="J41" s="89"/>
      <c r="K41" s="89"/>
      <c r="L41" s="89">
        <v>15.555690777355789</v>
      </c>
      <c r="M41" s="89"/>
      <c r="N41" s="89">
        <v>6.1562667392465098</v>
      </c>
      <c r="P41" s="97"/>
      <c r="Q41" s="97"/>
      <c r="R41" s="97"/>
    </row>
    <row r="42" spans="1:23" x14ac:dyDescent="0.35">
      <c r="D42" s="96" t="s">
        <v>80</v>
      </c>
      <c r="G42" s="88"/>
      <c r="H42" s="88"/>
      <c r="I42" s="88"/>
      <c r="J42" s="88"/>
      <c r="K42" s="88"/>
      <c r="L42" s="88"/>
      <c r="M42" s="88"/>
      <c r="N42" s="88"/>
      <c r="O42" s="81"/>
      <c r="P42" s="97"/>
      <c r="Q42" s="97"/>
      <c r="R42" s="97"/>
      <c r="T42" s="95"/>
    </row>
    <row r="43" spans="1:23" x14ac:dyDescent="0.35">
      <c r="D43" s="80" t="s">
        <v>70</v>
      </c>
      <c r="G43" s="89">
        <v>5.5076502774389953</v>
      </c>
      <c r="H43" s="89"/>
      <c r="I43" s="89">
        <v>1.9054870202797327</v>
      </c>
      <c r="J43" s="89"/>
      <c r="K43" s="89"/>
      <c r="L43" s="89">
        <v>1.269359786209757</v>
      </c>
      <c r="M43" s="89"/>
      <c r="N43" s="89">
        <v>0.44452758595204672</v>
      </c>
      <c r="P43" s="89">
        <v>7.2765966107177338</v>
      </c>
      <c r="Q43" s="89"/>
      <c r="R43" s="89">
        <v>2.0371989092515093</v>
      </c>
    </row>
    <row r="44" spans="1:23" x14ac:dyDescent="0.35">
      <c r="D44" s="80" t="s">
        <v>71</v>
      </c>
      <c r="G44" s="89">
        <v>3.2633024933663304</v>
      </c>
      <c r="H44" s="89"/>
      <c r="I44" s="89">
        <v>0.93139280034231919</v>
      </c>
      <c r="J44" s="89"/>
      <c r="K44" s="89"/>
      <c r="L44" s="89">
        <v>7.7845993601814998</v>
      </c>
      <c r="M44" s="89"/>
      <c r="N44" s="89">
        <v>1.9866155284916747</v>
      </c>
      <c r="P44" s="89">
        <v>14.269773198522678</v>
      </c>
      <c r="Q44" s="89"/>
      <c r="R44" s="89">
        <v>1.6111524380037239</v>
      </c>
    </row>
    <row r="45" spans="1:23" x14ac:dyDescent="0.35">
      <c r="D45" s="80" t="s">
        <v>72</v>
      </c>
      <c r="G45" s="89">
        <v>4.2051712681320756</v>
      </c>
      <c r="H45" s="89"/>
      <c r="I45" s="89">
        <v>1.9858982208479115</v>
      </c>
      <c r="J45" s="89"/>
      <c r="K45" s="89"/>
      <c r="L45" s="89">
        <v>9.9031239230732506</v>
      </c>
      <c r="M45" s="89"/>
      <c r="N45" s="89">
        <v>4.6263042454827437</v>
      </c>
      <c r="P45" s="89">
        <v>18.552518797951411</v>
      </c>
      <c r="Q45" s="89"/>
      <c r="R45" s="89">
        <v>2.8364936311578761</v>
      </c>
    </row>
    <row r="46" spans="1:23" x14ac:dyDescent="0.35">
      <c r="D46" s="80" t="s">
        <v>62</v>
      </c>
      <c r="G46" s="89">
        <v>12.976124038937401</v>
      </c>
      <c r="H46" s="89"/>
      <c r="I46" s="89">
        <v>4.8227781252489947</v>
      </c>
      <c r="J46" s="89"/>
      <c r="K46" s="89"/>
      <c r="L46" s="89">
        <v>18.957083069464506</v>
      </c>
      <c r="M46" s="89"/>
      <c r="N46" s="89">
        <v>7.0574474495447825</v>
      </c>
      <c r="P46" s="89">
        <v>40.098888674061776</v>
      </c>
      <c r="Q46" s="89"/>
      <c r="R46" s="89">
        <v>6.4848447585112359</v>
      </c>
    </row>
    <row r="47" spans="1:23" x14ac:dyDescent="0.35">
      <c r="D47" s="96" t="s">
        <v>62</v>
      </c>
      <c r="G47" s="89">
        <v>100</v>
      </c>
      <c r="H47" s="89"/>
      <c r="I47" s="89">
        <v>100</v>
      </c>
      <c r="J47" s="89"/>
      <c r="K47" s="89"/>
      <c r="L47" s="89">
        <v>100</v>
      </c>
      <c r="M47" s="89"/>
      <c r="N47" s="89">
        <v>100</v>
      </c>
      <c r="P47" s="89">
        <v>100</v>
      </c>
      <c r="Q47" s="89"/>
      <c r="R47" s="89">
        <v>100</v>
      </c>
    </row>
    <row r="49" spans="1:21" x14ac:dyDescent="0.35">
      <c r="A49" s="80" t="s">
        <v>81</v>
      </c>
    </row>
    <row r="50" spans="1:21" x14ac:dyDescent="0.35">
      <c r="P50" s="85" t="s">
        <v>194</v>
      </c>
      <c r="Q50" s="85"/>
      <c r="R50" s="85"/>
    </row>
    <row r="51" spans="1:21" x14ac:dyDescent="0.35">
      <c r="A51" s="95" t="s">
        <v>82</v>
      </c>
      <c r="P51" s="85" t="s">
        <v>74</v>
      </c>
      <c r="Q51" s="85"/>
      <c r="R51" s="85" t="s">
        <v>72</v>
      </c>
    </row>
    <row r="52" spans="1:21" x14ac:dyDescent="0.35">
      <c r="D52" s="98" t="s">
        <v>83</v>
      </c>
      <c r="G52" s="99">
        <v>0.36436041834271921</v>
      </c>
      <c r="H52" s="99"/>
      <c r="I52" s="99">
        <v>0.36610619469026545</v>
      </c>
      <c r="J52" s="99"/>
      <c r="K52" s="99"/>
      <c r="L52" s="99">
        <v>0.61837084673097542</v>
      </c>
      <c r="M52" s="99"/>
      <c r="N52" s="99">
        <v>0.55011789924973198</v>
      </c>
      <c r="P52" s="82">
        <v>0.67</v>
      </c>
      <c r="Q52" s="82"/>
      <c r="R52" s="82">
        <v>0.63</v>
      </c>
    </row>
    <row r="53" spans="1:21" x14ac:dyDescent="0.35">
      <c r="D53" s="98"/>
      <c r="G53" s="100" t="s">
        <v>204</v>
      </c>
      <c r="H53" s="100"/>
      <c r="I53" s="100"/>
      <c r="J53" s="100"/>
      <c r="K53" s="100"/>
      <c r="L53" s="100"/>
      <c r="M53" s="100"/>
      <c r="N53" s="100"/>
      <c r="O53" s="81"/>
      <c r="P53" s="81" t="s">
        <v>203</v>
      </c>
      <c r="Q53" s="81"/>
      <c r="R53" s="81"/>
      <c r="S53" s="81"/>
    </row>
    <row r="54" spans="1:21" x14ac:dyDescent="0.35">
      <c r="D54" s="98" t="s">
        <v>89</v>
      </c>
      <c r="G54" s="100">
        <f>1-G52</f>
        <v>0.63563958165728085</v>
      </c>
      <c r="H54" s="100"/>
      <c r="I54" s="100">
        <f>1-I52</f>
        <v>0.63389380530973449</v>
      </c>
      <c r="J54" s="100"/>
      <c r="K54" s="100"/>
      <c r="L54" s="100">
        <f>1-L52</f>
        <v>0.38162915326902458</v>
      </c>
      <c r="M54" s="100"/>
      <c r="N54" s="100">
        <f>1-N52</f>
        <v>0.44988210075026802</v>
      </c>
      <c r="P54" s="100">
        <f>1-P52</f>
        <v>0.32999999999999996</v>
      </c>
      <c r="Q54" s="100"/>
      <c r="R54" s="100">
        <f>1-R52</f>
        <v>0.37</v>
      </c>
      <c r="U54" s="80" t="s">
        <v>208</v>
      </c>
    </row>
    <row r="55" spans="1:21" x14ac:dyDescent="0.35">
      <c r="D55" s="98"/>
      <c r="E55" s="80" t="s">
        <v>205</v>
      </c>
      <c r="G55" s="100"/>
      <c r="H55" s="100"/>
      <c r="I55" s="100"/>
      <c r="J55" s="100"/>
      <c r="K55" s="100"/>
      <c r="L55" s="100"/>
      <c r="M55" s="100"/>
      <c r="N55" s="100"/>
      <c r="P55" s="100"/>
      <c r="Q55" s="100"/>
      <c r="R55" s="100"/>
    </row>
    <row r="56" spans="1:21" x14ac:dyDescent="0.35">
      <c r="D56" s="98"/>
      <c r="E56" s="147" t="s">
        <v>240</v>
      </c>
      <c r="F56" s="147"/>
      <c r="G56" s="143"/>
      <c r="H56" s="143"/>
      <c r="I56" s="143"/>
      <c r="J56" s="143"/>
      <c r="K56" s="143"/>
      <c r="L56" s="143"/>
      <c r="M56" s="143"/>
      <c r="N56" s="143"/>
      <c r="O56" s="147"/>
      <c r="P56" s="143"/>
      <c r="Q56" s="143"/>
      <c r="R56" s="143"/>
      <c r="S56" s="147"/>
      <c r="T56" s="147"/>
    </row>
    <row r="57" spans="1:21" x14ac:dyDescent="0.35">
      <c r="D57" s="98"/>
      <c r="E57" s="147" t="s">
        <v>241</v>
      </c>
      <c r="F57" s="147"/>
      <c r="G57" s="143"/>
      <c r="H57" s="143"/>
      <c r="I57" s="143"/>
      <c r="J57" s="143"/>
      <c r="K57" s="143"/>
      <c r="L57" s="143"/>
      <c r="M57" s="143"/>
      <c r="N57" s="143"/>
      <c r="O57" s="147"/>
      <c r="P57" s="143"/>
      <c r="Q57" s="143"/>
      <c r="R57" s="143"/>
      <c r="S57" s="147"/>
      <c r="T57" s="147"/>
    </row>
    <row r="58" spans="1:21" x14ac:dyDescent="0.35">
      <c r="D58" s="98" t="s">
        <v>84</v>
      </c>
      <c r="G58" s="145">
        <v>0.37</v>
      </c>
      <c r="H58" s="141"/>
      <c r="I58" s="144">
        <v>0.54</v>
      </c>
      <c r="J58" s="144"/>
      <c r="K58" s="144"/>
      <c r="L58" s="146">
        <v>0.06</v>
      </c>
      <c r="M58" s="141"/>
      <c r="N58" s="144">
        <v>0.15</v>
      </c>
      <c r="P58" s="146">
        <v>0.06</v>
      </c>
      <c r="Q58" s="141"/>
      <c r="R58" s="144">
        <v>0.15</v>
      </c>
    </row>
    <row r="59" spans="1:21" x14ac:dyDescent="0.35">
      <c r="D59" s="98" t="s">
        <v>85</v>
      </c>
      <c r="G59" s="145">
        <v>0.56000000000000005</v>
      </c>
      <c r="H59" s="141"/>
      <c r="I59" s="144">
        <v>0.43</v>
      </c>
      <c r="J59" s="144"/>
      <c r="K59" s="144"/>
      <c r="L59" s="146">
        <v>0.44</v>
      </c>
      <c r="M59" s="141"/>
      <c r="N59" s="144">
        <v>0.39</v>
      </c>
      <c r="P59" s="146">
        <v>0.44</v>
      </c>
      <c r="Q59" s="141"/>
      <c r="R59" s="144">
        <v>0.39</v>
      </c>
    </row>
    <row r="60" spans="1:21" x14ac:dyDescent="0.35">
      <c r="D60" s="98" t="s">
        <v>86</v>
      </c>
      <c r="G60" s="145">
        <v>0.93</v>
      </c>
      <c r="H60" s="141"/>
      <c r="I60" s="144">
        <v>0.96</v>
      </c>
      <c r="J60" s="144"/>
      <c r="K60" s="144"/>
      <c r="L60" s="146">
        <v>0.5</v>
      </c>
      <c r="M60" s="141"/>
      <c r="N60" s="144">
        <v>0.55000000000000004</v>
      </c>
      <c r="P60" s="146">
        <v>0.5</v>
      </c>
      <c r="Q60" s="141"/>
      <c r="R60" s="144">
        <v>0.55000000000000004</v>
      </c>
    </row>
    <row r="61" spans="1:21" x14ac:dyDescent="0.35">
      <c r="D61" s="98" t="s">
        <v>87</v>
      </c>
      <c r="G61" s="145">
        <v>0.63</v>
      </c>
      <c r="H61" s="141"/>
      <c r="I61" s="144">
        <v>0.46</v>
      </c>
      <c r="J61" s="144"/>
      <c r="K61" s="144"/>
      <c r="L61" s="146">
        <v>0.94</v>
      </c>
      <c r="M61" s="141"/>
      <c r="N61" s="144">
        <v>0.85</v>
      </c>
      <c r="P61" s="146">
        <v>0.94</v>
      </c>
      <c r="Q61" s="141"/>
      <c r="R61" s="144">
        <v>0.85</v>
      </c>
    </row>
    <row r="62" spans="1:21" x14ac:dyDescent="0.35">
      <c r="D62" s="98" t="s">
        <v>88</v>
      </c>
      <c r="G62" s="145">
        <v>7.0000000000000007E-2</v>
      </c>
      <c r="H62" s="141"/>
      <c r="I62" s="144">
        <v>0.04</v>
      </c>
      <c r="J62" s="144"/>
      <c r="K62" s="144"/>
      <c r="L62" s="146">
        <v>0.5</v>
      </c>
      <c r="M62" s="141"/>
      <c r="N62" s="144">
        <v>0.45</v>
      </c>
      <c r="P62" s="146">
        <v>0.5</v>
      </c>
      <c r="Q62" s="141"/>
      <c r="R62" s="144">
        <v>0.45</v>
      </c>
    </row>
    <row r="63" spans="1:21" x14ac:dyDescent="0.35">
      <c r="D63" s="98"/>
      <c r="G63" s="81" t="s">
        <v>206</v>
      </c>
      <c r="H63" s="81"/>
      <c r="I63" s="81" t="s">
        <v>206</v>
      </c>
      <c r="J63" s="81"/>
      <c r="K63" s="81"/>
      <c r="L63" s="81" t="s">
        <v>207</v>
      </c>
      <c r="M63" s="81"/>
      <c r="N63" s="81" t="s">
        <v>207</v>
      </c>
      <c r="O63" s="81"/>
      <c r="P63" s="81" t="s">
        <v>207</v>
      </c>
      <c r="Q63" s="81"/>
      <c r="R63" s="81" t="s">
        <v>207</v>
      </c>
      <c r="S63" s="81"/>
    </row>
    <row r="64" spans="1:21" x14ac:dyDescent="0.35">
      <c r="G64" s="141"/>
      <c r="H64" s="141"/>
      <c r="I64" s="141"/>
      <c r="J64" s="141"/>
      <c r="K64" s="141"/>
      <c r="L64" s="141"/>
      <c r="M64" s="141"/>
      <c r="N64" s="141"/>
      <c r="O64" s="141"/>
      <c r="P64" s="141"/>
      <c r="Q64" s="141"/>
      <c r="R64" s="141"/>
      <c r="S64" s="141"/>
      <c r="T64" s="81"/>
    </row>
    <row r="65" spans="3:20" x14ac:dyDescent="0.35">
      <c r="G65" s="142" t="s">
        <v>316</v>
      </c>
      <c r="H65" s="141"/>
      <c r="I65" s="142" t="s">
        <v>209</v>
      </c>
      <c r="J65" s="141"/>
      <c r="K65" s="141"/>
      <c r="L65" s="142" t="s">
        <v>316</v>
      </c>
      <c r="M65" s="141"/>
      <c r="N65" s="141" t="s">
        <v>209</v>
      </c>
      <c r="O65" s="141"/>
      <c r="P65" s="142" t="s">
        <v>316</v>
      </c>
      <c r="Q65" s="141"/>
      <c r="R65" s="141" t="s">
        <v>209</v>
      </c>
      <c r="S65" s="141"/>
      <c r="T65" s="81"/>
    </row>
    <row r="66" spans="3:20" x14ac:dyDescent="0.35">
      <c r="G66" s="141"/>
      <c r="H66" s="141"/>
      <c r="I66" s="141"/>
      <c r="J66" s="141"/>
      <c r="K66" s="141"/>
      <c r="L66" s="141"/>
      <c r="M66" s="141"/>
      <c r="N66" s="141"/>
      <c r="O66" s="141"/>
      <c r="P66" s="141"/>
      <c r="Q66" s="141"/>
      <c r="R66" s="141"/>
      <c r="S66" s="141"/>
      <c r="T66" s="81"/>
    </row>
    <row r="67" spans="3:20" x14ac:dyDescent="0.35">
      <c r="G67" s="141"/>
      <c r="H67" s="141"/>
      <c r="I67" s="141"/>
      <c r="J67" s="141"/>
      <c r="K67" s="141"/>
      <c r="L67" s="141"/>
      <c r="M67" s="141"/>
      <c r="N67" s="141"/>
      <c r="O67" s="141"/>
      <c r="P67" s="141"/>
      <c r="Q67" s="141"/>
      <c r="R67" s="141"/>
      <c r="S67" s="141"/>
      <c r="T67" s="81"/>
    </row>
    <row r="68" spans="3:20" x14ac:dyDescent="0.35">
      <c r="G68" s="141"/>
      <c r="H68" s="141"/>
      <c r="I68" s="141"/>
      <c r="J68" s="141"/>
      <c r="K68" s="141"/>
      <c r="L68" s="141"/>
      <c r="M68" s="141"/>
      <c r="N68" s="141"/>
      <c r="O68" s="141"/>
      <c r="P68" s="141"/>
      <c r="Q68" s="141"/>
      <c r="R68" s="141"/>
      <c r="S68" s="141"/>
      <c r="T68" s="81"/>
    </row>
    <row r="69" spans="3:20" x14ac:dyDescent="0.35">
      <c r="G69" s="141"/>
      <c r="H69" s="141"/>
      <c r="I69" s="141"/>
      <c r="J69" s="141"/>
      <c r="K69" s="141"/>
      <c r="L69" s="141"/>
      <c r="M69" s="141"/>
      <c r="N69" s="141"/>
      <c r="O69" s="141"/>
      <c r="P69" s="141"/>
      <c r="Q69" s="141"/>
      <c r="R69" s="141"/>
      <c r="S69" s="141"/>
      <c r="T69" s="81"/>
    </row>
    <row r="70" spans="3:20" x14ac:dyDescent="0.35">
      <c r="G70" s="141"/>
      <c r="H70" s="141"/>
      <c r="I70" s="141"/>
      <c r="J70" s="141"/>
      <c r="K70" s="141"/>
      <c r="L70" s="141"/>
      <c r="M70" s="141"/>
      <c r="N70" s="141"/>
      <c r="O70" s="141"/>
      <c r="P70" s="141"/>
      <c r="Q70" s="141"/>
      <c r="R70" s="141"/>
      <c r="S70" s="141"/>
      <c r="T70" s="81"/>
    </row>
    <row r="71" spans="3:20" x14ac:dyDescent="0.35">
      <c r="G71" s="141"/>
      <c r="H71" s="141"/>
      <c r="I71" s="141"/>
      <c r="J71" s="141"/>
      <c r="K71" s="141"/>
      <c r="L71" s="141"/>
      <c r="M71" s="141"/>
      <c r="N71" s="141"/>
      <c r="O71" s="141"/>
      <c r="P71" s="141"/>
      <c r="Q71" s="141"/>
      <c r="R71" s="141"/>
      <c r="S71" s="141"/>
      <c r="T71" s="81"/>
    </row>
    <row r="72" spans="3:20" x14ac:dyDescent="0.35">
      <c r="G72" s="141"/>
      <c r="H72" s="141"/>
      <c r="I72" s="141"/>
      <c r="J72" s="141"/>
      <c r="K72" s="141"/>
      <c r="L72" s="141"/>
      <c r="M72" s="141"/>
      <c r="N72" s="141"/>
      <c r="O72" s="141"/>
      <c r="P72" s="141"/>
      <c r="Q72" s="141"/>
      <c r="R72" s="141"/>
      <c r="S72" s="141"/>
      <c r="T72" s="81"/>
    </row>
    <row r="73" spans="3:20" x14ac:dyDescent="0.35">
      <c r="C73" s="95" t="s">
        <v>234</v>
      </c>
      <c r="G73" s="81"/>
      <c r="H73" s="81"/>
      <c r="I73" s="81"/>
      <c r="J73" s="81"/>
      <c r="K73" s="81"/>
      <c r="L73" s="81"/>
      <c r="M73" s="81"/>
      <c r="N73" s="81"/>
      <c r="O73" s="81"/>
      <c r="P73" s="81"/>
      <c r="Q73" s="81"/>
      <c r="R73" s="81"/>
      <c r="S73" s="81"/>
      <c r="T73" s="81"/>
    </row>
    <row r="74" spans="3:20" x14ac:dyDescent="0.35">
      <c r="C74" s="80" t="s">
        <v>233</v>
      </c>
      <c r="G74" s="87" t="s">
        <v>229</v>
      </c>
      <c r="H74" s="87"/>
      <c r="I74" s="87" t="s">
        <v>230</v>
      </c>
      <c r="J74" s="87"/>
      <c r="K74" s="87"/>
      <c r="L74" s="87" t="s">
        <v>231</v>
      </c>
      <c r="M74" s="87"/>
      <c r="N74" s="87" t="s">
        <v>232</v>
      </c>
      <c r="O74" s="87"/>
      <c r="P74" s="87" t="s">
        <v>231</v>
      </c>
      <c r="Q74" s="87"/>
      <c r="R74" s="87" t="s">
        <v>232</v>
      </c>
      <c r="S74" s="87"/>
      <c r="T74" s="81"/>
    </row>
    <row r="75" spans="3:20" x14ac:dyDescent="0.35">
      <c r="C75" s="80" t="s">
        <v>235</v>
      </c>
      <c r="G75" s="82">
        <v>83.5</v>
      </c>
      <c r="H75" s="82"/>
      <c r="I75" s="82">
        <v>75.900000000000006</v>
      </c>
      <c r="J75" s="82"/>
      <c r="K75" s="82"/>
      <c r="L75" s="82">
        <v>57.4</v>
      </c>
      <c r="M75" s="82"/>
      <c r="N75" s="82">
        <v>75.900000000000006</v>
      </c>
      <c r="P75" s="82">
        <v>57.4</v>
      </c>
      <c r="Q75" s="82"/>
      <c r="R75" s="82">
        <v>75.900000000000006</v>
      </c>
      <c r="S75" s="81"/>
      <c r="T75" s="81"/>
    </row>
    <row r="76" spans="3:20" x14ac:dyDescent="0.35">
      <c r="C76" s="80" t="s">
        <v>236</v>
      </c>
      <c r="G76" s="87" t="s">
        <v>139</v>
      </c>
      <c r="H76" s="87"/>
      <c r="I76" s="87" t="s">
        <v>140</v>
      </c>
      <c r="J76" s="81"/>
      <c r="K76" s="81"/>
      <c r="L76" s="87" t="s">
        <v>139</v>
      </c>
      <c r="M76" s="87"/>
      <c r="N76" s="87" t="s">
        <v>140</v>
      </c>
      <c r="O76" s="81"/>
      <c r="P76" s="87" t="s">
        <v>139</v>
      </c>
      <c r="Q76" s="87"/>
      <c r="R76" s="87" t="s">
        <v>140</v>
      </c>
      <c r="S76" s="81"/>
      <c r="T76" s="81"/>
    </row>
    <row r="77" spans="3:20" x14ac:dyDescent="0.35">
      <c r="D77" s="80" t="s">
        <v>237</v>
      </c>
      <c r="G77" s="103">
        <f>C26*G37/100</f>
        <v>1145.7375061757921</v>
      </c>
      <c r="H77" s="103"/>
      <c r="I77" s="103">
        <f>C27*I38/100</f>
        <v>1053.2980784574295</v>
      </c>
      <c r="J77" s="103"/>
      <c r="K77" s="103"/>
      <c r="L77" s="103">
        <f>E26*L37/100</f>
        <v>871.34230129923378</v>
      </c>
      <c r="M77" s="103"/>
      <c r="N77" s="103"/>
      <c r="O77" s="103"/>
      <c r="P77" s="103">
        <f>J26*P37/100</f>
        <v>368.2888614106181</v>
      </c>
      <c r="Q77" s="103"/>
      <c r="R77" s="103"/>
      <c r="S77" s="81"/>
      <c r="T77" s="81"/>
    </row>
    <row r="78" spans="3:20" x14ac:dyDescent="0.35">
      <c r="D78" s="80" t="s">
        <v>238</v>
      </c>
      <c r="G78" s="103">
        <f>C27*I37/100</f>
        <v>64.225357116031461</v>
      </c>
      <c r="H78" s="103"/>
      <c r="I78" s="103">
        <f>C26*G38/100</f>
        <v>755.6430677373703</v>
      </c>
      <c r="J78" s="103"/>
      <c r="K78" s="103"/>
      <c r="L78" s="103">
        <f>E27*N37/100</f>
        <v>74.037256613495614</v>
      </c>
      <c r="M78" s="103"/>
      <c r="N78" s="103"/>
      <c r="O78" s="103"/>
      <c r="P78" s="103">
        <f>J27*R37/100</f>
        <v>31.438690996258416</v>
      </c>
      <c r="Q78" s="103"/>
      <c r="R78" s="103"/>
      <c r="S78" s="81"/>
      <c r="T78" s="81"/>
    </row>
    <row r="79" spans="3:20" x14ac:dyDescent="0.35">
      <c r="D79" s="80" t="s">
        <v>62</v>
      </c>
      <c r="G79" s="103">
        <f>G77+G78</f>
        <v>1209.9628632918236</v>
      </c>
      <c r="H79" s="103"/>
      <c r="I79" s="103">
        <f>I77+I78</f>
        <v>1808.9411461947998</v>
      </c>
      <c r="J79" s="103"/>
      <c r="K79" s="103"/>
      <c r="L79" s="103">
        <f>L77+L78</f>
        <v>945.37955791272941</v>
      </c>
      <c r="M79" s="103"/>
      <c r="N79" s="103"/>
      <c r="O79" s="103"/>
      <c r="P79" s="103">
        <f>P77+P78</f>
        <v>399.7275524068765</v>
      </c>
      <c r="Q79" s="103"/>
      <c r="R79" s="103"/>
      <c r="S79" s="81"/>
      <c r="T79" s="81"/>
    </row>
    <row r="80" spans="3:20" x14ac:dyDescent="0.35">
      <c r="D80" s="80" t="s">
        <v>239</v>
      </c>
      <c r="G80" s="104">
        <f>(G77*G75/100)/G79</f>
        <v>0.7906778353957199</v>
      </c>
      <c r="H80" s="104"/>
      <c r="I80" s="104">
        <f>(I77*I75/100)/I79</f>
        <v>0.44194541277966937</v>
      </c>
      <c r="J80" s="104"/>
      <c r="K80" s="104"/>
      <c r="L80" s="104">
        <f>(L77*L75/100)/L79</f>
        <v>0.52904727710637722</v>
      </c>
      <c r="M80" s="104"/>
      <c r="N80" s="104"/>
      <c r="O80" s="104"/>
      <c r="P80" s="104">
        <f>(P77*P75/100)/P79</f>
        <v>0.52885472911938836</v>
      </c>
      <c r="Q80" s="81" t="s">
        <v>242</v>
      </c>
      <c r="R80" s="81"/>
      <c r="S80" s="81"/>
      <c r="T80" s="81"/>
    </row>
    <row r="81" spans="1:19" x14ac:dyDescent="0.35">
      <c r="F81" s="81"/>
      <c r="G81" s="81"/>
      <c r="H81" s="81"/>
      <c r="I81" s="81"/>
      <c r="J81" s="81"/>
      <c r="K81" s="81"/>
      <c r="L81" s="81"/>
      <c r="M81" s="81"/>
      <c r="N81" s="81"/>
      <c r="S81" s="81"/>
    </row>
    <row r="82" spans="1:19" x14ac:dyDescent="0.35">
      <c r="A82" s="80" t="s">
        <v>90</v>
      </c>
    </row>
    <row r="83" spans="1:19" x14ac:dyDescent="0.35">
      <c r="G83" s="85" t="s">
        <v>73</v>
      </c>
      <c r="H83" s="85"/>
      <c r="I83" s="85"/>
      <c r="J83" s="85"/>
      <c r="K83" s="85"/>
      <c r="L83" s="85" t="s">
        <v>75</v>
      </c>
      <c r="M83" s="85"/>
      <c r="N83" s="85"/>
      <c r="O83" s="85"/>
    </row>
    <row r="84" spans="1:19" x14ac:dyDescent="0.35">
      <c r="G84" s="85" t="s">
        <v>74</v>
      </c>
      <c r="H84" s="85"/>
      <c r="I84" s="85" t="s">
        <v>72</v>
      </c>
      <c r="J84" s="85"/>
      <c r="K84" s="85"/>
      <c r="L84" s="85" t="s">
        <v>74</v>
      </c>
      <c r="M84" s="85"/>
      <c r="N84" s="85" t="s">
        <v>72</v>
      </c>
      <c r="O84" s="85"/>
    </row>
    <row r="85" spans="1:19" x14ac:dyDescent="0.35">
      <c r="A85" s="95" t="s">
        <v>91</v>
      </c>
    </row>
    <row r="86" spans="1:19" x14ac:dyDescent="0.35">
      <c r="A86" s="80" t="s">
        <v>98</v>
      </c>
      <c r="D86" s="80" t="s">
        <v>92</v>
      </c>
      <c r="G86" s="99">
        <v>0.26993887530562349</v>
      </c>
      <c r="H86" s="99"/>
      <c r="I86" s="99">
        <v>0.13810513447432762</v>
      </c>
      <c r="J86" s="99"/>
      <c r="K86" s="99"/>
      <c r="L86" s="99">
        <v>0.4760986066452304</v>
      </c>
      <c r="M86" s="82"/>
      <c r="N86" s="99">
        <v>0.29060021436227224</v>
      </c>
      <c r="P86" s="82">
        <v>0.63</v>
      </c>
      <c r="Q86" s="82"/>
      <c r="R86" s="82">
        <v>0.36</v>
      </c>
    </row>
    <row r="87" spans="1:19" x14ac:dyDescent="0.35">
      <c r="G87" s="100" t="s">
        <v>243</v>
      </c>
      <c r="H87" s="100"/>
      <c r="I87" s="100"/>
      <c r="J87" s="100"/>
      <c r="K87" s="100"/>
      <c r="L87" s="100"/>
      <c r="M87" s="81"/>
      <c r="N87" s="100"/>
      <c r="O87" s="81"/>
      <c r="P87" s="81"/>
      <c r="Q87" s="81"/>
    </row>
    <row r="88" spans="1:19" x14ac:dyDescent="0.35">
      <c r="A88" s="80" t="s">
        <v>100</v>
      </c>
      <c r="D88" s="80" t="s">
        <v>93</v>
      </c>
      <c r="G88" s="99">
        <v>1</v>
      </c>
      <c r="H88" s="99"/>
      <c r="I88" s="99">
        <v>1</v>
      </c>
      <c r="J88" s="99"/>
      <c r="K88" s="99"/>
      <c r="L88" s="99">
        <v>0.6</v>
      </c>
      <c r="M88" s="99"/>
      <c r="N88" s="99">
        <v>0.6</v>
      </c>
      <c r="P88" s="99">
        <v>0.6</v>
      </c>
      <c r="Q88" s="99"/>
      <c r="R88" s="99">
        <v>0.6</v>
      </c>
    </row>
    <row r="89" spans="1:19" x14ac:dyDescent="0.35">
      <c r="D89" s="80" t="s">
        <v>99</v>
      </c>
      <c r="G89" s="97">
        <f>100*G86*G88</f>
        <v>26.99388753056235</v>
      </c>
      <c r="H89" s="105"/>
      <c r="I89" s="97">
        <f>100*I86*I88</f>
        <v>13.810513447432763</v>
      </c>
      <c r="J89" s="105"/>
      <c r="K89" s="105"/>
      <c r="L89" s="97">
        <f>100*L86*L88</f>
        <v>28.565916398713824</v>
      </c>
      <c r="M89" s="105"/>
      <c r="N89" s="97">
        <f>100*N86*N88</f>
        <v>17.436012861736334</v>
      </c>
      <c r="P89" s="97">
        <f>100*P86*P88</f>
        <v>37.799999999999997</v>
      </c>
      <c r="Q89" s="105"/>
      <c r="R89" s="97">
        <f>100*R86*R88</f>
        <v>21.599999999999998</v>
      </c>
    </row>
    <row r="91" spans="1:19" x14ac:dyDescent="0.35">
      <c r="D91" s="80" t="s">
        <v>94</v>
      </c>
    </row>
    <row r="92" spans="1:19" x14ac:dyDescent="0.35">
      <c r="D92" s="98" t="s">
        <v>84</v>
      </c>
      <c r="G92" s="99">
        <v>1.5509609588506641</v>
      </c>
      <c r="H92" s="82"/>
      <c r="I92" s="99">
        <v>1.5227733230098803</v>
      </c>
      <c r="J92" s="99"/>
      <c r="K92" s="99"/>
      <c r="L92" s="99">
        <v>1.5326836389029728</v>
      </c>
      <c r="M92" s="82"/>
      <c r="N92" s="99">
        <v>2.0511410922521263</v>
      </c>
      <c r="P92" s="99">
        <v>1.5326836389029728</v>
      </c>
      <c r="Q92" s="82"/>
      <c r="R92" s="99">
        <v>2.0511410922521263</v>
      </c>
    </row>
    <row r="93" spans="1:19" x14ac:dyDescent="0.35">
      <c r="D93" s="98" t="s">
        <v>85</v>
      </c>
      <c r="G93" s="99">
        <v>0.87202716056630569</v>
      </c>
      <c r="H93" s="82"/>
      <c r="I93" s="99">
        <v>0.80958779540120296</v>
      </c>
      <c r="J93" s="99"/>
      <c r="K93" s="99"/>
      <c r="L93" s="99">
        <v>1.0874500160417906</v>
      </c>
      <c r="M93" s="82"/>
      <c r="N93" s="99">
        <v>1.1902090250162407</v>
      </c>
      <c r="P93" s="99">
        <v>1.0874500160417906</v>
      </c>
      <c r="Q93" s="82"/>
      <c r="R93" s="99">
        <v>1.1902090250162407</v>
      </c>
    </row>
    <row r="94" spans="1:19" x14ac:dyDescent="0.35">
      <c r="D94" s="98" t="s">
        <v>86</v>
      </c>
      <c r="G94" s="99">
        <v>1.0578433459651078</v>
      </c>
      <c r="H94" s="82"/>
      <c r="I94" s="99">
        <v>1.0942636486147026</v>
      </c>
      <c r="J94" s="99"/>
      <c r="K94" s="99"/>
      <c r="L94" s="99">
        <v>1.1298801888878223</v>
      </c>
      <c r="M94" s="82"/>
      <c r="N94" s="99">
        <v>1.3499196764425621</v>
      </c>
      <c r="P94" s="99">
        <v>1.1298801888878223</v>
      </c>
      <c r="Q94" s="82"/>
      <c r="R94" s="99">
        <v>1.3499196764425621</v>
      </c>
    </row>
    <row r="95" spans="1:19" x14ac:dyDescent="0.35">
      <c r="D95" s="98" t="s">
        <v>87</v>
      </c>
      <c r="G95" s="99">
        <v>0.82616808261433672</v>
      </c>
      <c r="H95" s="82"/>
      <c r="I95" s="99">
        <v>0.77485497815698956</v>
      </c>
      <c r="J95" s="99"/>
      <c r="K95" s="99"/>
      <c r="L95" s="99">
        <v>0.9764604896741319</v>
      </c>
      <c r="M95" s="82"/>
      <c r="N95" s="99">
        <v>0.86065150355030295</v>
      </c>
      <c r="P95" s="99">
        <v>0.9764604896741319</v>
      </c>
      <c r="Q95" s="82"/>
      <c r="R95" s="99">
        <v>0.86065150355030295</v>
      </c>
    </row>
    <row r="96" spans="1:19" x14ac:dyDescent="0.35">
      <c r="D96" s="98" t="s">
        <v>88</v>
      </c>
      <c r="G96" s="99">
        <v>0.59018246654686368</v>
      </c>
      <c r="H96" s="82"/>
      <c r="I96" s="99">
        <v>0.51457926291879696</v>
      </c>
      <c r="J96" s="99"/>
      <c r="K96" s="99"/>
      <c r="L96" s="99">
        <v>0.89624898063253966</v>
      </c>
      <c r="M96" s="82"/>
      <c r="N96" s="99">
        <v>0.69356977339985582</v>
      </c>
      <c r="P96" s="99">
        <v>0.89624898063253966</v>
      </c>
      <c r="Q96" s="82"/>
      <c r="R96" s="99">
        <v>0.69356977339985582</v>
      </c>
    </row>
    <row r="97" spans="1:18" x14ac:dyDescent="0.35">
      <c r="D97" s="98"/>
      <c r="G97" s="100" t="s">
        <v>188</v>
      </c>
      <c r="I97" s="105" t="s">
        <v>189</v>
      </c>
      <c r="J97" s="105"/>
      <c r="K97" s="105"/>
      <c r="L97" s="100" t="s">
        <v>190</v>
      </c>
      <c r="N97" s="105" t="s">
        <v>191</v>
      </c>
    </row>
    <row r="98" spans="1:18" x14ac:dyDescent="0.35">
      <c r="D98" s="98" t="s">
        <v>129</v>
      </c>
      <c r="G98" s="92">
        <v>1903.4354964816262</v>
      </c>
      <c r="H98" s="92"/>
      <c r="I98" s="92">
        <v>1744.8264268960127</v>
      </c>
      <c r="J98" s="92"/>
      <c r="K98" s="92"/>
      <c r="L98" s="92">
        <v>2282.6452304394425</v>
      </c>
      <c r="M98" s="92"/>
      <c r="N98" s="92">
        <v>2125.7963558413712</v>
      </c>
      <c r="O98" s="90"/>
      <c r="P98" s="92">
        <v>2427</v>
      </c>
      <c r="Q98" s="92"/>
      <c r="R98" s="92">
        <v>2158</v>
      </c>
    </row>
    <row r="99" spans="1:18" x14ac:dyDescent="0.35">
      <c r="A99" s="80" t="s">
        <v>98</v>
      </c>
      <c r="G99" s="100" t="s">
        <v>187</v>
      </c>
      <c r="H99" s="81"/>
      <c r="I99" s="81"/>
      <c r="J99" s="81"/>
      <c r="K99" s="81"/>
      <c r="L99" s="81"/>
      <c r="M99" s="81"/>
      <c r="N99" s="81"/>
    </row>
    <row r="100" spans="1:18" x14ac:dyDescent="0.35">
      <c r="D100" s="98" t="s">
        <v>96</v>
      </c>
    </row>
    <row r="101" spans="1:18" x14ac:dyDescent="0.35">
      <c r="A101" s="80" t="s">
        <v>97</v>
      </c>
      <c r="D101" s="98"/>
      <c r="G101" s="106">
        <v>36.209247148288974</v>
      </c>
      <c r="H101" s="81"/>
      <c r="I101" s="81"/>
      <c r="J101" s="81"/>
      <c r="K101" s="81"/>
      <c r="L101" s="106">
        <v>4.8</v>
      </c>
      <c r="M101" s="81"/>
      <c r="N101" s="81"/>
      <c r="O101" s="81"/>
      <c r="P101" s="107">
        <v>2.62</v>
      </c>
    </row>
    <row r="102" spans="1:18" x14ac:dyDescent="0.35">
      <c r="G102" s="100" t="s">
        <v>187</v>
      </c>
      <c r="H102" s="81"/>
      <c r="I102" s="81"/>
      <c r="J102" s="81"/>
      <c r="K102" s="81"/>
      <c r="L102" s="81"/>
      <c r="M102" s="81"/>
      <c r="N102" s="81"/>
    </row>
    <row r="103" spans="1:18" x14ac:dyDescent="0.35">
      <c r="D103" s="80" t="s">
        <v>95</v>
      </c>
    </row>
    <row r="104" spans="1:18" x14ac:dyDescent="0.35">
      <c r="D104" s="98" t="s">
        <v>84</v>
      </c>
      <c r="G104" s="105">
        <f>G92*$G$101</f>
        <v>56.159128676370941</v>
      </c>
      <c r="H104" s="105"/>
      <c r="I104" s="105">
        <f>I92*$G$101</f>
        <v>55.138475603686032</v>
      </c>
      <c r="J104" s="105"/>
      <c r="K104" s="105"/>
      <c r="L104" s="105">
        <f>L92*$L$101</f>
        <v>7.3568814667342686</v>
      </c>
      <c r="M104" s="105"/>
      <c r="N104" s="105">
        <f>N92*$L$101</f>
        <v>9.8454772428102064</v>
      </c>
      <c r="P104" s="105">
        <f>P92*$P$101</f>
        <v>4.0156311339257886</v>
      </c>
      <c r="Q104" s="105"/>
      <c r="R104" s="105">
        <f>R92*$P$101</f>
        <v>5.3739896617005707</v>
      </c>
    </row>
    <row r="105" spans="1:18" x14ac:dyDescent="0.35">
      <c r="D105" s="98" t="s">
        <v>85</v>
      </c>
      <c r="G105" s="105">
        <f>G93*$G$101</f>
        <v>31.575446976966035</v>
      </c>
      <c r="H105" s="105"/>
      <c r="I105" s="105">
        <f>I93*$G$101</f>
        <v>29.314564571920567</v>
      </c>
      <c r="J105" s="105"/>
      <c r="K105" s="105"/>
      <c r="L105" s="105">
        <f>L93*$L$101</f>
        <v>5.2197600770005943</v>
      </c>
      <c r="M105" s="105"/>
      <c r="N105" s="105">
        <f>N93*$L$101</f>
        <v>5.7130033200779549</v>
      </c>
      <c r="P105" s="105">
        <f>P93*$P$101</f>
        <v>2.8491190420294914</v>
      </c>
      <c r="Q105" s="105"/>
      <c r="R105" s="105">
        <f>R93*$P$101</f>
        <v>3.1183476455425509</v>
      </c>
    </row>
    <row r="106" spans="1:18" x14ac:dyDescent="0.35">
      <c r="D106" s="98" t="s">
        <v>86</v>
      </c>
      <c r="G106" s="105">
        <f>G94*$G$101</f>
        <v>38.303711158223543</v>
      </c>
      <c r="H106" s="105"/>
      <c r="I106" s="105">
        <f>I94*$G$101</f>
        <v>39.622462898078204</v>
      </c>
      <c r="J106" s="105"/>
      <c r="K106" s="105"/>
      <c r="L106" s="105">
        <f>L94*$L$101</f>
        <v>5.4234249066615465</v>
      </c>
      <c r="M106" s="105"/>
      <c r="N106" s="105">
        <f>N94*$L$101</f>
        <v>6.4796144469242973</v>
      </c>
      <c r="P106" s="105">
        <f>P94*$P$101</f>
        <v>2.9602860948860945</v>
      </c>
      <c r="Q106" s="105"/>
      <c r="R106" s="105">
        <f>R94*$P$101</f>
        <v>3.5367895522795125</v>
      </c>
    </row>
    <row r="107" spans="1:18" x14ac:dyDescent="0.35">
      <c r="D107" s="98" t="s">
        <v>87</v>
      </c>
      <c r="G107" s="105">
        <f>G95*$G$101</f>
        <v>29.914924289410539</v>
      </c>
      <c r="H107" s="105"/>
      <c r="I107" s="105">
        <f>I95*$G$101</f>
        <v>28.056915408168489</v>
      </c>
      <c r="J107" s="105"/>
      <c r="K107" s="105"/>
      <c r="L107" s="105">
        <f>L95*$L$101</f>
        <v>4.6870103504358331</v>
      </c>
      <c r="M107" s="105"/>
      <c r="N107" s="105">
        <f>N95*$L$101</f>
        <v>4.1311272170414544</v>
      </c>
      <c r="P107" s="105">
        <f>P95*$P$101</f>
        <v>2.5583264829462258</v>
      </c>
      <c r="Q107" s="105"/>
      <c r="R107" s="105">
        <f>R95*$P$101</f>
        <v>2.2549069393017938</v>
      </c>
    </row>
    <row r="108" spans="1:18" x14ac:dyDescent="0.35">
      <c r="D108" s="98" t="s">
        <v>88</v>
      </c>
      <c r="G108" s="105">
        <f>G96*$G$101</f>
        <v>21.370062793782175</v>
      </c>
      <c r="H108" s="105"/>
      <c r="I108" s="105">
        <f>I96*$G$101</f>
        <v>18.632527708411089</v>
      </c>
      <c r="J108" s="105"/>
      <c r="K108" s="105"/>
      <c r="L108" s="105">
        <f>L96*$L$101</f>
        <v>4.3019951070361904</v>
      </c>
      <c r="M108" s="105"/>
      <c r="N108" s="105">
        <f>N96*$L$101</f>
        <v>3.3291349123193079</v>
      </c>
      <c r="P108" s="105">
        <f>P96*$P$101</f>
        <v>2.3481723292572538</v>
      </c>
      <c r="Q108" s="105"/>
      <c r="R108" s="105">
        <f>R96*$P$101</f>
        <v>1.8171528063076223</v>
      </c>
    </row>
    <row r="109" spans="1:18" x14ac:dyDescent="0.35">
      <c r="D109" s="98" t="s">
        <v>148</v>
      </c>
      <c r="E109" s="81"/>
      <c r="F109" s="81"/>
      <c r="G109" s="100">
        <f>G104/G107</f>
        <v>1.8772946952184157</v>
      </c>
      <c r="H109" s="81"/>
      <c r="I109" s="100">
        <f>I104/I107</f>
        <v>1.9652365486917718</v>
      </c>
      <c r="J109" s="81"/>
      <c r="K109" s="81"/>
      <c r="L109" s="100">
        <f>L104/L107</f>
        <v>1.5696320077573909</v>
      </c>
      <c r="M109" s="81"/>
      <c r="N109" s="100">
        <f>N104/N107</f>
        <v>2.3832423272264025</v>
      </c>
      <c r="O109" s="81"/>
      <c r="P109" s="100">
        <f>P104/P107</f>
        <v>1.5696320077573909</v>
      </c>
      <c r="Q109" s="81"/>
      <c r="R109" s="100">
        <f>R104/R107</f>
        <v>2.3832423272264021</v>
      </c>
    </row>
    <row r="110" spans="1:18" x14ac:dyDescent="0.35">
      <c r="D110" s="98"/>
      <c r="E110" s="81"/>
      <c r="F110" s="81"/>
      <c r="G110" s="100"/>
      <c r="H110" s="81"/>
      <c r="I110" s="100"/>
      <c r="J110" s="81"/>
      <c r="K110" s="81"/>
      <c r="L110" s="100"/>
      <c r="M110" s="81"/>
      <c r="N110" s="100"/>
    </row>
    <row r="111" spans="1:18" x14ac:dyDescent="0.35">
      <c r="A111" s="108" t="s">
        <v>257</v>
      </c>
      <c r="D111" s="98"/>
      <c r="E111" s="81"/>
      <c r="F111" s="81"/>
      <c r="G111" s="100"/>
      <c r="H111" s="81"/>
      <c r="I111" s="100"/>
      <c r="J111" s="81"/>
      <c r="K111" s="81"/>
      <c r="L111" s="100"/>
      <c r="M111" s="81"/>
      <c r="N111" s="100"/>
    </row>
    <row r="112" spans="1:18" x14ac:dyDescent="0.35">
      <c r="D112" s="98"/>
      <c r="E112" s="81"/>
      <c r="F112" s="81"/>
      <c r="G112" s="100"/>
      <c r="H112" s="81"/>
      <c r="I112" s="100"/>
      <c r="J112" s="81"/>
      <c r="K112" s="81"/>
      <c r="L112" s="100"/>
      <c r="M112" s="81"/>
      <c r="N112" s="100"/>
    </row>
    <row r="113" spans="4:35" x14ac:dyDescent="0.35">
      <c r="D113" s="109" t="s">
        <v>177</v>
      </c>
      <c r="E113" s="81"/>
      <c r="F113" s="81"/>
      <c r="G113" s="100"/>
      <c r="H113" s="81"/>
      <c r="I113" s="100"/>
      <c r="J113" s="81"/>
      <c r="K113" s="81"/>
      <c r="L113" s="100"/>
      <c r="M113" s="81"/>
      <c r="N113" s="100"/>
    </row>
    <row r="114" spans="4:35" x14ac:dyDescent="0.35">
      <c r="D114" s="98" t="s">
        <v>198</v>
      </c>
      <c r="E114" s="81"/>
      <c r="F114" s="81"/>
      <c r="G114" s="100"/>
      <c r="H114" s="81"/>
      <c r="I114" s="100"/>
      <c r="J114" s="81"/>
      <c r="K114" s="81"/>
      <c r="L114" s="100"/>
      <c r="M114" s="81"/>
      <c r="N114" s="100"/>
    </row>
    <row r="115" spans="4:35" x14ac:dyDescent="0.35">
      <c r="D115" s="98" t="s">
        <v>199</v>
      </c>
      <c r="E115" s="81"/>
      <c r="F115" s="81"/>
      <c r="G115" s="100"/>
      <c r="H115" s="81"/>
      <c r="I115" s="100"/>
      <c r="J115" s="81"/>
      <c r="K115" s="81"/>
      <c r="L115" s="100"/>
      <c r="M115" s="81"/>
      <c r="N115" s="100"/>
    </row>
    <row r="116" spans="4:35" x14ac:dyDescent="0.35">
      <c r="D116" s="98" t="s">
        <v>200</v>
      </c>
      <c r="E116" s="81"/>
      <c r="F116" s="81"/>
      <c r="G116" s="100"/>
      <c r="H116" s="81"/>
      <c r="I116" s="100"/>
      <c r="J116" s="81"/>
      <c r="K116" s="81"/>
      <c r="L116" s="100"/>
      <c r="M116" s="81"/>
      <c r="N116" s="100"/>
    </row>
    <row r="117" spans="4:35" x14ac:dyDescent="0.35">
      <c r="D117" s="98" t="s">
        <v>201</v>
      </c>
      <c r="E117" s="81"/>
      <c r="F117" s="81"/>
      <c r="G117" s="100"/>
      <c r="H117" s="81"/>
      <c r="I117" s="100"/>
      <c r="J117" s="81"/>
      <c r="K117" s="81"/>
      <c r="L117" s="100"/>
      <c r="M117" s="81"/>
      <c r="N117" s="100"/>
    </row>
    <row r="118" spans="4:35" x14ac:dyDescent="0.35">
      <c r="D118" s="98" t="s">
        <v>202</v>
      </c>
      <c r="E118" s="81"/>
      <c r="F118" s="81"/>
      <c r="G118" s="100"/>
      <c r="H118" s="81"/>
      <c r="I118" s="100"/>
      <c r="J118" s="81"/>
      <c r="K118" s="81"/>
      <c r="L118" s="100"/>
      <c r="M118" s="81"/>
      <c r="N118" s="100"/>
    </row>
    <row r="119" spans="4:35" x14ac:dyDescent="0.35">
      <c r="D119" s="98"/>
      <c r="E119" s="81" t="s">
        <v>178</v>
      </c>
      <c r="F119" s="81"/>
      <c r="G119" s="100"/>
      <c r="H119" s="81"/>
      <c r="I119" s="100"/>
      <c r="J119" s="81"/>
      <c r="K119" s="81"/>
      <c r="L119" s="100"/>
      <c r="M119" s="81"/>
      <c r="N119" s="110">
        <f>E27*N39/100</f>
        <v>1033.8079679012121</v>
      </c>
      <c r="R119" s="94">
        <f>J27*R39/100</f>
        <v>269.32364709548767</v>
      </c>
    </row>
    <row r="120" spans="4:35" x14ac:dyDescent="0.35">
      <c r="D120" s="98"/>
      <c r="E120" s="81" t="s">
        <v>197</v>
      </c>
      <c r="F120" s="81"/>
      <c r="G120" s="100"/>
      <c r="H120" s="81"/>
      <c r="I120" s="100"/>
      <c r="J120" s="81"/>
      <c r="K120" s="81"/>
      <c r="L120" s="100"/>
      <c r="M120" s="81"/>
      <c r="N120" s="110">
        <f>E25+E26</f>
        <v>3045.2765599999998</v>
      </c>
      <c r="R120" s="94">
        <f>J25+J26</f>
        <v>1005.8</v>
      </c>
    </row>
    <row r="121" spans="4:35" x14ac:dyDescent="0.35">
      <c r="D121" s="98"/>
      <c r="E121" s="81" t="s">
        <v>127</v>
      </c>
      <c r="F121" s="81"/>
      <c r="G121" s="100"/>
      <c r="H121" s="81"/>
      <c r="I121" s="100"/>
      <c r="J121" s="81"/>
      <c r="K121" s="81"/>
      <c r="L121" s="100"/>
      <c r="M121" s="81"/>
      <c r="N121" s="110">
        <f>E26</f>
        <v>2153.3555899999997</v>
      </c>
      <c r="R121" s="94">
        <f>J26</f>
        <v>995</v>
      </c>
    </row>
    <row r="122" spans="4:35" x14ac:dyDescent="0.35">
      <c r="D122" s="98"/>
      <c r="E122" s="81" t="s">
        <v>179</v>
      </c>
      <c r="F122" s="81"/>
      <c r="G122" s="100"/>
      <c r="H122" s="81"/>
      <c r="I122" s="100"/>
      <c r="J122" s="81"/>
      <c r="K122" s="81"/>
      <c r="L122" s="100"/>
      <c r="M122" s="81"/>
      <c r="N122" s="110">
        <f>N121*L36/100</f>
        <v>369.27925051004854</v>
      </c>
      <c r="R122" s="94">
        <f>J26*P36/100</f>
        <v>79.659226524144273</v>
      </c>
      <c r="T122" s="81"/>
      <c r="U122" s="81"/>
      <c r="V122" s="81"/>
      <c r="W122" s="81"/>
      <c r="X122" s="81"/>
      <c r="Y122" s="81"/>
      <c r="Z122" s="81"/>
      <c r="AA122" s="81"/>
      <c r="AB122" s="81"/>
      <c r="AC122" s="81"/>
      <c r="AD122" s="81"/>
      <c r="AE122" s="81"/>
      <c r="AF122" s="81"/>
      <c r="AG122" s="81"/>
      <c r="AH122" s="81"/>
      <c r="AI122" s="81"/>
    </row>
    <row r="123" spans="4:35" x14ac:dyDescent="0.35">
      <c r="D123" s="98"/>
      <c r="E123" s="81" t="s">
        <v>256</v>
      </c>
      <c r="F123" s="81"/>
      <c r="G123" s="100"/>
      <c r="H123" s="81"/>
      <c r="I123" s="100"/>
      <c r="J123" s="81"/>
      <c r="K123" s="81"/>
      <c r="L123" s="100"/>
      <c r="M123" s="81"/>
      <c r="N123" s="110">
        <f>N120-N121+N122</f>
        <v>1261.2002205100487</v>
      </c>
      <c r="P123" s="81"/>
      <c r="Q123" s="81"/>
      <c r="R123" s="110">
        <f>R120-R121+R122</f>
        <v>90.459226524144228</v>
      </c>
      <c r="T123" s="81"/>
      <c r="U123" s="81"/>
      <c r="V123" s="81"/>
      <c r="W123" s="81"/>
      <c r="X123" s="81"/>
      <c r="Y123" s="81"/>
      <c r="Z123" s="81"/>
      <c r="AA123" s="81"/>
      <c r="AB123" s="81"/>
      <c r="AC123" s="81"/>
      <c r="AD123" s="81"/>
      <c r="AE123" s="81"/>
      <c r="AF123" s="81"/>
      <c r="AG123" s="81"/>
      <c r="AH123" s="81"/>
      <c r="AI123" s="81"/>
    </row>
    <row r="124" spans="4:35" x14ac:dyDescent="0.35">
      <c r="D124" s="98"/>
      <c r="E124" s="81" t="s">
        <v>255</v>
      </c>
      <c r="F124" s="81"/>
      <c r="G124" s="100"/>
      <c r="H124" s="81"/>
      <c r="I124" s="100"/>
      <c r="J124" s="81"/>
      <c r="K124" s="81"/>
      <c r="L124" s="100"/>
      <c r="M124" s="81"/>
      <c r="N124" s="110">
        <f>N123*2*L272</f>
        <v>252.24004410200973</v>
      </c>
      <c r="P124" s="81"/>
      <c r="Q124" s="81"/>
      <c r="R124" s="110">
        <f>R123*2*L272</f>
        <v>18.091845304828848</v>
      </c>
      <c r="T124" s="81"/>
      <c r="U124" s="81"/>
      <c r="V124" s="81"/>
      <c r="W124" s="81"/>
      <c r="X124" s="81"/>
      <c r="Y124" s="81"/>
      <c r="Z124" s="81"/>
      <c r="AA124" s="81"/>
      <c r="AB124" s="81"/>
      <c r="AC124" s="81"/>
      <c r="AD124" s="81"/>
      <c r="AE124" s="81"/>
      <c r="AF124" s="81"/>
      <c r="AG124" s="81"/>
      <c r="AH124" s="81"/>
      <c r="AI124" s="81"/>
    </row>
    <row r="125" spans="4:35" x14ac:dyDescent="0.35">
      <c r="D125" s="98"/>
      <c r="E125" s="81" t="s">
        <v>180</v>
      </c>
      <c r="F125" s="81"/>
      <c r="G125" s="100"/>
      <c r="H125" s="81"/>
      <c r="I125" s="100"/>
      <c r="J125" s="81"/>
      <c r="K125" s="81"/>
      <c r="L125" s="100"/>
      <c r="M125" s="81"/>
      <c r="N125" s="110">
        <f>N119-N124</f>
        <v>781.56792379920239</v>
      </c>
      <c r="O125" s="81"/>
      <c r="P125" s="81"/>
      <c r="Q125" s="81"/>
      <c r="R125" s="110">
        <f>R119-R124</f>
        <v>251.23180179065884</v>
      </c>
    </row>
    <row r="126" spans="4:35" x14ac:dyDescent="0.35">
      <c r="D126" s="98"/>
      <c r="E126" s="81"/>
      <c r="F126" s="81"/>
      <c r="G126" s="100"/>
      <c r="H126" s="81"/>
      <c r="I126" s="100"/>
      <c r="J126" s="81"/>
      <c r="K126" s="81"/>
      <c r="L126" s="100"/>
      <c r="M126" s="81"/>
      <c r="N126" s="100"/>
      <c r="P126" s="81" t="s">
        <v>194</v>
      </c>
      <c r="Q126" s="81"/>
    </row>
    <row r="127" spans="4:35" x14ac:dyDescent="0.35">
      <c r="D127" s="111" t="s">
        <v>184</v>
      </c>
      <c r="E127" s="81"/>
      <c r="F127" s="81"/>
      <c r="G127" s="100"/>
      <c r="H127" s="81"/>
      <c r="I127" s="100"/>
      <c r="J127" s="112" t="s">
        <v>70</v>
      </c>
      <c r="K127" s="87"/>
      <c r="L127" s="112" t="s">
        <v>74</v>
      </c>
      <c r="M127" s="112"/>
      <c r="N127" s="112" t="s">
        <v>72</v>
      </c>
      <c r="O127" s="113"/>
      <c r="P127" s="112" t="s">
        <v>74</v>
      </c>
      <c r="Q127" s="112"/>
      <c r="R127" s="112" t="s">
        <v>72</v>
      </c>
    </row>
    <row r="128" spans="4:35" x14ac:dyDescent="0.35">
      <c r="D128" s="98"/>
      <c r="E128" s="81" t="s">
        <v>181</v>
      </c>
      <c r="F128" s="81"/>
      <c r="G128" s="100"/>
      <c r="H128" s="81"/>
      <c r="I128" s="100"/>
      <c r="J128" s="110">
        <f>E26*L36/100</f>
        <v>369.27925051004854</v>
      </c>
      <c r="K128" s="110"/>
      <c r="L128" s="110">
        <f>E26*L37/100</f>
        <v>871.34230129923378</v>
      </c>
      <c r="M128" s="110"/>
      <c r="N128" s="110">
        <f>E26*L38/100</f>
        <v>504.52063021346055</v>
      </c>
      <c r="O128" s="94"/>
      <c r="P128" s="110">
        <f>J26*P37/100</f>
        <v>368.2888614106181</v>
      </c>
      <c r="Q128" s="110"/>
      <c r="R128" s="110">
        <f>J26*P38/100</f>
        <v>148.06796975832296</v>
      </c>
    </row>
    <row r="129" spans="4:18" x14ac:dyDescent="0.35">
      <c r="D129" s="98"/>
      <c r="E129" s="81" t="s">
        <v>182</v>
      </c>
      <c r="F129" s="81"/>
      <c r="G129" s="100"/>
      <c r="H129" s="81"/>
      <c r="I129" s="100"/>
      <c r="J129" s="110">
        <f>N125*N36/100</f>
        <v>42.092235350729794</v>
      </c>
      <c r="K129" s="110"/>
      <c r="L129" s="110">
        <f>N125*N37/100</f>
        <v>52.022565514733166</v>
      </c>
      <c r="M129" s="110"/>
      <c r="N129" s="110">
        <f>N125*N38/100</f>
        <v>632.2943767286846</v>
      </c>
      <c r="O129" s="94"/>
      <c r="P129" s="110">
        <f>R125*R37/100</f>
        <v>27.42499647545057</v>
      </c>
      <c r="Q129" s="110"/>
      <c r="R129" s="110">
        <f>R125*R38/100</f>
        <v>192.65553681587738</v>
      </c>
    </row>
    <row r="130" spans="4:18" x14ac:dyDescent="0.35">
      <c r="D130" s="98"/>
      <c r="E130" s="81" t="s">
        <v>176</v>
      </c>
      <c r="F130" s="81"/>
      <c r="G130" s="100"/>
      <c r="H130" s="81"/>
      <c r="I130" s="100"/>
      <c r="J130" s="110">
        <f>J128+J129</f>
        <v>411.37148586077831</v>
      </c>
      <c r="K130" s="110"/>
      <c r="L130" s="110">
        <f>L128+L129</f>
        <v>923.36486681396696</v>
      </c>
      <c r="M130" s="110"/>
      <c r="N130" s="110">
        <f>N128+N129</f>
        <v>1136.8150069421451</v>
      </c>
      <c r="O130" s="94"/>
      <c r="P130" s="110">
        <f>P128+P129</f>
        <v>395.71385788606869</v>
      </c>
      <c r="Q130" s="110"/>
      <c r="R130" s="110">
        <f>R128+R129</f>
        <v>340.72350657420031</v>
      </c>
    </row>
    <row r="131" spans="4:18" x14ac:dyDescent="0.35">
      <c r="D131" s="98"/>
      <c r="E131" s="81" t="s">
        <v>183</v>
      </c>
      <c r="F131" s="81"/>
      <c r="G131" s="100"/>
      <c r="H131" s="81"/>
      <c r="I131" s="100"/>
      <c r="J131" s="81"/>
      <c r="K131" s="81"/>
      <c r="L131" s="110">
        <f>L130*L54</f>
        <v>352.38295228057984</v>
      </c>
      <c r="M131" s="110"/>
      <c r="N131" s="110">
        <f>N130*N54</f>
        <v>511.43272348756278</v>
      </c>
      <c r="P131" s="110">
        <f>P130*P54</f>
        <v>130.58557310240266</v>
      </c>
      <c r="Q131" s="110"/>
      <c r="R131" s="110">
        <f>R130*R54</f>
        <v>126.06769743245411</v>
      </c>
    </row>
    <row r="132" spans="4:18" x14ac:dyDescent="0.35">
      <c r="D132" s="98"/>
      <c r="E132" s="81"/>
      <c r="F132" s="98" t="s">
        <v>84</v>
      </c>
      <c r="G132" s="100"/>
      <c r="H132" s="81"/>
      <c r="I132" s="100"/>
      <c r="J132" s="81"/>
      <c r="K132" s="81"/>
      <c r="L132" s="110">
        <f>L$131*L58</f>
        <v>21.142977136834791</v>
      </c>
      <c r="M132" s="110"/>
      <c r="N132" s="110">
        <f>N$131*N58</f>
        <v>76.714908523134412</v>
      </c>
      <c r="P132" s="110">
        <f>P$131*P58</f>
        <v>7.8351343861441594</v>
      </c>
      <c r="Q132" s="110"/>
      <c r="R132" s="110">
        <f>R$131*R58</f>
        <v>18.910154614868116</v>
      </c>
    </row>
    <row r="133" spans="4:18" x14ac:dyDescent="0.35">
      <c r="D133" s="98"/>
      <c r="E133" s="81"/>
      <c r="F133" s="98" t="s">
        <v>85</v>
      </c>
      <c r="G133" s="100"/>
      <c r="H133" s="81"/>
      <c r="I133" s="100"/>
      <c r="J133" s="81"/>
      <c r="K133" s="81"/>
      <c r="L133" s="110">
        <f>L$131*L59</f>
        <v>155.04849900345513</v>
      </c>
      <c r="M133" s="110"/>
      <c r="N133" s="110">
        <f>N$131*N59</f>
        <v>199.45876216014949</v>
      </c>
      <c r="P133" s="110">
        <f>P$131*P59</f>
        <v>57.457652165057169</v>
      </c>
      <c r="Q133" s="110"/>
      <c r="R133" s="110">
        <f>R$131*R59</f>
        <v>49.166401998657108</v>
      </c>
    </row>
    <row r="134" spans="4:18" x14ac:dyDescent="0.35">
      <c r="D134" s="98"/>
      <c r="E134" s="81"/>
      <c r="F134" s="98" t="s">
        <v>86</v>
      </c>
      <c r="G134" s="100"/>
      <c r="H134" s="81"/>
      <c r="I134" s="100"/>
      <c r="J134" s="81"/>
      <c r="K134" s="81"/>
      <c r="L134" s="110">
        <f>L$131*L60</f>
        <v>176.19147614028992</v>
      </c>
      <c r="M134" s="110"/>
      <c r="N134" s="110">
        <f>N$131*N60</f>
        <v>281.28799791815953</v>
      </c>
      <c r="P134" s="110">
        <f>P$131*P60</f>
        <v>65.292786551201331</v>
      </c>
      <c r="Q134" s="110"/>
      <c r="R134" s="110">
        <f>R$131*R60</f>
        <v>69.337233587849767</v>
      </c>
    </row>
    <row r="135" spans="4:18" x14ac:dyDescent="0.35">
      <c r="D135" s="98"/>
      <c r="E135" s="81"/>
      <c r="F135" s="98" t="s">
        <v>87</v>
      </c>
      <c r="G135" s="100"/>
      <c r="H135" s="81"/>
      <c r="I135" s="100"/>
      <c r="J135" s="81"/>
      <c r="K135" s="81"/>
      <c r="L135" s="110">
        <f>L$131*L61</f>
        <v>331.23997514374503</v>
      </c>
      <c r="M135" s="110"/>
      <c r="N135" s="110">
        <f>N$131*N61</f>
        <v>434.71781496442833</v>
      </c>
      <c r="P135" s="110">
        <f>P$131*P61</f>
        <v>122.7504387162585</v>
      </c>
      <c r="Q135" s="110"/>
      <c r="R135" s="110">
        <f>R$131*R61</f>
        <v>107.15754281758599</v>
      </c>
    </row>
    <row r="136" spans="4:18" x14ac:dyDescent="0.35">
      <c r="D136" s="98"/>
      <c r="E136" s="81"/>
      <c r="F136" s="98" t="s">
        <v>88</v>
      </c>
      <c r="G136" s="100"/>
      <c r="H136" s="81"/>
      <c r="I136" s="100"/>
      <c r="J136" s="81"/>
      <c r="K136" s="81"/>
      <c r="L136" s="110">
        <f>L$131*L62</f>
        <v>176.19147614028992</v>
      </c>
      <c r="M136" s="110"/>
      <c r="N136" s="110">
        <f>N$131*N62</f>
        <v>230.14472556940325</v>
      </c>
      <c r="P136" s="110">
        <f>P$131*P62</f>
        <v>65.292786551201331</v>
      </c>
      <c r="Q136" s="110"/>
      <c r="R136" s="110">
        <f>R$131*R62</f>
        <v>56.730463844604351</v>
      </c>
    </row>
    <row r="137" spans="4:18" x14ac:dyDescent="0.35">
      <c r="D137" s="98"/>
      <c r="E137" s="81"/>
      <c r="F137" s="81"/>
      <c r="G137" s="100"/>
      <c r="H137" s="81"/>
      <c r="I137" s="100"/>
      <c r="J137" s="81"/>
      <c r="K137" s="81"/>
      <c r="L137" s="100"/>
      <c r="M137" s="81"/>
      <c r="N137" s="100"/>
    </row>
    <row r="138" spans="4:18" x14ac:dyDescent="0.35">
      <c r="D138" s="98" t="s">
        <v>185</v>
      </c>
      <c r="E138" s="81"/>
      <c r="F138" s="81"/>
      <c r="G138" s="100"/>
      <c r="H138" s="81"/>
      <c r="I138" s="100"/>
      <c r="J138" s="81"/>
      <c r="K138" s="81"/>
      <c r="L138" s="100"/>
      <c r="M138" s="81"/>
      <c r="N138" s="100"/>
    </row>
    <row r="139" spans="4:18" x14ac:dyDescent="0.35">
      <c r="D139" s="98"/>
      <c r="E139" s="81"/>
      <c r="F139" s="98" t="s">
        <v>84</v>
      </c>
      <c r="G139" s="100"/>
      <c r="H139" s="81"/>
      <c r="I139" s="100"/>
      <c r="J139" s="81"/>
      <c r="K139" s="81"/>
      <c r="L139" s="88">
        <f>L132/L104</f>
        <v>2.8739048239987741</v>
      </c>
      <c r="M139" s="88"/>
      <c r="N139" s="88">
        <f>N132/N104</f>
        <v>7.7918933365222616</v>
      </c>
      <c r="P139" s="88">
        <f>P132/P104</f>
        <v>1.951158890055801</v>
      </c>
      <c r="Q139" s="88"/>
      <c r="R139" s="88">
        <f>R132/R104</f>
        <v>3.5188297345708137</v>
      </c>
    </row>
    <row r="140" spans="4:18" x14ac:dyDescent="0.35">
      <c r="D140" s="98"/>
      <c r="E140" s="81"/>
      <c r="F140" s="98" t="s">
        <v>85</v>
      </c>
      <c r="G140" s="100"/>
      <c r="H140" s="81"/>
      <c r="I140" s="100"/>
      <c r="J140" s="81"/>
      <c r="K140" s="81"/>
      <c r="L140" s="88">
        <f>L133/L105</f>
        <v>29.704142856418397</v>
      </c>
      <c r="M140" s="88"/>
      <c r="N140" s="88">
        <f>N133/N105</f>
        <v>34.913118544700559</v>
      </c>
      <c r="P140" s="88">
        <f>P133/P105</f>
        <v>20.166813431610354</v>
      </c>
      <c r="Q140" s="88"/>
      <c r="R140" s="88">
        <f>R133/R105</f>
        <v>15.766812295266973</v>
      </c>
    </row>
    <row r="141" spans="4:18" x14ac:dyDescent="0.35">
      <c r="D141" s="98"/>
      <c r="E141" s="81"/>
      <c r="F141" s="98" t="s">
        <v>86</v>
      </c>
      <c r="G141" s="100"/>
      <c r="H141" s="81"/>
      <c r="I141" s="100"/>
      <c r="J141" s="81"/>
      <c r="K141" s="81"/>
      <c r="L141" s="88">
        <f>L134/L106</f>
        <v>32.487123758987693</v>
      </c>
      <c r="M141" s="88"/>
      <c r="N141" s="88">
        <f>N134/N106</f>
        <v>43.411224575511518</v>
      </c>
      <c r="P141" s="88">
        <f>P134/P106</f>
        <v>22.056242017957274</v>
      </c>
      <c r="Q141" s="88"/>
      <c r="R141" s="88">
        <f>R134/R106</f>
        <v>19.604568652709602</v>
      </c>
    </row>
    <row r="142" spans="4:18" x14ac:dyDescent="0.35">
      <c r="D142" s="98"/>
      <c r="E142" s="81"/>
      <c r="F142" s="98" t="s">
        <v>87</v>
      </c>
      <c r="G142" s="100"/>
      <c r="H142" s="81"/>
      <c r="I142" s="100"/>
      <c r="J142" s="81"/>
      <c r="K142" s="81"/>
      <c r="L142" s="88">
        <f>L135/L107</f>
        <v>70.671910317617261</v>
      </c>
      <c r="M142" s="88"/>
      <c r="N142" s="88">
        <f>N135/N107</f>
        <v>105.22983005005486</v>
      </c>
      <c r="P142" s="88">
        <f>P135/P107</f>
        <v>47.980755988147514</v>
      </c>
      <c r="Q142" s="88"/>
      <c r="R142" s="88">
        <f>R135/R107</f>
        <v>47.521935805814721</v>
      </c>
    </row>
    <row r="143" spans="4:18" x14ac:dyDescent="0.35">
      <c r="D143" s="98"/>
      <c r="E143" s="81"/>
      <c r="F143" s="98" t="s">
        <v>88</v>
      </c>
      <c r="G143" s="100"/>
      <c r="H143" s="81"/>
      <c r="I143" s="100"/>
      <c r="J143" s="81"/>
      <c r="K143" s="81"/>
      <c r="L143" s="88">
        <f>L136/L108</f>
        <v>40.955759306215249</v>
      </c>
      <c r="M143" s="88"/>
      <c r="N143" s="88">
        <f>N136/N108</f>
        <v>69.130489340568161</v>
      </c>
      <c r="P143" s="88">
        <f>P136/P108</f>
        <v>27.805789948923373</v>
      </c>
      <c r="Q143" s="88"/>
      <c r="R143" s="88">
        <f>R136/R108</f>
        <v>31.219423951405748</v>
      </c>
    </row>
    <row r="144" spans="4:18" x14ac:dyDescent="0.35">
      <c r="D144" s="98"/>
      <c r="E144" s="81"/>
      <c r="F144" s="98"/>
      <c r="G144" s="100"/>
      <c r="H144" s="81"/>
      <c r="I144" s="100"/>
      <c r="J144" s="81"/>
      <c r="K144" s="81"/>
      <c r="L144" s="88"/>
      <c r="M144" s="88"/>
      <c r="N144" s="88"/>
      <c r="P144" s="88"/>
      <c r="Q144" s="88"/>
      <c r="R144" s="88"/>
    </row>
    <row r="145" spans="1:18" x14ac:dyDescent="0.35">
      <c r="D145" s="98"/>
      <c r="E145" s="81"/>
      <c r="F145" s="98"/>
      <c r="G145" s="100"/>
      <c r="H145" s="81"/>
      <c r="I145" s="100"/>
      <c r="J145" s="81"/>
      <c r="K145" s="81"/>
      <c r="L145" s="100"/>
      <c r="M145" s="81"/>
      <c r="N145" s="100"/>
      <c r="P145" s="81" t="s">
        <v>194</v>
      </c>
      <c r="Q145" s="81"/>
      <c r="R145" s="81" t="s">
        <v>194</v>
      </c>
    </row>
    <row r="146" spans="1:18" x14ac:dyDescent="0.35">
      <c r="D146" s="50" t="s">
        <v>317</v>
      </c>
      <c r="E146" s="114"/>
      <c r="F146" s="109"/>
      <c r="G146" s="115"/>
      <c r="H146" s="114"/>
      <c r="I146" s="115"/>
      <c r="J146" s="114"/>
      <c r="K146" s="81"/>
      <c r="L146" s="87" t="s">
        <v>74</v>
      </c>
      <c r="M146" s="87"/>
      <c r="N146" s="87" t="s">
        <v>72</v>
      </c>
      <c r="O146" s="113"/>
      <c r="P146" s="87" t="s">
        <v>74</v>
      </c>
      <c r="Q146" s="87"/>
      <c r="R146" s="87" t="s">
        <v>72</v>
      </c>
    </row>
    <row r="147" spans="1:18" x14ac:dyDescent="0.35">
      <c r="D147" s="98"/>
      <c r="E147" s="81"/>
      <c r="F147" s="98" t="s">
        <v>84</v>
      </c>
      <c r="G147" s="100"/>
      <c r="H147" s="81"/>
      <c r="I147" s="100"/>
      <c r="J147" s="81"/>
      <c r="K147" s="81"/>
      <c r="L147" s="88">
        <f>1000*L139/L$98</f>
        <v>1.2590238665539391</v>
      </c>
      <c r="M147" s="88"/>
      <c r="N147" s="88">
        <f>1000*N139/N$98</f>
        <v>3.6653997054380594</v>
      </c>
      <c r="P147" s="88">
        <f>1000*P139/P$98</f>
        <v>0.80393856203370462</v>
      </c>
      <c r="Q147" s="88"/>
      <c r="R147" s="88">
        <f>1000*R139/R$98</f>
        <v>1.6305976527204884</v>
      </c>
    </row>
    <row r="148" spans="1:18" x14ac:dyDescent="0.35">
      <c r="D148" s="98"/>
      <c r="E148" s="81"/>
      <c r="F148" s="98" t="s">
        <v>85</v>
      </c>
      <c r="G148" s="100"/>
      <c r="H148" s="81"/>
      <c r="I148" s="100"/>
      <c r="J148" s="81"/>
      <c r="K148" s="81"/>
      <c r="L148" s="88">
        <f>1000*L140/L$98</f>
        <v>13.013035254146748</v>
      </c>
      <c r="M148" s="88"/>
      <c r="N148" s="88">
        <f>1000*N140/N$98</f>
        <v>16.423548026491119</v>
      </c>
      <c r="P148" s="88">
        <f>1000*P140/P$98</f>
        <v>8.3093586450804917</v>
      </c>
      <c r="Q148" s="88"/>
      <c r="R148" s="88">
        <f>1000*R140/R$98</f>
        <v>7.306215150726123</v>
      </c>
    </row>
    <row r="149" spans="1:18" x14ac:dyDescent="0.35">
      <c r="D149" s="98"/>
      <c r="E149" s="81"/>
      <c r="F149" s="98" t="s">
        <v>86</v>
      </c>
      <c r="G149" s="100"/>
      <c r="H149" s="81"/>
      <c r="I149" s="100"/>
      <c r="J149" s="81"/>
      <c r="K149" s="81"/>
      <c r="L149" s="88">
        <f>1000*L141/L$98</f>
        <v>14.232226421244377</v>
      </c>
      <c r="M149" s="88"/>
      <c r="N149" s="88">
        <f>1000*N141/N$98</f>
        <v>20.421158619556362</v>
      </c>
      <c r="P149" s="88">
        <f>1000*P141/P$98</f>
        <v>9.0878623889399552</v>
      </c>
      <c r="Q149" s="88"/>
      <c r="R149" s="88">
        <f>1000*R141/R$98</f>
        <v>9.0846008585308642</v>
      </c>
    </row>
    <row r="150" spans="1:18" x14ac:dyDescent="0.35">
      <c r="D150" s="98"/>
      <c r="E150" s="81"/>
      <c r="F150" s="98" t="s">
        <v>87</v>
      </c>
      <c r="G150" s="100"/>
      <c r="H150" s="81"/>
      <c r="I150" s="100"/>
      <c r="J150" s="81"/>
      <c r="K150" s="81"/>
      <c r="L150" s="88">
        <f>1000*L142/L$98</f>
        <v>30.960531831752011</v>
      </c>
      <c r="M150" s="88"/>
      <c r="N150" s="88">
        <f>1000*N142/N$98</f>
        <v>49.501369103817957</v>
      </c>
      <c r="O150" s="81"/>
      <c r="P150" s="88">
        <f>1000*P142/P$98</f>
        <v>19.769573954737336</v>
      </c>
      <c r="Q150" s="88"/>
      <c r="R150" s="88">
        <f>1000*R142/R$98</f>
        <v>22.021286286290415</v>
      </c>
    </row>
    <row r="151" spans="1:18" x14ac:dyDescent="0.35">
      <c r="D151" s="98"/>
      <c r="E151" s="81"/>
      <c r="F151" s="98" t="s">
        <v>88</v>
      </c>
      <c r="G151" s="100"/>
      <c r="H151" s="81"/>
      <c r="I151" s="100"/>
      <c r="J151" s="81"/>
      <c r="K151" s="81"/>
      <c r="L151" s="88">
        <f>1000*L143/L$98</f>
        <v>17.942235946288804</v>
      </c>
      <c r="M151" s="88"/>
      <c r="N151" s="88">
        <f>1000*N143/N$98</f>
        <v>32.519808000708956</v>
      </c>
      <c r="O151" s="81"/>
      <c r="P151" s="88">
        <f>1000*P143/P$98</f>
        <v>11.456856180026112</v>
      </c>
      <c r="Q151" s="88"/>
      <c r="R151" s="88">
        <f>1000*R143/R$98</f>
        <v>14.466832229567075</v>
      </c>
    </row>
    <row r="152" spans="1:18" x14ac:dyDescent="0.35">
      <c r="D152" s="98"/>
      <c r="E152" s="81"/>
      <c r="F152" s="98" t="s">
        <v>186</v>
      </c>
      <c r="G152" s="100"/>
      <c r="H152" s="81"/>
      <c r="I152" s="100"/>
      <c r="J152" s="81"/>
      <c r="K152" s="81"/>
      <c r="L152" s="88">
        <f>L147+L148+L151</f>
        <v>32.214295066989493</v>
      </c>
      <c r="M152" s="88"/>
      <c r="N152" s="88">
        <f>N147+N148+N151</f>
        <v>52.60875573263813</v>
      </c>
      <c r="O152" s="81"/>
      <c r="P152" s="88">
        <f>P147+P148+P151</f>
        <v>20.570153387140309</v>
      </c>
      <c r="Q152" s="88"/>
      <c r="R152" s="88">
        <f>R147+R148+R151</f>
        <v>23.403645033013689</v>
      </c>
    </row>
    <row r="153" spans="1:18" x14ac:dyDescent="0.35">
      <c r="D153" s="98"/>
      <c r="E153" s="81"/>
      <c r="F153" s="81"/>
      <c r="G153" s="81" t="s">
        <v>181</v>
      </c>
      <c r="H153" s="81"/>
      <c r="I153" s="100"/>
      <c r="J153" s="81"/>
      <c r="K153" s="81"/>
      <c r="L153" s="88">
        <f>L152*L128/L130</f>
        <v>30.39933509194092</v>
      </c>
      <c r="M153" s="88"/>
      <c r="N153" s="88">
        <f>N152*N128/N130</f>
        <v>23.347864370977103</v>
      </c>
      <c r="O153" s="81"/>
      <c r="P153" s="88">
        <f>P152*P128/P130</f>
        <v>19.144536434639686</v>
      </c>
      <c r="Q153" s="88"/>
      <c r="R153" s="88">
        <f>R152*R128/R130</f>
        <v>10.170505228197813</v>
      </c>
    </row>
    <row r="154" spans="1:18" x14ac:dyDescent="0.35">
      <c r="D154" s="98"/>
      <c r="E154" s="81"/>
      <c r="F154" s="81"/>
      <c r="G154" s="81" t="s">
        <v>182</v>
      </c>
      <c r="H154" s="81"/>
      <c r="I154" s="100"/>
      <c r="J154" s="81"/>
      <c r="K154" s="81"/>
      <c r="L154" s="88">
        <f>L152*L129/L130</f>
        <v>1.814959975048573</v>
      </c>
      <c r="M154" s="88"/>
      <c r="N154" s="88">
        <f>N152*N129/N130</f>
        <v>29.260891361661031</v>
      </c>
      <c r="O154" s="81"/>
      <c r="P154" s="88">
        <f>P152*P129/P130</f>
        <v>1.4256169525006197</v>
      </c>
      <c r="Q154" s="88"/>
      <c r="R154" s="88">
        <f>R152*R129/R130</f>
        <v>13.233139804815879</v>
      </c>
    </row>
    <row r="155" spans="1:18" x14ac:dyDescent="0.35">
      <c r="D155" s="98"/>
      <c r="E155" s="81"/>
      <c r="F155" s="81"/>
      <c r="G155" s="100"/>
      <c r="H155" s="81"/>
      <c r="I155" s="100"/>
      <c r="J155" s="81"/>
      <c r="K155" s="81"/>
      <c r="L155" s="100"/>
      <c r="M155" s="81"/>
      <c r="N155" s="100"/>
    </row>
    <row r="157" spans="1:18" x14ac:dyDescent="0.35">
      <c r="A157" s="81" t="s">
        <v>45</v>
      </c>
      <c r="B157" s="81"/>
      <c r="C157" s="81"/>
      <c r="D157" s="81"/>
      <c r="E157" s="81"/>
      <c r="F157" s="81"/>
      <c r="G157" s="85"/>
      <c r="H157" s="85"/>
      <c r="I157" s="85"/>
      <c r="J157" s="85"/>
      <c r="K157" s="85"/>
      <c r="L157" s="85"/>
      <c r="M157" s="85"/>
      <c r="N157" s="85"/>
      <c r="O157" s="85"/>
      <c r="P157" s="81"/>
    </row>
    <row r="158" spans="1:18" x14ac:dyDescent="0.35">
      <c r="A158" s="81"/>
      <c r="B158" s="81"/>
      <c r="C158" s="81"/>
      <c r="D158" s="81"/>
      <c r="E158" s="81"/>
      <c r="F158" s="81"/>
      <c r="G158" s="85"/>
      <c r="H158" s="85"/>
      <c r="I158" s="85"/>
      <c r="J158" s="85"/>
      <c r="K158" s="85"/>
      <c r="L158" s="85"/>
      <c r="M158" s="85"/>
      <c r="N158" s="85"/>
      <c r="O158" s="85"/>
      <c r="P158" s="81"/>
    </row>
    <row r="159" spans="1:18" x14ac:dyDescent="0.35">
      <c r="A159" s="81" t="s">
        <v>47</v>
      </c>
      <c r="B159" s="81"/>
      <c r="C159" s="81"/>
      <c r="D159" s="81"/>
      <c r="E159" s="81"/>
      <c r="F159" s="81"/>
      <c r="G159" s="81"/>
      <c r="H159" s="81"/>
      <c r="I159" s="81"/>
      <c r="J159" s="81"/>
      <c r="K159" s="81"/>
      <c r="L159" s="81"/>
      <c r="M159" s="81"/>
      <c r="N159" s="81"/>
      <c r="O159" s="81"/>
      <c r="P159" s="81"/>
    </row>
    <row r="160" spans="1:18" x14ac:dyDescent="0.35">
      <c r="A160" s="81"/>
      <c r="B160" s="81"/>
      <c r="C160" s="81"/>
      <c r="D160" s="81"/>
      <c r="E160" s="81"/>
      <c r="F160" s="81"/>
      <c r="G160" s="81"/>
      <c r="H160" s="81"/>
      <c r="I160" s="81"/>
      <c r="J160" s="81"/>
      <c r="K160" s="81"/>
      <c r="L160" s="81"/>
      <c r="M160" s="81"/>
      <c r="N160" s="81"/>
      <c r="O160" s="81"/>
      <c r="P160" s="81"/>
    </row>
    <row r="161" spans="1:16" s="81" customFormat="1" x14ac:dyDescent="0.35">
      <c r="A161" s="81" t="s">
        <v>106</v>
      </c>
    </row>
    <row r="162" spans="1:16" x14ac:dyDescent="0.35">
      <c r="A162" s="81"/>
      <c r="B162" s="81"/>
      <c r="C162" s="81"/>
      <c r="D162" s="81"/>
      <c r="E162" s="81"/>
      <c r="F162" s="81"/>
      <c r="G162" s="81"/>
      <c r="H162" s="81"/>
      <c r="I162" s="81"/>
      <c r="J162" s="81"/>
      <c r="K162" s="81"/>
      <c r="L162" s="81"/>
      <c r="M162" s="81"/>
      <c r="N162" s="81"/>
      <c r="O162" s="81"/>
      <c r="P162" s="81"/>
    </row>
    <row r="163" spans="1:16" x14ac:dyDescent="0.35">
      <c r="A163" s="81"/>
      <c r="B163" s="81"/>
      <c r="C163" s="81"/>
      <c r="D163" s="81"/>
      <c r="E163" s="81"/>
      <c r="F163" s="81"/>
      <c r="G163" s="85" t="s">
        <v>73</v>
      </c>
      <c r="H163" s="85"/>
      <c r="I163" s="85"/>
      <c r="J163" s="85"/>
      <c r="K163" s="85"/>
      <c r="L163" s="85" t="s">
        <v>75</v>
      </c>
      <c r="M163" s="85"/>
      <c r="N163" s="85"/>
      <c r="O163" s="85"/>
      <c r="P163" s="81"/>
    </row>
    <row r="164" spans="1:16" x14ac:dyDescent="0.35">
      <c r="A164" s="81"/>
      <c r="B164" s="81"/>
      <c r="C164" s="81"/>
      <c r="D164" s="81"/>
      <c r="E164" s="81"/>
      <c r="F164" s="81"/>
      <c r="G164" s="85" t="s">
        <v>74</v>
      </c>
      <c r="H164" s="85"/>
      <c r="I164" s="85" t="s">
        <v>72</v>
      </c>
      <c r="J164" s="85"/>
      <c r="K164" s="85"/>
      <c r="L164" s="85" t="s">
        <v>74</v>
      </c>
      <c r="M164" s="85"/>
      <c r="N164" s="85" t="s">
        <v>72</v>
      </c>
      <c r="O164" s="85"/>
      <c r="P164" s="81"/>
    </row>
    <row r="165" spans="1:16" x14ac:dyDescent="0.35">
      <c r="A165" s="81" t="s">
        <v>38</v>
      </c>
      <c r="B165" s="81"/>
      <c r="C165" s="81"/>
      <c r="D165" s="81"/>
      <c r="E165" s="81"/>
      <c r="F165" s="81"/>
      <c r="G165" s="81"/>
      <c r="H165" s="81"/>
      <c r="I165" s="81"/>
      <c r="J165" s="81"/>
      <c r="K165" s="81"/>
      <c r="L165" s="81"/>
      <c r="M165" s="81"/>
      <c r="N165" s="81"/>
      <c r="O165" s="81"/>
      <c r="P165" s="81"/>
    </row>
    <row r="166" spans="1:16" s="81" customFormat="1" x14ac:dyDescent="0.35">
      <c r="A166" s="81" t="s">
        <v>101</v>
      </c>
      <c r="G166" s="100">
        <f>10*G36</f>
        <v>40.202802362724242</v>
      </c>
      <c r="H166" s="100"/>
      <c r="I166" s="100">
        <f>10*I36</f>
        <v>17.356879469923005</v>
      </c>
      <c r="J166" s="100"/>
      <c r="K166" s="100"/>
      <c r="L166" s="100">
        <f>10*L36</f>
        <v>171.49013949435474</v>
      </c>
      <c r="N166" s="100">
        <f>10*N36</f>
        <v>53.856144896683332</v>
      </c>
    </row>
    <row r="167" spans="1:16" s="81" customFormat="1" x14ac:dyDescent="0.35">
      <c r="A167" s="81" t="s">
        <v>107</v>
      </c>
      <c r="G167" s="100">
        <f>10*G46</f>
        <v>129.76124038937402</v>
      </c>
      <c r="H167" s="100"/>
      <c r="I167" s="100">
        <f>10*I46</f>
        <v>48.227781252489947</v>
      </c>
      <c r="J167" s="100"/>
      <c r="K167" s="100"/>
      <c r="L167" s="100">
        <f>10*L46</f>
        <v>189.57083069464505</v>
      </c>
      <c r="N167" s="100">
        <f>10*N46</f>
        <v>70.574474495447831</v>
      </c>
    </row>
    <row r="168" spans="1:16" s="81" customFormat="1" x14ac:dyDescent="0.35">
      <c r="A168" s="81" t="s">
        <v>108</v>
      </c>
      <c r="D168" s="100"/>
      <c r="G168" s="100">
        <f>10*G43</f>
        <v>55.076502774389951</v>
      </c>
      <c r="H168" s="100"/>
      <c r="I168" s="100">
        <f>10*I43</f>
        <v>19.054870202797328</v>
      </c>
      <c r="J168" s="100"/>
      <c r="K168" s="100"/>
      <c r="L168" s="100">
        <f>10*L43</f>
        <v>12.693597862097569</v>
      </c>
      <c r="N168" s="100">
        <f>10*N43</f>
        <v>4.4452758595204669</v>
      </c>
    </row>
    <row r="169" spans="1:16" s="81" customFormat="1" x14ac:dyDescent="0.35">
      <c r="A169" s="81" t="s">
        <v>109</v>
      </c>
      <c r="G169" s="100">
        <f>10*G44</f>
        <v>32.633024933663307</v>
      </c>
      <c r="H169" s="100"/>
      <c r="I169" s="100">
        <f>10*I44</f>
        <v>9.3139280034231913</v>
      </c>
      <c r="J169" s="100"/>
      <c r="K169" s="100"/>
      <c r="L169" s="100">
        <f>10*L44</f>
        <v>77.845993601814996</v>
      </c>
      <c r="N169" s="100">
        <f>10*N44</f>
        <v>19.866155284916747</v>
      </c>
    </row>
    <row r="170" spans="1:16" s="81" customFormat="1" x14ac:dyDescent="0.35">
      <c r="A170" s="81" t="s">
        <v>110</v>
      </c>
      <c r="G170" s="100">
        <f>10*G45</f>
        <v>42.051712681320758</v>
      </c>
      <c r="H170" s="100"/>
      <c r="I170" s="100">
        <f>10*I45</f>
        <v>19.858982208479116</v>
      </c>
      <c r="J170" s="100"/>
      <c r="K170" s="100"/>
      <c r="L170" s="100">
        <f>10*L45</f>
        <v>99.03123923073251</v>
      </c>
      <c r="N170" s="100">
        <f>10*N45</f>
        <v>46.263042454827435</v>
      </c>
    </row>
    <row r="171" spans="1:16" x14ac:dyDescent="0.35">
      <c r="A171" s="81" t="s">
        <v>39</v>
      </c>
      <c r="B171" s="81"/>
      <c r="C171" s="81"/>
      <c r="D171" s="81"/>
      <c r="E171" s="81"/>
      <c r="F171" s="81"/>
      <c r="G171" s="100"/>
      <c r="H171" s="100"/>
      <c r="I171" s="100"/>
      <c r="J171" s="100"/>
      <c r="K171" s="100"/>
      <c r="L171" s="100"/>
      <c r="M171" s="81"/>
      <c r="N171" s="81"/>
      <c r="O171" s="81"/>
      <c r="P171" s="81"/>
    </row>
    <row r="172" spans="1:16" x14ac:dyDescent="0.35">
      <c r="A172" s="81" t="s">
        <v>103</v>
      </c>
      <c r="B172" s="81"/>
      <c r="C172" s="81"/>
      <c r="D172" s="81"/>
      <c r="E172" s="81"/>
      <c r="F172" s="104"/>
      <c r="G172" s="100">
        <f>10*G38</f>
        <v>329.87131859472464</v>
      </c>
      <c r="H172" s="100"/>
      <c r="I172" s="100">
        <f>10*I38</f>
        <v>880.71341583956848</v>
      </c>
      <c r="J172" s="100"/>
      <c r="K172" s="100"/>
      <c r="L172" s="100">
        <f>10*L38</f>
        <v>234.29508463739637</v>
      </c>
      <c r="M172" s="81"/>
      <c r="N172" s="100">
        <f>10*N38</f>
        <v>809.00758267445394</v>
      </c>
      <c r="O172" s="81"/>
      <c r="P172" s="81"/>
    </row>
    <row r="173" spans="1:16" x14ac:dyDescent="0.35">
      <c r="A173" s="81" t="s">
        <v>144</v>
      </c>
      <c r="B173" s="81"/>
      <c r="C173" s="81"/>
      <c r="D173" s="81"/>
      <c r="E173" s="81"/>
      <c r="F173" s="104"/>
      <c r="G173" s="100"/>
      <c r="H173" s="100"/>
      <c r="I173" s="100">
        <f>I54*I58*I172</f>
        <v>301.4705404190945</v>
      </c>
      <c r="J173" s="100"/>
      <c r="K173" s="100"/>
      <c r="L173" s="100"/>
      <c r="M173" s="81"/>
      <c r="N173" s="100">
        <f>N54*N58*N172</f>
        <v>54.593704622471918</v>
      </c>
      <c r="O173" s="81"/>
      <c r="P173" s="81"/>
    </row>
    <row r="174" spans="1:16" x14ac:dyDescent="0.35">
      <c r="A174" s="81" t="s">
        <v>145</v>
      </c>
      <c r="B174" s="81"/>
      <c r="C174" s="81"/>
      <c r="D174" s="81"/>
      <c r="E174" s="81"/>
      <c r="F174" s="104"/>
      <c r="G174" s="100"/>
      <c r="H174" s="100"/>
      <c r="I174" s="100">
        <f>I54*I61*I172</f>
        <v>256.80823813478418</v>
      </c>
      <c r="J174" s="100"/>
      <c r="K174" s="100"/>
      <c r="L174" s="100"/>
      <c r="M174" s="81"/>
      <c r="N174" s="100">
        <f>N54*N61*N172</f>
        <v>309.36432619400756</v>
      </c>
      <c r="O174" s="81"/>
      <c r="P174" s="81"/>
    </row>
    <row r="175" spans="1:16" x14ac:dyDescent="0.35">
      <c r="A175" s="81" t="s">
        <v>22</v>
      </c>
      <c r="B175" s="81"/>
      <c r="C175" s="81"/>
      <c r="D175" s="81"/>
      <c r="E175" s="81"/>
      <c r="F175" s="104"/>
      <c r="G175" s="100"/>
      <c r="H175" s="100"/>
      <c r="I175" s="100">
        <f>I172*I52</f>
        <v>322.4346372856898</v>
      </c>
      <c r="J175" s="100"/>
      <c r="K175" s="100"/>
      <c r="L175" s="100"/>
      <c r="M175" s="81"/>
      <c r="N175" s="100">
        <f>N52*N172</f>
        <v>445.04955185797445</v>
      </c>
      <c r="O175" s="81"/>
      <c r="P175" s="81"/>
    </row>
    <row r="176" spans="1:16" x14ac:dyDescent="0.35">
      <c r="A176" s="81" t="s">
        <v>33</v>
      </c>
      <c r="B176" s="81"/>
      <c r="C176" s="81"/>
      <c r="D176" s="81"/>
      <c r="E176" s="81"/>
      <c r="F176" s="104"/>
      <c r="G176" s="100">
        <f>10*G37</f>
        <v>500.16463865317701</v>
      </c>
      <c r="H176" s="100"/>
      <c r="I176" s="100">
        <f>10*I37</f>
        <v>53.701924275809183</v>
      </c>
      <c r="J176" s="100"/>
      <c r="K176" s="100"/>
      <c r="L176" s="100">
        <f>10*L37</f>
        <v>404.6439451736041</v>
      </c>
      <c r="M176" s="81"/>
      <c r="N176" s="100">
        <f>10*N37</f>
        <v>66.561797037231813</v>
      </c>
      <c r="O176" s="81"/>
      <c r="P176" s="81"/>
    </row>
    <row r="177" spans="1:37" x14ac:dyDescent="0.35">
      <c r="A177" s="81" t="s">
        <v>144</v>
      </c>
      <c r="B177" s="81"/>
      <c r="C177" s="81"/>
      <c r="D177" s="81"/>
      <c r="E177" s="81"/>
      <c r="F177" s="104"/>
      <c r="G177" s="100">
        <f>G54*G58*G176</f>
        <v>117.63204341911008</v>
      </c>
      <c r="H177" s="100"/>
      <c r="I177" s="100"/>
      <c r="J177" s="100"/>
      <c r="K177" s="100"/>
      <c r="L177" s="100">
        <f>L54*L58*L176</f>
        <v>9.2654355703224081</v>
      </c>
      <c r="M177" s="81"/>
      <c r="N177" s="81"/>
      <c r="O177" s="81"/>
      <c r="P177" s="81"/>
    </row>
    <row r="178" spans="1:37" x14ac:dyDescent="0.35">
      <c r="A178" s="81" t="s">
        <v>145</v>
      </c>
      <c r="B178" s="81"/>
      <c r="C178" s="81"/>
      <c r="D178" s="81"/>
      <c r="E178" s="81"/>
      <c r="F178" s="104"/>
      <c r="G178" s="100">
        <f>G54*G61*G176</f>
        <v>200.29239825416039</v>
      </c>
      <c r="H178" s="100"/>
      <c r="I178" s="100"/>
      <c r="J178" s="100"/>
      <c r="K178" s="100"/>
      <c r="L178" s="100">
        <f>L54*L61*L176</f>
        <v>145.15849060171772</v>
      </c>
      <c r="M178" s="81"/>
      <c r="N178" s="81"/>
      <c r="O178" s="81"/>
      <c r="P178" s="81"/>
    </row>
    <row r="179" spans="1:37" x14ac:dyDescent="0.35">
      <c r="A179" s="81" t="s">
        <v>22</v>
      </c>
      <c r="B179" s="81"/>
      <c r="C179" s="81"/>
      <c r="D179" s="81"/>
      <c r="E179" s="81"/>
      <c r="F179" s="104"/>
      <c r="G179" s="100">
        <f>G52*G176</f>
        <v>182.24019697990656</v>
      </c>
      <c r="H179" s="100"/>
      <c r="I179" s="100"/>
      <c r="J179" s="100"/>
      <c r="K179" s="100"/>
      <c r="L179" s="100">
        <f>L52*L176</f>
        <v>250.22001900156397</v>
      </c>
      <c r="M179" s="88"/>
      <c r="N179" s="81"/>
      <c r="O179" s="81"/>
      <c r="P179" s="81"/>
    </row>
    <row r="180" spans="1:37" x14ac:dyDescent="0.35">
      <c r="A180" s="81" t="s">
        <v>40</v>
      </c>
      <c r="B180" s="81"/>
      <c r="C180" s="81"/>
      <c r="D180" s="81"/>
      <c r="E180" s="81"/>
      <c r="F180" s="81"/>
      <c r="G180" s="100">
        <v>1000</v>
      </c>
      <c r="H180" s="81"/>
      <c r="I180" s="100">
        <v>1000</v>
      </c>
      <c r="J180" s="100"/>
      <c r="K180" s="100"/>
      <c r="L180" s="100">
        <v>1000</v>
      </c>
      <c r="M180" s="81"/>
      <c r="N180" s="100">
        <v>1000</v>
      </c>
      <c r="O180" s="81"/>
      <c r="P180" s="81"/>
      <c r="Q180" s="81"/>
      <c r="R180" s="81"/>
      <c r="S180" s="81"/>
      <c r="T180" s="81"/>
      <c r="U180" s="81"/>
      <c r="V180" s="81"/>
    </row>
    <row r="181" spans="1:37" x14ac:dyDescent="0.35">
      <c r="A181" s="81"/>
      <c r="B181" s="81"/>
      <c r="C181" s="81"/>
      <c r="D181" s="81"/>
      <c r="E181" s="81"/>
      <c r="F181" s="81"/>
      <c r="G181" s="100">
        <f>G166+G167+G172+G177+G178+G179</f>
        <v>1000</v>
      </c>
      <c r="H181" s="116" t="s">
        <v>63</v>
      </c>
      <c r="I181" s="116">
        <f>I166+I167+I173+I174+I175+I176</f>
        <v>1000.0000008377906</v>
      </c>
      <c r="J181" s="116"/>
      <c r="K181" s="116"/>
      <c r="L181" s="100">
        <f>L166+L167+L172+L177+L178+L179</f>
        <v>1000.0000000000003</v>
      </c>
      <c r="M181" s="87" t="s">
        <v>63</v>
      </c>
      <c r="N181" s="116">
        <f>N166+N167+N173+N174+N175+N176</f>
        <v>999.99999910381689</v>
      </c>
      <c r="O181" s="81"/>
      <c r="P181" s="81"/>
    </row>
    <row r="182" spans="1:37" x14ac:dyDescent="0.35">
      <c r="A182" s="81"/>
      <c r="B182" s="81"/>
      <c r="C182" s="81"/>
      <c r="D182" s="81"/>
      <c r="E182" s="81"/>
      <c r="F182" s="81"/>
      <c r="G182" s="100"/>
      <c r="H182" s="100"/>
      <c r="I182" s="100"/>
      <c r="J182" s="100"/>
      <c r="K182" s="100"/>
      <c r="L182" s="100"/>
      <c r="M182" s="81"/>
      <c r="N182" s="81"/>
      <c r="O182" s="81"/>
      <c r="P182" s="81"/>
    </row>
    <row r="183" spans="1:37" x14ac:dyDescent="0.35">
      <c r="A183" s="81" t="s">
        <v>46</v>
      </c>
      <c r="B183" s="81"/>
      <c r="C183" s="81"/>
      <c r="D183" s="81"/>
      <c r="E183" s="81"/>
      <c r="F183" s="81"/>
      <c r="G183" s="100"/>
      <c r="H183" s="100"/>
      <c r="I183" s="100"/>
      <c r="J183" s="100"/>
      <c r="K183" s="100"/>
      <c r="L183" s="100"/>
      <c r="M183" s="81"/>
      <c r="N183" s="81"/>
      <c r="O183" s="81"/>
      <c r="P183" s="81"/>
    </row>
    <row r="184" spans="1:37" x14ac:dyDescent="0.35">
      <c r="A184" s="81" t="s">
        <v>146</v>
      </c>
      <c r="B184" s="81"/>
      <c r="C184" s="81"/>
      <c r="D184" s="81"/>
      <c r="E184" s="81"/>
      <c r="F184" s="81"/>
      <c r="G184" s="100">
        <f>G104</f>
        <v>56.159128676370941</v>
      </c>
      <c r="H184" s="100"/>
      <c r="I184" s="100">
        <f>I104</f>
        <v>55.138475603686032</v>
      </c>
      <c r="J184" s="100"/>
      <c r="K184" s="100"/>
      <c r="L184" s="100">
        <f>L104</f>
        <v>7.3568814667342686</v>
      </c>
      <c r="M184" s="81"/>
      <c r="N184" s="100">
        <f>N104</f>
        <v>9.8454772428102064</v>
      </c>
      <c r="O184" s="81"/>
      <c r="P184" s="81"/>
    </row>
    <row r="185" spans="1:37" x14ac:dyDescent="0.35">
      <c r="A185" s="81" t="s">
        <v>150</v>
      </c>
      <c r="B185" s="81"/>
      <c r="C185" s="81"/>
      <c r="D185" s="81"/>
      <c r="E185" s="81"/>
      <c r="F185" s="81"/>
      <c r="G185" s="117">
        <v>100</v>
      </c>
      <c r="H185" s="100"/>
      <c r="I185" s="117">
        <v>100</v>
      </c>
      <c r="J185" s="100"/>
      <c r="K185" s="100"/>
      <c r="L185" s="117">
        <v>50</v>
      </c>
      <c r="M185" s="81"/>
      <c r="N185" s="117">
        <v>50</v>
      </c>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row>
    <row r="186" spans="1:37" x14ac:dyDescent="0.35">
      <c r="A186" s="81" t="s">
        <v>26</v>
      </c>
      <c r="B186" s="81"/>
      <c r="C186" s="81"/>
      <c r="D186" s="81"/>
      <c r="E186" s="81"/>
      <c r="F186" s="81"/>
      <c r="G186" s="100">
        <f>G184/G185*100</f>
        <v>56.159128676370941</v>
      </c>
      <c r="H186" s="100"/>
      <c r="I186" s="100">
        <f>I184/I185*100</f>
        <v>55.138475603686032</v>
      </c>
      <c r="J186" s="100"/>
      <c r="K186" s="100"/>
      <c r="L186" s="100">
        <f>L184/L185*100</f>
        <v>14.713762933468539</v>
      </c>
      <c r="M186" s="81"/>
      <c r="N186" s="100">
        <f>N184/N185*100</f>
        <v>19.690954485620413</v>
      </c>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row>
    <row r="187" spans="1:37" x14ac:dyDescent="0.35">
      <c r="A187" s="81" t="s">
        <v>147</v>
      </c>
      <c r="B187" s="81"/>
      <c r="C187" s="81"/>
      <c r="D187" s="81"/>
      <c r="E187" s="81"/>
      <c r="F187" s="81"/>
      <c r="G187" s="100">
        <f>G107</f>
        <v>29.914924289410539</v>
      </c>
      <c r="H187" s="100"/>
      <c r="I187" s="100">
        <f>I107</f>
        <v>28.056915408168489</v>
      </c>
      <c r="J187" s="100"/>
      <c r="K187" s="100"/>
      <c r="L187" s="100">
        <f>L107</f>
        <v>4.6870103504358331</v>
      </c>
      <c r="M187" s="81"/>
      <c r="N187" s="100">
        <f>N107</f>
        <v>4.1311272170414544</v>
      </c>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row>
    <row r="188" spans="1:37" x14ac:dyDescent="0.35">
      <c r="A188" s="81" t="s">
        <v>20</v>
      </c>
      <c r="B188" s="81"/>
      <c r="C188" s="81"/>
      <c r="D188" s="81"/>
      <c r="E188" s="81"/>
      <c r="F188" s="81"/>
      <c r="G188" s="117">
        <v>100</v>
      </c>
      <c r="H188" s="100"/>
      <c r="I188" s="117">
        <v>100</v>
      </c>
      <c r="J188" s="100"/>
      <c r="K188" s="100"/>
      <c r="L188" s="117">
        <v>60</v>
      </c>
      <c r="M188" s="81"/>
      <c r="N188" s="117">
        <v>60</v>
      </c>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row>
    <row r="189" spans="1:37" x14ac:dyDescent="0.35">
      <c r="A189" s="81" t="s">
        <v>23</v>
      </c>
      <c r="B189" s="81"/>
      <c r="C189" s="81"/>
      <c r="D189" s="81"/>
      <c r="E189" s="81"/>
      <c r="F189" s="81"/>
      <c r="G189" s="100">
        <f>100*G86</f>
        <v>26.99388753056235</v>
      </c>
      <c r="H189" s="100"/>
      <c r="I189" s="100">
        <f>100*I86</f>
        <v>13.810513447432763</v>
      </c>
      <c r="J189" s="100"/>
      <c r="K189" s="100"/>
      <c r="L189" s="100">
        <f>100*L86</f>
        <v>47.60986066452304</v>
      </c>
      <c r="M189" s="81"/>
      <c r="N189" s="100">
        <f>100*N86</f>
        <v>29.060021436227224</v>
      </c>
      <c r="O189" s="81"/>
      <c r="P189" s="81"/>
    </row>
    <row r="190" spans="1:37" x14ac:dyDescent="0.35">
      <c r="A190" s="81" t="s">
        <v>25</v>
      </c>
      <c r="B190" s="81"/>
      <c r="C190" s="81"/>
      <c r="D190" s="81"/>
      <c r="E190" s="81"/>
      <c r="F190" s="81"/>
      <c r="G190" s="100">
        <f>G188*G189/100</f>
        <v>26.99388753056235</v>
      </c>
      <c r="H190" s="100"/>
      <c r="I190" s="100">
        <f>I188*I189/100</f>
        <v>13.810513447432763</v>
      </c>
      <c r="J190" s="100"/>
      <c r="K190" s="100"/>
      <c r="L190" s="100">
        <f>L188*L189/100</f>
        <v>28.565916398713824</v>
      </c>
      <c r="M190" s="81"/>
      <c r="N190" s="100">
        <f>N188*N189/100</f>
        <v>17.436012861736334</v>
      </c>
      <c r="O190" s="81"/>
      <c r="P190" s="81"/>
    </row>
    <row r="191" spans="1:37" x14ac:dyDescent="0.35">
      <c r="A191" s="81"/>
      <c r="B191" s="81"/>
      <c r="C191" s="81"/>
      <c r="D191" s="81"/>
      <c r="E191" s="81"/>
      <c r="F191" s="81"/>
      <c r="G191" s="100"/>
      <c r="H191" s="100"/>
      <c r="I191" s="100"/>
      <c r="J191" s="100"/>
      <c r="K191" s="100"/>
      <c r="L191" s="100"/>
      <c r="M191" s="81"/>
      <c r="N191" s="81"/>
      <c r="O191" s="81"/>
      <c r="P191" s="81"/>
    </row>
    <row r="192" spans="1:37" x14ac:dyDescent="0.35">
      <c r="A192" s="81" t="s">
        <v>293</v>
      </c>
      <c r="B192" s="81"/>
      <c r="C192" s="81"/>
      <c r="D192" s="81"/>
      <c r="E192" s="81"/>
      <c r="F192" s="81"/>
      <c r="G192" s="100"/>
      <c r="H192" s="100"/>
      <c r="I192" s="100"/>
      <c r="J192" s="100"/>
      <c r="K192" s="100"/>
      <c r="L192" s="100"/>
      <c r="M192" s="81"/>
      <c r="N192" s="81"/>
      <c r="O192" s="81"/>
      <c r="P192" s="81"/>
    </row>
    <row r="193" spans="1:16" x14ac:dyDescent="0.35">
      <c r="A193" s="81" t="s">
        <v>111</v>
      </c>
      <c r="B193" s="81"/>
      <c r="C193" s="81"/>
      <c r="D193" s="81"/>
      <c r="E193" s="81"/>
      <c r="F193" s="81"/>
      <c r="G193" s="100"/>
      <c r="H193" s="100"/>
      <c r="I193" s="100"/>
      <c r="J193" s="100"/>
      <c r="K193" s="100"/>
      <c r="L193" s="100"/>
      <c r="M193" s="81"/>
      <c r="N193" s="81"/>
      <c r="O193" s="81"/>
      <c r="P193" s="81"/>
    </row>
    <row r="194" spans="1:16" x14ac:dyDescent="0.35">
      <c r="A194" s="81" t="s">
        <v>24</v>
      </c>
      <c r="B194" s="81"/>
      <c r="C194" s="81"/>
      <c r="D194" s="81"/>
      <c r="E194" s="81"/>
      <c r="F194" s="81"/>
      <c r="G194" s="100">
        <f>G195+G196</f>
        <v>8.7900206393679241</v>
      </c>
      <c r="H194" s="100"/>
      <c r="I194" s="100">
        <f>I195+I196</f>
        <v>14.620634088636651</v>
      </c>
      <c r="J194" s="100"/>
      <c r="K194" s="100"/>
      <c r="L194" s="100">
        <f>L195+L196</f>
        <v>32.22980412130832</v>
      </c>
      <c r="M194" s="81"/>
      <c r="N194" s="100">
        <f>N195+N196</f>
        <v>80.431231702880666</v>
      </c>
      <c r="O194" s="81"/>
      <c r="P194" s="81"/>
    </row>
    <row r="195" spans="1:16" x14ac:dyDescent="0.35">
      <c r="A195" s="81" t="s">
        <v>270</v>
      </c>
      <c r="B195" s="81"/>
      <c r="C195" s="81"/>
      <c r="D195" s="81"/>
      <c r="E195" s="81"/>
      <c r="F195" s="81"/>
      <c r="G195" s="100">
        <f>G177/G184</f>
        <v>2.0946201657969095</v>
      </c>
      <c r="H195" s="100"/>
      <c r="I195" s="100">
        <f>I173/I184</f>
        <v>5.4675167769589379</v>
      </c>
      <c r="J195" s="100"/>
      <c r="K195" s="100"/>
      <c r="L195" s="100">
        <f>L177/L184</f>
        <v>1.2594243379097625</v>
      </c>
      <c r="M195" s="118"/>
      <c r="N195" s="100">
        <f>N173/N184</f>
        <v>5.5450541681298091</v>
      </c>
      <c r="O195" s="81"/>
      <c r="P195" s="81"/>
    </row>
    <row r="196" spans="1:16" x14ac:dyDescent="0.35">
      <c r="A196" s="81" t="s">
        <v>271</v>
      </c>
      <c r="B196" s="81"/>
      <c r="C196" s="81"/>
      <c r="D196" s="81"/>
      <c r="E196" s="81"/>
      <c r="F196" s="81"/>
      <c r="G196" s="100">
        <f>G178/G187</f>
        <v>6.6954004735710155</v>
      </c>
      <c r="H196" s="100"/>
      <c r="I196" s="100">
        <f>I174/I187</f>
        <v>9.1531173116777129</v>
      </c>
      <c r="J196" s="100"/>
      <c r="K196" s="100"/>
      <c r="L196" s="100">
        <f>L178/L187</f>
        <v>30.970379783398556</v>
      </c>
      <c r="M196" s="81"/>
      <c r="N196" s="100">
        <f>N174/N187</f>
        <v>74.886177534750857</v>
      </c>
      <c r="O196" s="81"/>
      <c r="P196" s="81"/>
    </row>
    <row r="197" spans="1:16" x14ac:dyDescent="0.35">
      <c r="A197" s="81" t="s">
        <v>27</v>
      </c>
      <c r="B197" s="81"/>
      <c r="C197" s="81"/>
      <c r="D197" s="81"/>
      <c r="E197" s="81"/>
      <c r="F197" s="81"/>
      <c r="G197" s="100">
        <f>(G177/G186)</f>
        <v>2.0946201657969095</v>
      </c>
      <c r="H197" s="100"/>
      <c r="I197" s="100">
        <f>I173/I186</f>
        <v>5.4675167769589379</v>
      </c>
      <c r="J197" s="100"/>
      <c r="K197" s="100"/>
      <c r="L197" s="100">
        <f>L177/L186</f>
        <v>0.62971216895488114</v>
      </c>
      <c r="M197" s="81"/>
      <c r="N197" s="100">
        <f>N173/N186</f>
        <v>2.7725270840649046</v>
      </c>
      <c r="O197" s="81"/>
      <c r="P197" s="81"/>
    </row>
    <row r="198" spans="1:16" x14ac:dyDescent="0.35">
      <c r="A198" s="81" t="s">
        <v>19</v>
      </c>
      <c r="B198" s="81"/>
      <c r="C198" s="81"/>
      <c r="D198" s="81"/>
      <c r="E198" s="81"/>
      <c r="F198" s="81"/>
      <c r="G198" s="100">
        <f>G179/(G188*G189/100)</f>
        <v>6.7511653063522283</v>
      </c>
      <c r="H198" s="100"/>
      <c r="I198" s="100">
        <f>I175/(I188*I189/100)</f>
        <v>23.347041984570616</v>
      </c>
      <c r="J198" s="100"/>
      <c r="K198" s="100"/>
      <c r="L198" s="100">
        <f>L179/(L188*L189/100)</f>
        <v>8.759390579636019</v>
      </c>
      <c r="M198" s="81"/>
      <c r="N198" s="100">
        <f>N175/(N188*N189/100)</f>
        <v>25.52473179431086</v>
      </c>
      <c r="O198" s="81"/>
      <c r="P198" s="81"/>
    </row>
    <row r="199" spans="1:16" x14ac:dyDescent="0.35">
      <c r="A199" s="81" t="s">
        <v>112</v>
      </c>
      <c r="B199" s="81"/>
      <c r="C199" s="81"/>
      <c r="D199" s="81"/>
      <c r="E199" s="81"/>
      <c r="F199" s="81"/>
      <c r="G199" s="100">
        <f>G179/G189</f>
        <v>6.7511653063522283</v>
      </c>
      <c r="H199" s="100"/>
      <c r="I199" s="100">
        <f>I175/I189</f>
        <v>23.347041984570616</v>
      </c>
      <c r="J199" s="100"/>
      <c r="K199" s="100"/>
      <c r="L199" s="100">
        <f>L179/L189</f>
        <v>5.2556343477816121</v>
      </c>
      <c r="M199" s="81"/>
      <c r="N199" s="100">
        <f>N175/N189</f>
        <v>15.314839076586514</v>
      </c>
      <c r="O199" s="81"/>
      <c r="P199" s="81"/>
    </row>
    <row r="200" spans="1:16" x14ac:dyDescent="0.35">
      <c r="A200" s="81"/>
      <c r="B200" s="81"/>
      <c r="C200" s="81"/>
      <c r="D200" s="81"/>
      <c r="E200" s="81"/>
      <c r="F200" s="81"/>
      <c r="G200" s="81"/>
      <c r="H200" s="81"/>
      <c r="I200" s="81"/>
      <c r="J200" s="81"/>
      <c r="K200" s="81"/>
      <c r="L200" s="81"/>
      <c r="M200" s="81"/>
      <c r="N200" s="81"/>
      <c r="O200" s="81"/>
      <c r="P200" s="81"/>
    </row>
    <row r="201" spans="1:16" x14ac:dyDescent="0.35">
      <c r="A201" s="81" t="s">
        <v>174</v>
      </c>
      <c r="B201" s="81"/>
      <c r="C201" s="81"/>
      <c r="D201" s="81"/>
      <c r="E201" s="81"/>
      <c r="F201" s="81"/>
      <c r="G201" s="81"/>
      <c r="H201" s="81"/>
      <c r="I201" s="81"/>
      <c r="J201" s="81"/>
      <c r="K201" s="81"/>
      <c r="L201" s="81"/>
      <c r="M201" s="81"/>
      <c r="N201" s="81"/>
      <c r="O201" s="81"/>
      <c r="P201" s="81"/>
    </row>
    <row r="202" spans="1:16" x14ac:dyDescent="0.35">
      <c r="A202" s="81" t="s">
        <v>11</v>
      </c>
      <c r="B202" s="81"/>
      <c r="C202" s="81"/>
      <c r="D202" s="81"/>
      <c r="E202" s="81"/>
      <c r="F202" s="81"/>
      <c r="G202" s="81"/>
      <c r="H202" s="81"/>
      <c r="I202" s="81"/>
      <c r="J202" s="81"/>
      <c r="K202" s="81"/>
      <c r="L202" s="81"/>
      <c r="M202" s="81"/>
      <c r="N202" s="81"/>
      <c r="O202" s="81"/>
      <c r="P202" s="81"/>
    </row>
    <row r="203" spans="1:16" x14ac:dyDescent="0.35">
      <c r="A203" s="81" t="s">
        <v>4</v>
      </c>
      <c r="B203" s="81"/>
      <c r="C203" s="81"/>
      <c r="D203" s="81"/>
      <c r="E203" s="84">
        <v>0.1</v>
      </c>
      <c r="F203" s="81"/>
      <c r="G203" s="81">
        <f>E203</f>
        <v>0.1</v>
      </c>
      <c r="H203" s="81"/>
      <c r="I203" s="81">
        <f>E203</f>
        <v>0.1</v>
      </c>
      <c r="J203" s="81"/>
      <c r="K203" s="81"/>
      <c r="L203" s="81">
        <f>E203</f>
        <v>0.1</v>
      </c>
      <c r="M203" s="81"/>
      <c r="N203" s="81">
        <f>E203</f>
        <v>0.1</v>
      </c>
      <c r="O203" s="81"/>
      <c r="P203" s="81"/>
    </row>
    <row r="204" spans="1:16" x14ac:dyDescent="0.35">
      <c r="A204" s="81" t="s">
        <v>151</v>
      </c>
      <c r="B204" s="81"/>
      <c r="C204" s="81"/>
      <c r="D204" s="81"/>
      <c r="E204" s="82">
        <v>0.5</v>
      </c>
      <c r="F204" s="81"/>
      <c r="G204" s="81">
        <f>E204</f>
        <v>0.5</v>
      </c>
      <c r="H204" s="81"/>
      <c r="I204" s="81">
        <f>E204</f>
        <v>0.5</v>
      </c>
      <c r="J204" s="81"/>
      <c r="K204" s="81"/>
      <c r="L204" s="81">
        <f>E204</f>
        <v>0.5</v>
      </c>
      <c r="M204" s="81"/>
      <c r="N204" s="81">
        <f>E204</f>
        <v>0.5</v>
      </c>
      <c r="O204" s="81"/>
      <c r="P204" s="81"/>
    </row>
    <row r="205" spans="1:16" x14ac:dyDescent="0.35">
      <c r="A205" s="81"/>
      <c r="B205" s="81"/>
      <c r="C205" s="81"/>
      <c r="D205" s="81"/>
      <c r="E205" s="81"/>
      <c r="F205" s="81"/>
      <c r="G205" s="81"/>
      <c r="H205" s="81"/>
      <c r="I205" s="81"/>
      <c r="J205" s="81"/>
      <c r="K205" s="81"/>
      <c r="L205" s="81"/>
      <c r="M205" s="81"/>
      <c r="N205" s="81"/>
      <c r="O205" s="81"/>
      <c r="P205" s="81"/>
    </row>
    <row r="206" spans="1:16" x14ac:dyDescent="0.35">
      <c r="A206" s="81" t="s">
        <v>16</v>
      </c>
      <c r="B206" s="81"/>
      <c r="C206" s="81"/>
      <c r="D206" s="81"/>
      <c r="E206" s="81"/>
      <c r="F206" s="81"/>
      <c r="G206" s="81"/>
      <c r="H206" s="81"/>
      <c r="I206" s="81"/>
      <c r="J206" s="81"/>
      <c r="K206" s="81"/>
      <c r="L206" s="81"/>
      <c r="M206" s="81"/>
      <c r="N206" s="81"/>
      <c r="O206" s="81"/>
      <c r="P206" s="81"/>
    </row>
    <row r="207" spans="1:16" x14ac:dyDescent="0.35">
      <c r="A207" s="81" t="s">
        <v>5</v>
      </c>
      <c r="B207" s="81"/>
      <c r="C207" s="81"/>
      <c r="D207" s="81"/>
      <c r="E207" s="81"/>
      <c r="F207" s="81"/>
      <c r="G207" s="88">
        <f>(1/G203)-1</f>
        <v>9</v>
      </c>
      <c r="H207" s="88"/>
      <c r="I207" s="88">
        <f>(1/I203)-1</f>
        <v>9</v>
      </c>
      <c r="J207" s="88"/>
      <c r="K207" s="88"/>
      <c r="L207" s="88">
        <f>(1/L203)-1</f>
        <v>9</v>
      </c>
      <c r="M207" s="81"/>
      <c r="N207" s="88">
        <f>(1/N203)-1</f>
        <v>9</v>
      </c>
      <c r="O207" s="81"/>
      <c r="P207" s="81"/>
    </row>
    <row r="208" spans="1:16" x14ac:dyDescent="0.35">
      <c r="A208" s="81" t="s">
        <v>7</v>
      </c>
      <c r="B208" s="81"/>
      <c r="C208" s="81"/>
      <c r="D208" s="81"/>
      <c r="E208" s="81"/>
      <c r="F208" s="81"/>
      <c r="G208" s="88">
        <f>(1/G204)-1</f>
        <v>1</v>
      </c>
      <c r="H208" s="88"/>
      <c r="I208" s="88">
        <f>(1/I204)-1</f>
        <v>1</v>
      </c>
      <c r="J208" s="88"/>
      <c r="K208" s="88"/>
      <c r="L208" s="88">
        <f>(1/L204)-1</f>
        <v>1</v>
      </c>
      <c r="M208" s="81"/>
      <c r="N208" s="88">
        <f>(1/N204)-1</f>
        <v>1</v>
      </c>
      <c r="O208" s="81"/>
      <c r="P208" s="81"/>
    </row>
    <row r="209" spans="1:21" x14ac:dyDescent="0.35">
      <c r="A209" s="81"/>
      <c r="B209" s="81"/>
      <c r="C209" s="81"/>
      <c r="D209" s="81"/>
      <c r="E209" s="81"/>
      <c r="F209" s="81"/>
      <c r="G209" s="118"/>
      <c r="H209" s="118"/>
      <c r="I209" s="118"/>
      <c r="J209" s="118"/>
      <c r="K209" s="118"/>
      <c r="L209" s="118"/>
      <c r="M209" s="81"/>
      <c r="N209" s="81"/>
      <c r="O209" s="81"/>
      <c r="P209" s="81"/>
    </row>
    <row r="210" spans="1:21" x14ac:dyDescent="0.35">
      <c r="A210" s="81" t="s">
        <v>9</v>
      </c>
      <c r="B210" s="81"/>
      <c r="C210" s="81"/>
      <c r="D210" s="81"/>
      <c r="E210" s="81"/>
      <c r="F210" s="81"/>
      <c r="G210" s="118"/>
      <c r="H210" s="118"/>
      <c r="I210" s="118"/>
      <c r="J210" s="118"/>
      <c r="K210" s="118"/>
      <c r="L210" s="118"/>
      <c r="M210" s="81"/>
      <c r="N210" s="81"/>
      <c r="O210" s="81"/>
      <c r="P210" s="81"/>
    </row>
    <row r="211" spans="1:21" x14ac:dyDescent="0.35">
      <c r="A211" s="81" t="s">
        <v>6</v>
      </c>
      <c r="B211" s="81"/>
      <c r="C211" s="81"/>
      <c r="D211" s="81"/>
      <c r="E211" s="81"/>
      <c r="F211" s="81"/>
      <c r="G211" s="119">
        <f>((G179/G177*(G198/G197)^G207))/(1+((G179/G177*(G198/G197)^G207)))</f>
        <v>0.9999828045778727</v>
      </c>
      <c r="H211" s="119"/>
      <c r="I211" s="119">
        <f>((I175/I173*(I198/I197)^I207))/(1+((I175/I173*(I198/I197)^I207)))</f>
        <v>0.99999801926365683</v>
      </c>
      <c r="J211" s="119"/>
      <c r="K211" s="119"/>
      <c r="L211" s="119">
        <f>((L179/L177*(L198/L197)^L207))/(1+((L179/L177*(L198/L197)^L207)))</f>
        <v>0.99999999999810085</v>
      </c>
      <c r="M211" s="81"/>
      <c r="N211" s="119">
        <f>((N175/N173*(N198/N197)^N207))/(1+((N175/N173*(N198/N197)^N207)))</f>
        <v>0.99999999974179443</v>
      </c>
      <c r="O211" s="81"/>
      <c r="P211" s="81"/>
    </row>
    <row r="212" spans="1:21" x14ac:dyDescent="0.35">
      <c r="A212" s="81" t="s">
        <v>152</v>
      </c>
      <c r="B212" s="81"/>
      <c r="C212" s="81"/>
      <c r="D212" s="81"/>
      <c r="E212" s="81"/>
      <c r="F212" s="81"/>
      <c r="G212" s="118">
        <f>(G178/(G177+G179)*(G196/(G197+G198))^G208)/(1+(G178/(G177+G179)*(G196/(G197+G198))^G208))</f>
        <v>0.33579308634755789</v>
      </c>
      <c r="H212" s="118"/>
      <c r="I212" s="118">
        <f>(I174/(I173+I175)*(I196/(I197+I198))^I208)/(1+(I174/(I173+I175)*(I196/(I197+I198))^I208))</f>
        <v>0.11563256483243736</v>
      </c>
      <c r="J212" s="118"/>
      <c r="K212" s="118"/>
      <c r="L212" s="118">
        <f>(L178/(L177+L179)*(L196/(L197+L198))^L208)/(1+(L178/(L177+L179)*(L196/(L197+L198))^L208))</f>
        <v>0.64853527739901062</v>
      </c>
      <c r="M212" s="81"/>
      <c r="N212" s="118">
        <f>(N174/(N173+N175)*(N196/(N197+N198))^N208)/(1+(N174/(N173+N175)*(N196/(N197+N198))^N208))</f>
        <v>0.62100818700225469</v>
      </c>
      <c r="O212" s="81"/>
      <c r="P212" s="81"/>
    </row>
    <row r="213" spans="1:21" x14ac:dyDescent="0.35">
      <c r="A213" s="81"/>
      <c r="B213" s="81"/>
      <c r="C213" s="81"/>
      <c r="D213" s="81"/>
      <c r="E213" s="81"/>
      <c r="F213" s="81"/>
      <c r="G213" s="118"/>
      <c r="H213" s="118"/>
      <c r="I213" s="118"/>
      <c r="J213" s="118"/>
      <c r="K213" s="118"/>
      <c r="L213" s="118"/>
      <c r="M213" s="81"/>
      <c r="N213" s="81"/>
      <c r="O213" s="81"/>
      <c r="P213" s="81"/>
    </row>
    <row r="214" spans="1:21" x14ac:dyDescent="0.35">
      <c r="A214" s="81" t="s">
        <v>10</v>
      </c>
      <c r="B214" s="81"/>
      <c r="C214" s="81"/>
      <c r="D214" s="81"/>
      <c r="E214" s="81"/>
      <c r="F214" s="81"/>
      <c r="G214" s="118"/>
      <c r="H214" s="118"/>
      <c r="I214" s="118"/>
      <c r="J214" s="118"/>
      <c r="K214" s="118"/>
      <c r="L214" s="118"/>
      <c r="M214" s="81"/>
      <c r="N214" s="118"/>
      <c r="O214" s="81"/>
      <c r="P214" s="81"/>
    </row>
    <row r="215" spans="1:21" x14ac:dyDescent="0.35">
      <c r="A215" s="81" t="s">
        <v>5</v>
      </c>
      <c r="B215" s="81"/>
      <c r="C215" s="81"/>
      <c r="D215" s="81"/>
      <c r="E215" s="81"/>
      <c r="F215" s="81"/>
      <c r="G215" s="118">
        <f>(G197+G198)/(((G211*(G198^(-1*G207)))+((1-G211)*(G197^(-1*G207))))^(-1/G207))</f>
        <v>1.3848071112257656</v>
      </c>
      <c r="H215" s="118"/>
      <c r="I215" s="118">
        <f>(I197+I198)/(((I211*(I198^(-1*I207)))+((1-I211)*(I197^(-1*I207))))^(-1/I207))</f>
        <v>1.3281068071458924</v>
      </c>
      <c r="J215" s="118"/>
      <c r="K215" s="118"/>
      <c r="L215" s="118">
        <f>(L197+L198)/(((L211*(L198^(-1*L207)))+((1-L211)*(L197^(-1*L207))))^(-1/L207))</f>
        <v>1.0762291632630612</v>
      </c>
      <c r="M215" s="81"/>
      <c r="N215" s="118">
        <f>(N197+N198)/(((N211*(N198^(-1*N207)))+((1-N211)*(N197^(-1*N207))))^(-1/N207))</f>
        <v>1.122966233399133</v>
      </c>
      <c r="O215" s="81"/>
      <c r="P215" s="81"/>
    </row>
    <row r="216" spans="1:21" x14ac:dyDescent="0.35">
      <c r="A216" s="81" t="s">
        <v>8</v>
      </c>
      <c r="B216" s="81"/>
      <c r="C216" s="81"/>
      <c r="D216" s="81"/>
      <c r="E216" s="81"/>
      <c r="F216" s="81"/>
      <c r="G216" s="118">
        <f>1/(((G212*(G196^(-1*G208)))+((1-G212)*((G197+G198)^(-1*G208))))^(-1/G208))</f>
        <v>0.12524018743204765</v>
      </c>
      <c r="H216" s="118"/>
      <c r="I216" s="118">
        <f>1/(((I212*(I196^(-1*I208)))+((1-I212)*((I197+I198)^(-1*I208))))^(-1/I208))</f>
        <v>4.3324822375961254E-2</v>
      </c>
      <c r="J216" s="118"/>
      <c r="K216" s="118"/>
      <c r="L216" s="118">
        <f>1/(((L212*(L196^(-1*L208)))+((1-L212)*((L197+L198)^(-1*L208))))^(-1/L208))</f>
        <v>5.8373761090073834E-2</v>
      </c>
      <c r="M216" s="81"/>
      <c r="N216" s="118">
        <f>1/(((N212*(N196^(-1*N208)))+((1-N212)*((N197+N198)^(-1*N208))))^(-1/N208))</f>
        <v>2.1685928541621727E-2</v>
      </c>
      <c r="O216" s="81"/>
      <c r="P216" s="81"/>
    </row>
    <row r="217" spans="1:21" x14ac:dyDescent="0.35">
      <c r="A217" s="81"/>
      <c r="B217" s="81"/>
      <c r="C217" s="81"/>
      <c r="D217" s="81"/>
      <c r="E217" s="81"/>
      <c r="F217" s="81"/>
      <c r="G217" s="118"/>
      <c r="H217" s="118"/>
      <c r="I217" s="118"/>
      <c r="J217" s="118"/>
      <c r="K217" s="118"/>
      <c r="L217" s="118"/>
      <c r="M217" s="81"/>
      <c r="N217" s="118"/>
      <c r="O217" s="81"/>
      <c r="P217" s="81"/>
    </row>
    <row r="218" spans="1:21" x14ac:dyDescent="0.35">
      <c r="A218" s="81" t="s">
        <v>249</v>
      </c>
      <c r="B218" s="81"/>
      <c r="C218" s="81"/>
      <c r="D218" s="81"/>
      <c r="E218" s="99">
        <v>1</v>
      </c>
      <c r="F218" s="81"/>
      <c r="G218" s="118"/>
      <c r="H218" s="118"/>
      <c r="I218" s="118"/>
      <c r="J218" s="118"/>
      <c r="K218" s="118"/>
      <c r="L218" s="118"/>
      <c r="M218" s="81"/>
      <c r="N218" s="118"/>
      <c r="O218" s="81"/>
      <c r="P218" s="81"/>
      <c r="Q218" s="81"/>
      <c r="R218" s="81"/>
      <c r="S218" s="81"/>
      <c r="T218" s="81"/>
      <c r="U218" s="81"/>
    </row>
    <row r="219" spans="1:21" x14ac:dyDescent="0.35">
      <c r="A219" s="81" t="s">
        <v>5</v>
      </c>
      <c r="B219" s="81"/>
      <c r="C219" s="81"/>
      <c r="D219" s="81"/>
      <c r="F219" s="81"/>
      <c r="G219" s="118">
        <f>E218</f>
        <v>1</v>
      </c>
      <c r="H219" s="118"/>
      <c r="I219" s="118">
        <f>E218</f>
        <v>1</v>
      </c>
      <c r="J219" s="118"/>
      <c r="K219" s="118"/>
      <c r="L219" s="118">
        <f>E218</f>
        <v>1</v>
      </c>
      <c r="M219" s="81"/>
      <c r="N219" s="118">
        <f>E218</f>
        <v>1</v>
      </c>
      <c r="O219" s="81"/>
    </row>
    <row r="220" spans="1:21" x14ac:dyDescent="0.35">
      <c r="A220" s="81" t="s">
        <v>250</v>
      </c>
      <c r="B220" s="81"/>
      <c r="C220" s="81"/>
      <c r="D220" s="81"/>
      <c r="E220" s="81"/>
      <c r="F220" s="81"/>
      <c r="G220" s="118">
        <f>E218</f>
        <v>1</v>
      </c>
      <c r="H220" s="118"/>
      <c r="I220" s="118">
        <f>E218</f>
        <v>1</v>
      </c>
      <c r="J220" s="118"/>
      <c r="K220" s="118"/>
      <c r="L220" s="118">
        <f>E218</f>
        <v>1</v>
      </c>
      <c r="M220" s="81"/>
      <c r="N220" s="118">
        <f>E218</f>
        <v>1</v>
      </c>
      <c r="O220" s="81"/>
      <c r="P220" s="81"/>
      <c r="Q220" s="81"/>
      <c r="R220" s="81"/>
      <c r="S220" s="81"/>
      <c r="T220" s="81"/>
      <c r="U220" s="81"/>
    </row>
    <row r="221" spans="1:21" x14ac:dyDescent="0.35">
      <c r="A221" s="81" t="s">
        <v>42</v>
      </c>
      <c r="B221" s="81"/>
      <c r="C221" s="81"/>
      <c r="D221" s="81"/>
      <c r="E221" s="81"/>
      <c r="F221" s="81"/>
      <c r="G221" s="81"/>
      <c r="H221" s="81"/>
      <c r="I221" s="81"/>
      <c r="J221" s="81"/>
      <c r="K221" s="81"/>
      <c r="L221" s="81"/>
      <c r="M221" s="81"/>
      <c r="N221" s="81"/>
      <c r="O221" s="81"/>
      <c r="P221" s="81"/>
    </row>
    <row r="222" spans="1:21" x14ac:dyDescent="0.35">
      <c r="A222" s="81" t="s">
        <v>55</v>
      </c>
      <c r="B222" s="81"/>
      <c r="C222" s="81"/>
      <c r="D222" s="81"/>
      <c r="E222" s="81"/>
      <c r="F222" s="81"/>
      <c r="G222" s="81"/>
      <c r="H222" s="81"/>
      <c r="I222" s="81"/>
      <c r="J222" s="81"/>
      <c r="K222" s="81"/>
      <c r="L222" s="81"/>
      <c r="M222" s="81"/>
      <c r="N222" s="81"/>
      <c r="O222" s="81"/>
      <c r="P222" s="81"/>
    </row>
    <row r="223" spans="1:21" x14ac:dyDescent="0.35">
      <c r="A223" s="81"/>
      <c r="B223" s="81"/>
      <c r="C223" s="81"/>
      <c r="D223" s="81"/>
      <c r="E223" s="81"/>
      <c r="F223" s="81"/>
      <c r="G223" s="85" t="s">
        <v>104</v>
      </c>
      <c r="H223" s="85"/>
      <c r="I223" s="85"/>
      <c r="J223" s="85"/>
      <c r="K223" s="85"/>
      <c r="L223" s="85" t="s">
        <v>105</v>
      </c>
      <c r="M223" s="85"/>
      <c r="N223" s="85"/>
      <c r="O223" s="85"/>
      <c r="P223" s="81"/>
    </row>
    <row r="224" spans="1:21" x14ac:dyDescent="0.35">
      <c r="A224" s="81"/>
      <c r="B224" s="81"/>
      <c r="C224" s="81"/>
      <c r="D224" s="81"/>
      <c r="E224" s="81"/>
      <c r="F224" s="81"/>
      <c r="G224" s="85" t="s">
        <v>74</v>
      </c>
      <c r="H224" s="85"/>
      <c r="I224" s="85" t="s">
        <v>72</v>
      </c>
      <c r="J224" s="85"/>
      <c r="K224" s="85"/>
      <c r="L224" s="85" t="s">
        <v>74</v>
      </c>
      <c r="M224" s="85"/>
      <c r="N224" s="85" t="s">
        <v>72</v>
      </c>
      <c r="O224" s="85"/>
      <c r="P224" s="81"/>
    </row>
    <row r="225" spans="1:30" x14ac:dyDescent="0.35">
      <c r="A225" s="81" t="s">
        <v>17</v>
      </c>
      <c r="B225" s="81"/>
      <c r="C225" s="81"/>
      <c r="D225" s="81"/>
      <c r="E225" s="81"/>
      <c r="F225" s="81"/>
      <c r="G225" s="88">
        <f>(1/(L215/L219))*(((G190/(L211^(-1/L207)))^(L207/(L207+1))+((G186/((1-L211)^(-1/L207)))^(L207/(L207+1))))^((L207+1)/L207))</f>
        <v>28.732203957800685</v>
      </c>
      <c r="H225" s="88"/>
      <c r="I225" s="88">
        <f>(1/(N215/N219))*(((I190/(N211^(-1/N207)))^(N207/(N207+1))+((I186/((1-N211)^(-1/N207)))^(N207/(N207+1))))^((N207+1)/N207))</f>
        <v>17.62142755699076</v>
      </c>
      <c r="J225" s="88"/>
      <c r="K225" s="88"/>
      <c r="L225" s="88">
        <f>(1/(G215*G219))*((((L190/(G211^(-1/G207)))^(G207/(G207+1)))+((L186/((1-G211)^(-1/G207)))^(G207/(G207+1))))^((G207+1)/G207))</f>
        <v>24.880465748376199</v>
      </c>
      <c r="M225" s="81"/>
      <c r="N225" s="88">
        <f>(1/(I215*I219))*((((N190/(I211^(-1/I207)))^(I207/(I207+1)))+((N186/((1-I211)^(-1/I207)))^(I207/(I207+1))))^((I207+1)/I207))</f>
        <v>17.572891464686819</v>
      </c>
      <c r="O225" s="81"/>
      <c r="P225" s="81"/>
      <c r="Q225" s="81"/>
      <c r="R225" s="81"/>
      <c r="S225" s="81"/>
      <c r="T225" s="81"/>
      <c r="U225" s="81"/>
      <c r="V225" s="81"/>
      <c r="W225" s="81"/>
      <c r="X225" s="81"/>
      <c r="Y225" s="81"/>
      <c r="Z225" s="81"/>
      <c r="AA225" s="81"/>
      <c r="AB225" s="81"/>
      <c r="AC225" s="81"/>
      <c r="AD225" s="81"/>
    </row>
    <row r="226" spans="1:30" x14ac:dyDescent="0.35">
      <c r="A226" s="81" t="s">
        <v>113</v>
      </c>
      <c r="B226" s="81"/>
      <c r="C226" s="81"/>
      <c r="D226" s="81"/>
      <c r="E226" s="81"/>
      <c r="F226" s="81"/>
      <c r="G226" s="88">
        <f>(1/(L216/L220))*((((G187/(L212^(-1/L208)))^(L208/(L208+1)))+((G225/((1-L212)^(-1/L208)))^(L208/(L208+1))))^((L208+1)/L208))</f>
        <v>984.91705614614636</v>
      </c>
      <c r="H226" s="88"/>
      <c r="I226" s="88">
        <f>(1/(N216/N220))*((((I187/(N212^(-1/N208)))^(N208/(N208+1)))+((I225/((1-N212)^(-1/N208)))^(N208/(N208+1))))^((N208+1)/N208))</f>
        <v>2106.2561357781251</v>
      </c>
      <c r="J226" s="88"/>
      <c r="K226" s="88"/>
      <c r="L226" s="88">
        <f>(1/(G216*G220))*((((L187/(G212^(-1/G208)))^(G208/(G208+1)))+((L225/((1-G212)^(-1/G208)))^(G208/(G208+1))))^((G208+1)/G208))</f>
        <v>225.96194470496982</v>
      </c>
      <c r="M226" s="81"/>
      <c r="N226" s="88">
        <f>(1/(I216*I220))*((((N187/(I212^(-1/I208)))^(I208/(I208+1)))+((N225/((1-I212)^(-1/I208)))^(I208/(I208+1))))^((I208+1)/I208))</f>
        <v>495.51054150238826</v>
      </c>
      <c r="O226" s="81"/>
      <c r="P226" s="81"/>
      <c r="Q226" s="81"/>
      <c r="R226" s="81"/>
      <c r="S226" s="81"/>
      <c r="T226" s="81"/>
      <c r="U226" s="81"/>
      <c r="V226" s="81"/>
      <c r="W226" s="81"/>
      <c r="X226" s="81"/>
      <c r="Y226" s="81"/>
      <c r="Z226" s="81"/>
      <c r="AA226" s="81"/>
      <c r="AB226" s="81"/>
      <c r="AC226" s="81"/>
      <c r="AD226" s="81"/>
    </row>
    <row r="227" spans="1:30" x14ac:dyDescent="0.35">
      <c r="A227" s="81"/>
      <c r="B227" s="81"/>
      <c r="C227" s="81"/>
      <c r="D227" s="81"/>
      <c r="E227" s="81"/>
      <c r="F227" s="81"/>
      <c r="G227" s="120"/>
      <c r="H227" s="120"/>
      <c r="I227" s="120"/>
      <c r="J227" s="120"/>
      <c r="K227" s="120"/>
      <c r="L227" s="120"/>
      <c r="M227" s="81"/>
      <c r="N227" s="81"/>
      <c r="O227" s="81"/>
      <c r="P227" s="81"/>
      <c r="Q227" s="81"/>
      <c r="R227" s="81"/>
      <c r="S227" s="81"/>
      <c r="T227" s="81"/>
      <c r="U227" s="81"/>
      <c r="V227" s="81"/>
      <c r="W227" s="81"/>
      <c r="X227" s="81"/>
      <c r="Y227" s="81"/>
      <c r="Z227" s="81"/>
      <c r="AA227" s="81"/>
      <c r="AB227" s="81"/>
      <c r="AC227" s="81"/>
      <c r="AD227" s="81"/>
    </row>
    <row r="228" spans="1:30" x14ac:dyDescent="0.35">
      <c r="A228" s="81" t="s">
        <v>292</v>
      </c>
      <c r="B228" s="81"/>
      <c r="C228" s="81"/>
      <c r="D228" s="81"/>
      <c r="E228" s="81"/>
      <c r="F228" s="81"/>
      <c r="G228" s="100">
        <f>((1+L272)*L166+(1-L272)*L167+L172+G226)/1000</f>
        <v>1.5784650418525135</v>
      </c>
      <c r="H228" s="100"/>
      <c r="I228" s="100">
        <f>((1+N272)*N166+(1-N272)*N167+N176+I226)/1000</f>
        <v>2.2955767192476113</v>
      </c>
      <c r="J228" s="100"/>
      <c r="K228" s="100"/>
      <c r="L228" s="100">
        <f>((1+L272)*G166+(1-L272)*G167+G172+L226)/1000</f>
        <v>0.7168414622491277</v>
      </c>
      <c r="M228" s="100"/>
      <c r="N228" s="100">
        <f>((1+N272)*I166+(1-N272)*I167+I176+N226)/1000</f>
        <v>0.61171003632235377</v>
      </c>
      <c r="O228" s="81"/>
      <c r="P228" s="81"/>
      <c r="Q228" s="81"/>
      <c r="R228" s="81"/>
      <c r="S228" s="81"/>
      <c r="T228" s="81"/>
      <c r="U228" s="81"/>
      <c r="V228" s="81"/>
      <c r="W228" s="81"/>
      <c r="X228" s="81"/>
      <c r="Y228" s="81"/>
      <c r="Z228" s="81"/>
      <c r="AA228" s="81"/>
      <c r="AB228" s="81"/>
      <c r="AC228" s="81"/>
      <c r="AD228" s="81"/>
    </row>
    <row r="229" spans="1:30" x14ac:dyDescent="0.35">
      <c r="A229" s="81" t="s">
        <v>291</v>
      </c>
      <c r="B229" s="81"/>
      <c r="C229" s="81"/>
      <c r="D229" s="81"/>
      <c r="E229" s="81"/>
      <c r="F229" s="81"/>
      <c r="G229" s="100">
        <f>G228/(1+L272)*(1+L274)</f>
        <v>1.4923669486605582</v>
      </c>
      <c r="H229" s="100"/>
      <c r="I229" s="100">
        <f>I228/(1+N272)*(1+N274)</f>
        <v>2.1703634436522869</v>
      </c>
      <c r="J229" s="100"/>
      <c r="K229" s="100"/>
      <c r="L229" s="100">
        <f>L228*(1+L272)*(1+L273)</f>
        <v>0.93046021799936773</v>
      </c>
      <c r="M229" s="100"/>
      <c r="N229" s="100">
        <f>N228*(1+N272)*(1+N273)</f>
        <v>0.79399962714641514</v>
      </c>
      <c r="O229" s="81"/>
      <c r="P229" s="81"/>
      <c r="Q229" s="81"/>
      <c r="R229" s="81"/>
      <c r="S229" s="81"/>
      <c r="T229" s="81"/>
      <c r="U229" s="81"/>
      <c r="V229" s="81"/>
      <c r="W229" s="81"/>
      <c r="X229" s="81"/>
      <c r="Y229" s="81"/>
      <c r="Z229" s="81"/>
      <c r="AA229" s="81"/>
      <c r="AB229" s="81"/>
      <c r="AC229" s="81"/>
      <c r="AD229" s="81"/>
    </row>
    <row r="230" spans="1:30" x14ac:dyDescent="0.35">
      <c r="A230" s="81"/>
      <c r="B230" s="81"/>
      <c r="C230" s="81"/>
      <c r="D230" s="81"/>
      <c r="E230" s="81"/>
      <c r="F230" s="81"/>
      <c r="G230" s="81"/>
      <c r="H230" s="81"/>
      <c r="I230" s="81"/>
      <c r="J230" s="81"/>
      <c r="K230" s="81"/>
      <c r="L230" s="81"/>
      <c r="M230" s="81"/>
      <c r="N230" s="81"/>
      <c r="O230" s="81"/>
      <c r="P230" s="81"/>
    </row>
    <row r="231" spans="1:30" x14ac:dyDescent="0.35">
      <c r="A231" s="81" t="s">
        <v>51</v>
      </c>
      <c r="B231" s="81"/>
      <c r="C231" s="81"/>
      <c r="D231" s="81"/>
      <c r="E231" s="81"/>
      <c r="F231" s="81"/>
      <c r="G231" s="81"/>
      <c r="H231" s="81"/>
      <c r="I231" s="81"/>
      <c r="J231" s="81"/>
      <c r="K231" s="81"/>
      <c r="L231" s="81"/>
      <c r="M231" s="81"/>
      <c r="N231" s="81"/>
      <c r="O231" s="81"/>
      <c r="P231" s="81"/>
    </row>
    <row r="232" spans="1:30" x14ac:dyDescent="0.35">
      <c r="A232" s="81"/>
      <c r="B232" s="81"/>
      <c r="C232" s="81"/>
      <c r="D232" s="81"/>
      <c r="E232" s="81"/>
      <c r="F232" s="81"/>
      <c r="G232" s="87" t="s">
        <v>41</v>
      </c>
      <c r="H232" s="81"/>
      <c r="I232" s="87" t="s">
        <v>41</v>
      </c>
      <c r="J232" s="81"/>
      <c r="K232" s="81"/>
      <c r="L232" s="87" t="s">
        <v>41</v>
      </c>
      <c r="M232" s="81"/>
      <c r="N232" s="81"/>
      <c r="O232" s="81"/>
      <c r="P232" s="81"/>
    </row>
    <row r="233" spans="1:30" x14ac:dyDescent="0.35">
      <c r="A233" s="81" t="s">
        <v>38</v>
      </c>
      <c r="B233" s="81"/>
      <c r="C233" s="81"/>
      <c r="D233" s="81"/>
      <c r="E233" s="81"/>
      <c r="F233" s="81"/>
      <c r="G233" s="81"/>
      <c r="H233" s="81"/>
      <c r="I233" s="81"/>
      <c r="J233" s="81"/>
      <c r="K233" s="81"/>
      <c r="L233" s="81"/>
      <c r="M233" s="81"/>
      <c r="N233" s="81"/>
      <c r="O233" s="81"/>
      <c r="P233" s="81"/>
    </row>
    <row r="234" spans="1:30" x14ac:dyDescent="0.35">
      <c r="A234" s="81" t="s">
        <v>101</v>
      </c>
      <c r="B234" s="81"/>
      <c r="C234" s="81"/>
      <c r="D234" s="81"/>
      <c r="E234" s="81"/>
      <c r="F234" s="100">
        <f>(1+L272)*L166</f>
        <v>188.63915344379024</v>
      </c>
      <c r="G234" s="100">
        <f>(1+L272)*L166/(G228*1000)*100</f>
        <v>11.950797036493132</v>
      </c>
      <c r="H234" s="100">
        <f>(1+N272)*N166</f>
        <v>59.241759386351667</v>
      </c>
      <c r="I234" s="100">
        <f>(1+N272)*N166/(I228*1000)*100</f>
        <v>2.5806917664580817</v>
      </c>
      <c r="J234" s="100"/>
      <c r="K234" s="100">
        <f>(1+L272)*G166</f>
        <v>44.223082598996669</v>
      </c>
      <c r="L234" s="100">
        <f>(1+L272)*G166/(L228*1000)*100</f>
        <v>6.1691580255757561</v>
      </c>
      <c r="M234" s="100">
        <f>(1+N272)*I166</f>
        <v>19.092567416915308</v>
      </c>
      <c r="N234" s="100">
        <f>(1+N272)*I166/(N228*1000)*100</f>
        <v>3.1211793632978861</v>
      </c>
      <c r="O234" s="81"/>
      <c r="P234" s="81"/>
      <c r="Q234" s="81"/>
      <c r="R234" s="81"/>
      <c r="S234" s="81"/>
      <c r="T234" s="81"/>
      <c r="U234" s="81"/>
      <c r="V234" s="81"/>
      <c r="W234" s="81"/>
    </row>
    <row r="235" spans="1:30" x14ac:dyDescent="0.35">
      <c r="A235" s="81" t="s">
        <v>102</v>
      </c>
      <c r="B235" s="81"/>
      <c r="C235" s="81"/>
      <c r="D235" s="81"/>
      <c r="E235" s="81"/>
      <c r="F235" s="100">
        <f>((1-L272)*L167)</f>
        <v>170.61374762518057</v>
      </c>
      <c r="G235" s="100">
        <f>((1-L272)*L167)/(G228*1000)*100</f>
        <v>10.808839163453717</v>
      </c>
      <c r="H235" s="100">
        <f>((1-N272)*N167)</f>
        <v>63.517027045903049</v>
      </c>
      <c r="I235" s="100">
        <f>((1-N272)*N167)/(I228*1000)*100</f>
        <v>2.7669311381900199</v>
      </c>
      <c r="J235" s="100"/>
      <c r="K235" s="100">
        <f>((1-L272)*G167)</f>
        <v>116.78511635043662</v>
      </c>
      <c r="L235" s="100">
        <f>((1-L272)*G167)/(L228*1000)*100</f>
        <v>16.291624089937152</v>
      </c>
      <c r="M235" s="100">
        <f>((1-N272)*I167)</f>
        <v>43.405003127240953</v>
      </c>
      <c r="N235" s="100">
        <f>((1-N272)*I167)/(N228*1000)*100</f>
        <v>7.0956826845926972</v>
      </c>
      <c r="O235" s="81"/>
      <c r="P235" s="81"/>
    </row>
    <row r="236" spans="1:30" x14ac:dyDescent="0.35">
      <c r="A236" s="81" t="s">
        <v>39</v>
      </c>
      <c r="B236" s="81"/>
      <c r="C236" s="81"/>
      <c r="D236" s="81"/>
      <c r="E236" s="81"/>
      <c r="F236" s="100"/>
      <c r="G236" s="100"/>
      <c r="H236" s="100"/>
      <c r="I236" s="100"/>
      <c r="J236" s="100"/>
      <c r="K236" s="100"/>
      <c r="L236" s="100"/>
      <c r="M236" s="100"/>
      <c r="N236" s="100"/>
      <c r="O236" s="81"/>
      <c r="P236" s="81"/>
    </row>
    <row r="237" spans="1:30" s="15" customFormat="1" x14ac:dyDescent="0.35">
      <c r="A237" s="15" t="s">
        <v>114</v>
      </c>
      <c r="F237" s="55">
        <f>L172</f>
        <v>234.29508463739637</v>
      </c>
      <c r="G237" s="55">
        <f>L172/(G228*1000)*100</f>
        <v>14.843222904855951</v>
      </c>
      <c r="H237" s="55">
        <f>N176</f>
        <v>66.561797037231813</v>
      </c>
      <c r="I237" s="55">
        <f>N176/(I228*1000)*100</f>
        <v>2.8995675238877587</v>
      </c>
      <c r="J237" s="55"/>
      <c r="K237" s="55">
        <f>G172</f>
        <v>329.87131859472464</v>
      </c>
      <c r="L237" s="55">
        <f>G172/(L228*1000)*100</f>
        <v>46.017332418208071</v>
      </c>
      <c r="M237" s="55">
        <f>I176</f>
        <v>53.701924275809183</v>
      </c>
      <c r="N237" s="55">
        <f>I176/(N228*1000)*100</f>
        <v>8.7789836829667127</v>
      </c>
      <c r="O237" s="55"/>
    </row>
    <row r="238" spans="1:30" x14ac:dyDescent="0.35">
      <c r="A238" s="81" t="s">
        <v>115</v>
      </c>
      <c r="B238" s="81"/>
      <c r="C238" s="81"/>
      <c r="D238" s="81"/>
      <c r="E238" s="81"/>
      <c r="F238" s="100">
        <f>G226</f>
        <v>984.91705614614636</v>
      </c>
      <c r="G238" s="100">
        <f>G226/(G228*1000)*100</f>
        <v>62.397140895197211</v>
      </c>
      <c r="H238" s="100">
        <f>I226</f>
        <v>2106.2561357781251</v>
      </c>
      <c r="I238" s="100">
        <f>I226/(I228*1000)*100</f>
        <v>91.752809571464141</v>
      </c>
      <c r="J238" s="100"/>
      <c r="K238" s="100">
        <f>L226</f>
        <v>225.96194470496982</v>
      </c>
      <c r="L238" s="100">
        <f>L226/(L228*1000)*100</f>
        <v>31.52188546627902</v>
      </c>
      <c r="M238" s="100">
        <f>N226</f>
        <v>495.51054150238826</v>
      </c>
      <c r="N238" s="100">
        <f>N226/(N228*1000)*100</f>
        <v>81.004154269142703</v>
      </c>
      <c r="O238" s="81"/>
      <c r="P238" s="81"/>
    </row>
    <row r="239" spans="1:30" x14ac:dyDescent="0.35">
      <c r="A239" s="81" t="s">
        <v>153</v>
      </c>
      <c r="B239" s="81"/>
      <c r="C239" s="81"/>
      <c r="D239" s="81"/>
      <c r="E239" s="81"/>
      <c r="F239" s="100">
        <f>G239*G228*10</f>
        <v>47.512097002665918</v>
      </c>
      <c r="G239" s="100">
        <f>G250*G184/(G228*1000)*100</f>
        <v>3.0100189578417846</v>
      </c>
      <c r="H239" s="100">
        <f>I239*I228*10</f>
        <v>222.71059145609425</v>
      </c>
      <c r="I239" s="100">
        <f>I250*I184/(I228*1000)*100</f>
        <v>9.7017272212574515</v>
      </c>
      <c r="J239" s="81"/>
      <c r="K239" s="100">
        <f>L250*L184</f>
        <v>26.803801783798601</v>
      </c>
      <c r="L239" s="100">
        <f>L250*L184/(L228*1000)*100</f>
        <v>3.7391533826322298</v>
      </c>
      <c r="M239" s="100">
        <f>N250*N184</f>
        <v>97.308368299472434</v>
      </c>
      <c r="N239" s="100">
        <f>N250*N184/(N228*1000)*100</f>
        <v>15.90759714921429</v>
      </c>
      <c r="O239" s="81"/>
      <c r="P239" s="81"/>
    </row>
    <row r="240" spans="1:30" x14ac:dyDescent="0.35">
      <c r="A240" s="81" t="s">
        <v>154</v>
      </c>
      <c r="B240" s="81"/>
      <c r="C240" s="81"/>
      <c r="D240" s="81"/>
      <c r="E240" s="81"/>
      <c r="F240" s="100">
        <f>G240*G228*10</f>
        <v>572.13925666537261</v>
      </c>
      <c r="G240" s="100">
        <f>G251*G187/(G228*1000)*100</f>
        <v>36.246558618358769</v>
      </c>
      <c r="H240" s="100">
        <f>I240*I228*10</f>
        <v>1300.8739131372095</v>
      </c>
      <c r="I240" s="100">
        <f>I251*I187/(I228*1000)*100</f>
        <v>56.668718681010958</v>
      </c>
      <c r="J240" s="100"/>
      <c r="K240" s="100">
        <f>L251*L187</f>
        <v>53.288025542735809</v>
      </c>
      <c r="L240" s="100">
        <f>L251*L187/(L228*1000)*100</f>
        <v>7.4337253561675727</v>
      </c>
      <c r="M240" s="100">
        <f>N251*N187</f>
        <v>73.914972150163464</v>
      </c>
      <c r="N240" s="100">
        <f>N251*N187/(N228*1000)*100</f>
        <v>12.083334874566679</v>
      </c>
      <c r="O240" s="81"/>
      <c r="P240" s="81"/>
    </row>
    <row r="241" spans="1:18" x14ac:dyDescent="0.35">
      <c r="A241" s="81" t="s">
        <v>12</v>
      </c>
      <c r="B241" s="81"/>
      <c r="C241" s="81"/>
      <c r="D241" s="81"/>
      <c r="E241" s="81"/>
      <c r="F241" s="100">
        <f>G241*G228*10</f>
        <v>365.26570247810798</v>
      </c>
      <c r="G241" s="100">
        <f>G238-G240-G239</f>
        <v>23.140563318996659</v>
      </c>
      <c r="H241" s="100">
        <f>I241*I228*10</f>
        <v>582.67163118482108</v>
      </c>
      <c r="I241" s="100">
        <f>I238-I240-I239</f>
        <v>25.382363669195733</v>
      </c>
      <c r="J241" s="100"/>
      <c r="K241" s="100">
        <f>L241*L228*10</f>
        <v>145.87011737843537</v>
      </c>
      <c r="L241" s="100">
        <f>L238-L240-L239</f>
        <v>20.349006727479214</v>
      </c>
      <c r="M241" s="100">
        <f>N241*N228*10</f>
        <v>324.28720105275238</v>
      </c>
      <c r="N241" s="100">
        <f>N238-N240-N239</f>
        <v>53.013222245361739</v>
      </c>
      <c r="O241" s="81"/>
      <c r="P241" s="81"/>
    </row>
    <row r="242" spans="1:18" x14ac:dyDescent="0.35">
      <c r="A242" s="81" t="s">
        <v>40</v>
      </c>
      <c r="B242" s="81"/>
      <c r="C242" s="81"/>
      <c r="D242" s="81"/>
      <c r="E242" s="81"/>
      <c r="F242" s="100">
        <f>SUM(F234:F238)</f>
        <v>1578.4650418525134</v>
      </c>
      <c r="G242" s="100">
        <f>SUM(G234:G238)</f>
        <v>100</v>
      </c>
      <c r="H242" s="100">
        <f>SUM(H234:H238)</f>
        <v>2295.5767192476114</v>
      </c>
      <c r="I242" s="100">
        <f>SUM(I234:I238)</f>
        <v>100</v>
      </c>
      <c r="J242" s="100"/>
      <c r="K242" s="100">
        <f>SUM(K234:K238)</f>
        <v>716.84146224912774</v>
      </c>
      <c r="L242" s="100">
        <f>SUM(L234:L238)</f>
        <v>99.999999999999986</v>
      </c>
      <c r="M242" s="100">
        <f>SUM(M234:M238)</f>
        <v>611.71003632235374</v>
      </c>
      <c r="N242" s="100">
        <f>SUM(N234:N238)</f>
        <v>100</v>
      </c>
      <c r="O242" s="81"/>
      <c r="P242" s="81"/>
    </row>
    <row r="243" spans="1:18" x14ac:dyDescent="0.35">
      <c r="A243" s="81"/>
      <c r="B243" s="81"/>
      <c r="C243" s="81"/>
      <c r="D243" s="81"/>
      <c r="E243" s="81"/>
      <c r="F243" s="100"/>
      <c r="G243" s="100"/>
      <c r="H243" s="100"/>
      <c r="I243" s="100"/>
      <c r="J243" s="100"/>
      <c r="K243" s="100"/>
      <c r="L243" s="100"/>
      <c r="M243" s="81"/>
      <c r="N243" s="81"/>
      <c r="O243" s="81"/>
      <c r="P243" s="81"/>
    </row>
    <row r="244" spans="1:18" x14ac:dyDescent="0.35">
      <c r="A244" s="81" t="s">
        <v>13</v>
      </c>
      <c r="B244" s="81"/>
      <c r="C244" s="81"/>
      <c r="D244" s="81"/>
      <c r="E244" s="81"/>
      <c r="F244" s="100"/>
      <c r="G244" s="100"/>
      <c r="H244" s="100"/>
      <c r="I244" s="100"/>
      <c r="J244" s="100"/>
      <c r="K244" s="100"/>
      <c r="L244" s="100"/>
      <c r="M244" s="81"/>
      <c r="N244" s="81"/>
      <c r="O244" s="81"/>
      <c r="P244" s="81"/>
    </row>
    <row r="245" spans="1:18" x14ac:dyDescent="0.35">
      <c r="A245" s="81" t="s">
        <v>3</v>
      </c>
      <c r="B245" s="81"/>
      <c r="C245" s="81"/>
      <c r="D245" s="81"/>
      <c r="E245" s="81"/>
      <c r="F245" s="100"/>
      <c r="G245" s="118">
        <f>((G190/G186)*((1-L211)/L211))^(1/(1+L207))</f>
        <v>6.252308187929756E-2</v>
      </c>
      <c r="H245" s="100"/>
      <c r="I245" s="118">
        <f>((I190/I186)*((1-N211)/N211))^(1/(1+N207))</f>
        <v>9.573529223861936E-2</v>
      </c>
      <c r="J245" s="100"/>
      <c r="K245" s="100"/>
      <c r="L245" s="100">
        <f>(L190/L186*(1-G211)/G211)^(1/(1+G207))</f>
        <v>0.35674218797215573</v>
      </c>
      <c r="M245" s="81"/>
      <c r="N245" s="100">
        <f>(N190/N186*(1-I211)/I211)^(1/(1+I207))</f>
        <v>0.26570565298434229</v>
      </c>
      <c r="O245" s="81"/>
      <c r="P245" s="81"/>
      <c r="Q245" s="81"/>
      <c r="R245" s="81"/>
    </row>
    <row r="246" spans="1:18" x14ac:dyDescent="0.35">
      <c r="A246" s="81" t="s">
        <v>155</v>
      </c>
      <c r="B246" s="81"/>
      <c r="C246" s="81"/>
      <c r="D246" s="81"/>
      <c r="E246" s="81"/>
      <c r="F246" s="100"/>
      <c r="G246" s="118">
        <f>(G187/G225*(1-L212)/L212)^(1/(1+L208))</f>
        <v>0.75116189949325918</v>
      </c>
      <c r="H246" s="100"/>
      <c r="I246" s="118">
        <f>(I187/I225*(1-N212)/N212)^(1/(1+N208))</f>
        <v>0.98574746373298983</v>
      </c>
      <c r="J246" s="100"/>
      <c r="K246" s="100"/>
      <c r="L246" s="100">
        <f>(L187/L225*(1-G212)/G212)^(1/(1+G208))</f>
        <v>0.6104281095230305</v>
      </c>
      <c r="M246" s="81"/>
      <c r="N246" s="100">
        <f>(N187/N225*(1-I212)/I212)^(1/(1+I208))</f>
        <v>1.3408770666129595</v>
      </c>
      <c r="O246" s="81"/>
      <c r="P246" s="81"/>
      <c r="Q246" s="81"/>
      <c r="R246" s="81"/>
    </row>
    <row r="247" spans="1:18" x14ac:dyDescent="0.35">
      <c r="A247" s="81"/>
      <c r="B247" s="81"/>
      <c r="C247" s="81"/>
      <c r="D247" s="81"/>
      <c r="E247" s="81"/>
      <c r="F247" s="100"/>
      <c r="G247" s="100"/>
      <c r="H247" s="100"/>
      <c r="I247" s="100"/>
      <c r="J247" s="100"/>
      <c r="K247" s="100"/>
      <c r="L247" s="100"/>
      <c r="M247" s="81"/>
      <c r="N247" s="100"/>
      <c r="O247" s="81"/>
      <c r="P247" s="81"/>
    </row>
    <row r="248" spans="1:18" x14ac:dyDescent="0.35">
      <c r="A248" s="81" t="s">
        <v>14</v>
      </c>
      <c r="B248" s="81"/>
      <c r="C248" s="81"/>
      <c r="D248" s="81"/>
      <c r="E248" s="81"/>
      <c r="F248" s="100"/>
      <c r="G248" s="100"/>
      <c r="H248" s="100"/>
      <c r="I248" s="100"/>
      <c r="J248" s="100"/>
      <c r="K248" s="100"/>
      <c r="L248" s="100"/>
      <c r="M248" s="81"/>
      <c r="N248" s="100"/>
      <c r="O248" s="81"/>
      <c r="P248" s="81"/>
    </row>
    <row r="249" spans="1:18" x14ac:dyDescent="0.35">
      <c r="A249" s="81" t="s">
        <v>1</v>
      </c>
      <c r="B249" s="81"/>
      <c r="C249" s="81"/>
      <c r="D249" s="81"/>
      <c r="E249" s="81"/>
      <c r="F249" s="100"/>
      <c r="G249" s="100">
        <f>G250+G251</f>
        <v>19.97157211840231</v>
      </c>
      <c r="H249" s="100"/>
      <c r="I249" s="100">
        <f>I250+I251</f>
        <v>50.404649754358289</v>
      </c>
      <c r="J249" s="100"/>
      <c r="K249" s="100"/>
      <c r="L249" s="100">
        <f>L250+L251</f>
        <v>15.012664374881856</v>
      </c>
      <c r="M249" s="81"/>
      <c r="N249" s="100">
        <f>N250+N251</f>
        <v>27.775764627682701</v>
      </c>
      <c r="O249" s="81"/>
      <c r="P249" s="81"/>
    </row>
    <row r="250" spans="1:18" x14ac:dyDescent="0.35">
      <c r="A250" s="81" t="s">
        <v>156</v>
      </c>
      <c r="B250" s="81"/>
      <c r="C250" s="81"/>
      <c r="D250" s="81"/>
      <c r="E250" s="81"/>
      <c r="F250" s="100"/>
      <c r="G250" s="100">
        <f>G252/G185*100</f>
        <v>0.84602624938261772</v>
      </c>
      <c r="H250" s="100"/>
      <c r="I250" s="100">
        <f>I252/I185*100</f>
        <v>4.039114049087094</v>
      </c>
      <c r="J250" s="100"/>
      <c r="K250" s="100"/>
      <c r="L250" s="100">
        <f>L252/L185*100</f>
        <v>3.643364638263888</v>
      </c>
      <c r="M250" s="81"/>
      <c r="N250" s="100">
        <f>N252/N185*100</f>
        <v>9.883560329239824</v>
      </c>
      <c r="O250" s="81"/>
      <c r="P250" s="81"/>
    </row>
    <row r="251" spans="1:18" x14ac:dyDescent="0.35">
      <c r="A251" s="81" t="s">
        <v>157</v>
      </c>
      <c r="B251" s="81"/>
      <c r="C251" s="81"/>
      <c r="D251" s="81"/>
      <c r="E251" s="81"/>
      <c r="F251" s="100"/>
      <c r="G251" s="100">
        <f>G226/(G187+G225*G246)</f>
        <v>19.125545869019692</v>
      </c>
      <c r="H251" s="100"/>
      <c r="I251" s="100">
        <f>I226/(I187+I225*I246)</f>
        <v>46.365535705271192</v>
      </c>
      <c r="J251" s="100"/>
      <c r="K251" s="100"/>
      <c r="L251" s="100">
        <f>L226/(L187+L225*L246)</f>
        <v>11.369299736617968</v>
      </c>
      <c r="M251" s="81"/>
      <c r="N251" s="100">
        <f>N226/(N187+N225*N246)</f>
        <v>17.892204298442877</v>
      </c>
      <c r="O251" s="81"/>
      <c r="P251" s="81"/>
    </row>
    <row r="252" spans="1:18" x14ac:dyDescent="0.35">
      <c r="A252" s="81" t="s">
        <v>2</v>
      </c>
      <c r="B252" s="81"/>
      <c r="C252" s="81"/>
      <c r="D252" s="81"/>
      <c r="E252" s="81"/>
      <c r="F252" s="100"/>
      <c r="G252" s="100">
        <f>G253*G245</f>
        <v>0.84602624938261783</v>
      </c>
      <c r="H252" s="100"/>
      <c r="I252" s="100">
        <f>I253*I245</f>
        <v>4.039114049087094</v>
      </c>
      <c r="J252" s="100"/>
      <c r="K252" s="100"/>
      <c r="L252" s="100">
        <f>L253*L245</f>
        <v>1.8216823191319438</v>
      </c>
      <c r="M252" s="81"/>
      <c r="N252" s="100">
        <f>N253*N245</f>
        <v>4.941780164619912</v>
      </c>
      <c r="O252" s="81"/>
      <c r="P252" s="81"/>
    </row>
    <row r="253" spans="1:18" x14ac:dyDescent="0.35">
      <c r="A253" s="81" t="s">
        <v>0</v>
      </c>
      <c r="B253" s="81"/>
      <c r="C253" s="81"/>
      <c r="D253" s="81"/>
      <c r="E253" s="81"/>
      <c r="F253" s="100"/>
      <c r="G253" s="100">
        <f>G225/(G190+G186*G245)*(G251*G246)</f>
        <v>13.531422699474309</v>
      </c>
      <c r="H253" s="100"/>
      <c r="I253" s="100">
        <f>I225/(I190+I186*I245)*(I251*I246)</f>
        <v>42.19043943606124</v>
      </c>
      <c r="J253" s="100"/>
      <c r="K253" s="100"/>
      <c r="L253" s="100">
        <f>L225/(L190+L186*L245)*(L251*L246)</f>
        <v>5.106439273378367</v>
      </c>
      <c r="M253" s="81"/>
      <c r="N253" s="100">
        <f>N225/(N190+N186*N245)*(N251*N246)</f>
        <v>18.598701642644858</v>
      </c>
      <c r="O253" s="81"/>
      <c r="P253" s="81"/>
    </row>
    <row r="254" spans="1:18" x14ac:dyDescent="0.35">
      <c r="A254" s="81"/>
      <c r="B254" s="81"/>
      <c r="C254" s="81"/>
      <c r="D254" s="81"/>
      <c r="E254" s="81"/>
      <c r="F254" s="81"/>
      <c r="G254" s="81"/>
      <c r="H254" s="81"/>
      <c r="I254" s="81"/>
      <c r="J254" s="81"/>
      <c r="K254" s="81"/>
      <c r="L254" s="81"/>
      <c r="M254" s="81"/>
      <c r="N254" s="81"/>
      <c r="O254" s="81"/>
      <c r="P254" s="81"/>
    </row>
    <row r="255" spans="1:18" x14ac:dyDescent="0.35">
      <c r="A255" s="15" t="s">
        <v>338</v>
      </c>
      <c r="B255" s="81"/>
      <c r="C255" s="81"/>
      <c r="D255" s="81"/>
      <c r="E255" s="81"/>
      <c r="F255" s="81"/>
      <c r="G255" s="100">
        <f>(G$194/G$176)/(G$249/G$226)</f>
        <v>0.86669105864147855</v>
      </c>
      <c r="H255" s="81"/>
      <c r="I255" s="100">
        <f>(I$194/I$172)/(I$249/I$226)</f>
        <v>0.69370077265051222</v>
      </c>
      <c r="J255" s="81"/>
      <c r="K255" s="81"/>
      <c r="L255" s="100">
        <f>(L194/L176)/(L249/L226)</f>
        <v>1.1988425478415528</v>
      </c>
      <c r="M255" s="81"/>
      <c r="N255" s="100">
        <f>(N194/N172)/(N249/N226)</f>
        <v>1.7736135664284982</v>
      </c>
      <c r="O255" s="81"/>
      <c r="P255" s="81"/>
    </row>
    <row r="256" spans="1:18" x14ac:dyDescent="0.35">
      <c r="A256" s="15" t="s">
        <v>339</v>
      </c>
      <c r="B256" s="81"/>
      <c r="C256" s="81"/>
      <c r="D256" s="81"/>
      <c r="E256" s="81"/>
      <c r="F256" s="81"/>
      <c r="G256" s="100">
        <f>(G$196/G$176)/(G$251/G$226)</f>
        <v>0.68936525975575635</v>
      </c>
      <c r="H256" s="81"/>
      <c r="I256" s="100">
        <f>(I$196/I$172)/(I$251/I$226)</f>
        <v>0.47211773835708565</v>
      </c>
      <c r="J256" s="81"/>
      <c r="K256" s="81"/>
      <c r="L256" s="100">
        <f>(L$196/L$176)/(L$251/L$226)</f>
        <v>1.521160614705924</v>
      </c>
      <c r="M256" s="81"/>
      <c r="N256" s="100">
        <f>(N$196/N$172)/(N$251/N$226)</f>
        <v>2.5635283263964359</v>
      </c>
      <c r="O256" s="81"/>
      <c r="P256" s="81"/>
    </row>
    <row r="257" spans="1:46" x14ac:dyDescent="0.35">
      <c r="A257" s="15" t="s">
        <v>340</v>
      </c>
      <c r="B257" s="81"/>
      <c r="C257" s="81"/>
      <c r="D257" s="81"/>
      <c r="E257" s="81"/>
      <c r="F257" s="81"/>
      <c r="G257" s="100">
        <f>G$194/(G$249/G$228)</f>
        <v>0.69472449210043963</v>
      </c>
      <c r="H257" s="81"/>
      <c r="I257" s="100">
        <f>I$194/(I$249/I$228)</f>
        <v>0.66586688724308163</v>
      </c>
      <c r="J257" s="81"/>
      <c r="K257" s="81"/>
      <c r="L257" s="100">
        <f>L194/(L249/L228)</f>
        <v>1.5389446761347074</v>
      </c>
      <c r="M257" s="81"/>
      <c r="N257" s="100">
        <f>N194/(N249/N228)</f>
        <v>1.7713496757308003</v>
      </c>
      <c r="O257" s="81"/>
      <c r="P257" s="81"/>
    </row>
    <row r="258" spans="1:46" x14ac:dyDescent="0.35">
      <c r="A258" s="15" t="s">
        <v>341</v>
      </c>
      <c r="B258" s="81"/>
      <c r="C258" s="81"/>
      <c r="D258" s="81"/>
      <c r="E258" s="81"/>
      <c r="F258" s="81"/>
      <c r="G258" s="100">
        <f>(G194/G198)/(G249/G253)</f>
        <v>0.88214984208344305</v>
      </c>
      <c r="H258" s="81"/>
      <c r="I258" s="100">
        <f>(I194/I198)/(I249/I253)</f>
        <v>0.52417679532066086</v>
      </c>
      <c r="J258" s="81"/>
      <c r="K258" s="81"/>
      <c r="L258" s="100">
        <f>(L194/L198)/(L249/L253)</f>
        <v>1.2515383738216308</v>
      </c>
      <c r="M258" s="81"/>
      <c r="N258" s="100">
        <f>(N194/N198)/(N249/N253)</f>
        <v>2.1099887336530472</v>
      </c>
      <c r="O258" s="81"/>
      <c r="P258" s="81"/>
    </row>
    <row r="259" spans="1:46" x14ac:dyDescent="0.35">
      <c r="A259" s="81"/>
      <c r="B259" s="81"/>
      <c r="C259" s="81"/>
      <c r="D259" s="81"/>
      <c r="E259" s="81"/>
      <c r="F259" s="81"/>
      <c r="G259" s="81"/>
      <c r="H259" s="81"/>
      <c r="I259" s="81"/>
      <c r="J259" s="81"/>
      <c r="K259" s="81"/>
      <c r="L259" s="81"/>
      <c r="M259" s="81"/>
      <c r="N259" s="81"/>
      <c r="O259" s="81"/>
      <c r="P259" s="81"/>
    </row>
    <row r="260" spans="1:46" x14ac:dyDescent="0.35">
      <c r="A260" s="81" t="s">
        <v>15</v>
      </c>
      <c r="B260" s="81"/>
      <c r="C260" s="81"/>
      <c r="D260" s="81"/>
      <c r="E260" s="81"/>
      <c r="F260" s="81"/>
      <c r="G260" s="81"/>
      <c r="H260" s="81"/>
      <c r="I260" s="81"/>
      <c r="J260" s="81"/>
      <c r="K260" s="81"/>
      <c r="L260" s="81"/>
      <c r="M260" s="81"/>
      <c r="N260" s="81"/>
      <c r="O260" s="81"/>
      <c r="P260" s="81"/>
    </row>
    <row r="261" spans="1:46" x14ac:dyDescent="0.35">
      <c r="A261" s="81" t="s">
        <v>158</v>
      </c>
      <c r="B261" s="81"/>
      <c r="C261" s="81"/>
      <c r="D261" s="81"/>
      <c r="E261" s="81"/>
      <c r="F261" s="81"/>
      <c r="G261" s="100">
        <f>(G251/G253)/(G196/G198)</f>
        <v>1.4251893286977324</v>
      </c>
      <c r="H261" s="81"/>
      <c r="I261" s="100">
        <f>(I251/I253)/(I196/I198)</f>
        <v>2.803135353926133</v>
      </c>
      <c r="J261" s="81"/>
      <c r="K261" s="81"/>
      <c r="L261" s="100">
        <f>1/((L251/L253)/(L196/L198))</f>
        <v>1.5880241199966005</v>
      </c>
      <c r="M261" s="81"/>
      <c r="N261" s="100">
        <f>1/((N251/N253)/(N196/N198))</f>
        <v>3.0497149939989425</v>
      </c>
      <c r="O261" s="81"/>
      <c r="P261" s="81"/>
    </row>
    <row r="262" spans="1:46" x14ac:dyDescent="0.35">
      <c r="A262" s="81" t="s">
        <v>159</v>
      </c>
      <c r="B262" s="81"/>
      <c r="C262" s="81"/>
      <c r="D262" s="81"/>
      <c r="E262" s="81"/>
      <c r="F262" s="81"/>
      <c r="G262" s="100">
        <f>1/((G196/G197)/(G251/G252))</f>
        <v>7.0722682178871077</v>
      </c>
      <c r="H262" s="81"/>
      <c r="I262" s="100">
        <f>1/((I196/I197)/(I251/I252))</f>
        <v>6.8569386151239051</v>
      </c>
      <c r="J262" s="81"/>
      <c r="K262" s="81"/>
      <c r="L262" s="100">
        <f>(L196/L197)/(L251/L252)</f>
        <v>7.8803112644773554</v>
      </c>
      <c r="M262" s="81"/>
      <c r="N262" s="100">
        <f>(N196/N197)/(N251/N252)</f>
        <v>7.4601135736087052</v>
      </c>
      <c r="O262" s="81"/>
      <c r="P262" s="81"/>
    </row>
    <row r="263" spans="1:46" x14ac:dyDescent="0.35">
      <c r="A263" s="81"/>
      <c r="B263" s="81"/>
      <c r="C263" s="81"/>
      <c r="D263" s="81"/>
      <c r="E263" s="81"/>
      <c r="F263" s="81"/>
      <c r="G263" s="81"/>
      <c r="H263" s="81"/>
      <c r="I263" s="81"/>
      <c r="J263" s="81"/>
      <c r="K263" s="81"/>
      <c r="L263" s="81"/>
      <c r="M263" s="81"/>
      <c r="N263" s="81"/>
      <c r="O263" s="81"/>
      <c r="P263" s="81"/>
    </row>
    <row r="264" spans="1:46" x14ac:dyDescent="0.35">
      <c r="A264" s="81" t="s">
        <v>48</v>
      </c>
      <c r="B264" s="81"/>
      <c r="C264" s="81"/>
      <c r="D264" s="81"/>
      <c r="E264" s="81"/>
      <c r="F264" s="81"/>
      <c r="G264" s="81"/>
      <c r="H264" s="81"/>
      <c r="I264" s="81"/>
      <c r="J264" s="81"/>
      <c r="K264" s="81"/>
      <c r="L264" s="81"/>
      <c r="M264" s="81"/>
      <c r="N264" s="81"/>
      <c r="O264" s="81"/>
    </row>
    <row r="265" spans="1:46" x14ac:dyDescent="0.35">
      <c r="A265" s="81"/>
      <c r="B265" s="81"/>
      <c r="C265" s="81"/>
      <c r="D265" s="81"/>
      <c r="E265" s="81"/>
      <c r="F265" s="81"/>
      <c r="G265" s="81"/>
      <c r="H265" s="81"/>
      <c r="I265" s="81"/>
      <c r="J265" s="81"/>
      <c r="K265" s="81"/>
      <c r="L265" s="81"/>
      <c r="M265" s="81"/>
      <c r="N265" s="81"/>
      <c r="O265" s="81"/>
    </row>
    <row r="266" spans="1:46" x14ac:dyDescent="0.35">
      <c r="A266" s="81" t="s">
        <v>43</v>
      </c>
      <c r="B266" s="81"/>
      <c r="C266" s="81"/>
      <c r="D266" s="81"/>
      <c r="E266" s="81"/>
      <c r="F266" s="81"/>
      <c r="G266" s="81"/>
      <c r="H266" s="81"/>
      <c r="I266" s="81"/>
      <c r="J266" s="81"/>
      <c r="K266" s="81"/>
      <c r="L266" s="112" t="s">
        <v>74</v>
      </c>
      <c r="M266" s="81"/>
      <c r="N266" s="85" t="s">
        <v>72</v>
      </c>
      <c r="O266" s="81"/>
    </row>
    <row r="267" spans="1:46" x14ac:dyDescent="0.35">
      <c r="A267" s="15" t="s">
        <v>337</v>
      </c>
      <c r="B267" s="81"/>
      <c r="C267" s="81"/>
      <c r="D267" s="81"/>
      <c r="E267" s="81"/>
      <c r="F267" s="81"/>
      <c r="G267" s="81"/>
      <c r="H267" s="81"/>
      <c r="I267" s="110"/>
      <c r="J267" s="110"/>
      <c r="K267" s="110"/>
      <c r="L267" s="89">
        <v>1</v>
      </c>
      <c r="M267" s="121"/>
      <c r="N267" s="89">
        <v>0.5</v>
      </c>
      <c r="O267" s="81"/>
      <c r="P267" s="81"/>
      <c r="Q267" s="81"/>
      <c r="R267" s="81"/>
      <c r="S267" s="81"/>
      <c r="T267" s="81"/>
      <c r="U267" s="81"/>
      <c r="V267" s="81"/>
      <c r="W267" s="81"/>
      <c r="X267" s="81"/>
      <c r="Y267" s="81"/>
      <c r="Z267" s="81"/>
      <c r="AA267" s="81"/>
    </row>
    <row r="268" spans="1:46" x14ac:dyDescent="0.35">
      <c r="A268" s="81" t="s">
        <v>116</v>
      </c>
      <c r="B268" s="81"/>
      <c r="C268" s="81"/>
      <c r="D268" s="81"/>
      <c r="E268" s="81"/>
      <c r="F268" s="81"/>
      <c r="G268" s="81"/>
      <c r="H268" s="81"/>
      <c r="I268" s="81"/>
      <c r="J268" s="89">
        <v>0.5</v>
      </c>
      <c r="K268" s="81"/>
      <c r="L268" s="88">
        <f>J268</f>
        <v>0.5</v>
      </c>
      <c r="M268" s="121"/>
      <c r="N268" s="88">
        <f>J268</f>
        <v>0.5</v>
      </c>
      <c r="O268" s="81"/>
      <c r="P268" s="81"/>
      <c r="Q268" s="81"/>
      <c r="R268" s="81"/>
      <c r="S268" s="81"/>
      <c r="T268" s="81"/>
      <c r="U268" s="81"/>
      <c r="V268" s="81"/>
      <c r="W268" s="81"/>
      <c r="X268" s="81"/>
      <c r="Y268" s="81"/>
      <c r="Z268" s="81"/>
      <c r="AA268" s="81"/>
    </row>
    <row r="269" spans="1:46" x14ac:dyDescent="0.35">
      <c r="A269" s="15" t="s">
        <v>315</v>
      </c>
      <c r="B269" s="81"/>
      <c r="C269" s="81"/>
      <c r="D269" s="81"/>
      <c r="E269" s="81"/>
      <c r="F269" s="81"/>
      <c r="G269" s="81"/>
      <c r="H269" s="81"/>
      <c r="I269" s="81"/>
      <c r="J269" s="89">
        <v>0</v>
      </c>
      <c r="K269" s="81"/>
      <c r="L269" s="88">
        <f>J269</f>
        <v>0</v>
      </c>
      <c r="M269" s="121"/>
      <c r="N269" s="88">
        <f>J269</f>
        <v>0</v>
      </c>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1"/>
      <c r="AR269" s="81"/>
      <c r="AS269" s="81"/>
      <c r="AT269" s="81"/>
    </row>
    <row r="270" spans="1:46" x14ac:dyDescent="0.35">
      <c r="A270" s="81" t="s">
        <v>251</v>
      </c>
      <c r="B270" s="81"/>
      <c r="C270" s="81"/>
      <c r="D270" s="81"/>
      <c r="E270" s="81"/>
      <c r="F270" s="81"/>
      <c r="G270" s="81"/>
      <c r="H270" s="81"/>
      <c r="I270" s="81"/>
      <c r="J270" s="81"/>
      <c r="K270" s="81"/>
      <c r="L270" s="99">
        <v>0.67</v>
      </c>
      <c r="M270" s="121"/>
      <c r="N270" s="100">
        <f>1-L270</f>
        <v>0.32999999999999996</v>
      </c>
      <c r="O270" s="81"/>
      <c r="P270" s="81"/>
      <c r="Q270" s="81"/>
      <c r="R270" s="81"/>
      <c r="S270" s="81"/>
      <c r="T270" s="81"/>
      <c r="U270" s="81"/>
      <c r="V270" s="81"/>
      <c r="W270" s="81"/>
      <c r="X270" s="81"/>
      <c r="Y270" s="81"/>
      <c r="Z270" s="81"/>
      <c r="AA270" s="81"/>
    </row>
    <row r="271" spans="1:46" x14ac:dyDescent="0.35">
      <c r="A271" s="81" t="s">
        <v>252</v>
      </c>
      <c r="B271" s="81"/>
      <c r="C271" s="81"/>
      <c r="D271" s="81"/>
      <c r="E271" s="81"/>
      <c r="F271" s="81"/>
      <c r="G271" s="81"/>
      <c r="H271" s="81"/>
      <c r="I271" s="81"/>
      <c r="J271" s="81"/>
      <c r="K271" s="81"/>
      <c r="L271" s="122">
        <v>7.1999999999999995E-2</v>
      </c>
      <c r="M271" s="121"/>
      <c r="N271" s="122">
        <v>5.1999999999999998E-2</v>
      </c>
      <c r="O271" s="81"/>
      <c r="P271" s="81"/>
      <c r="Q271" s="81"/>
      <c r="R271" s="81"/>
      <c r="S271" s="81"/>
      <c r="T271" s="81"/>
      <c r="U271" s="81"/>
      <c r="V271" s="81"/>
      <c r="W271" s="81"/>
      <c r="X271" s="81"/>
      <c r="Y271" s="81"/>
      <c r="Z271" s="81"/>
      <c r="AA271" s="81"/>
    </row>
    <row r="272" spans="1:46" x14ac:dyDescent="0.35">
      <c r="A272" s="81" t="s">
        <v>290</v>
      </c>
      <c r="B272" s="81"/>
      <c r="C272" s="81"/>
      <c r="D272" s="81"/>
      <c r="E272" s="81"/>
      <c r="F272" s="81"/>
      <c r="G272" s="81"/>
      <c r="H272" s="81"/>
      <c r="I272" s="81"/>
      <c r="J272" s="81"/>
      <c r="K272" s="81"/>
      <c r="L272" s="82">
        <v>0.1</v>
      </c>
      <c r="M272" s="121"/>
      <c r="N272" s="82">
        <v>0.1</v>
      </c>
      <c r="O272" s="81"/>
      <c r="P272" s="81"/>
      <c r="Q272" s="81"/>
      <c r="R272" s="81"/>
      <c r="S272" s="81"/>
      <c r="T272" s="81"/>
      <c r="U272" s="81"/>
      <c r="V272" s="81"/>
      <c r="W272" s="81"/>
      <c r="X272" s="81"/>
      <c r="Y272" s="81"/>
      <c r="Z272" s="81"/>
      <c r="AA272" s="81"/>
    </row>
    <row r="273" spans="1:27" x14ac:dyDescent="0.35">
      <c r="A273" s="81" t="s">
        <v>253</v>
      </c>
      <c r="B273" s="81"/>
      <c r="C273" s="81"/>
      <c r="D273" s="81"/>
      <c r="E273" s="81"/>
      <c r="F273" s="81"/>
      <c r="G273" s="81"/>
      <c r="H273" s="81"/>
      <c r="I273" s="81"/>
      <c r="J273" s="81"/>
      <c r="K273" s="81"/>
      <c r="L273" s="99">
        <v>0.18</v>
      </c>
      <c r="M273" s="121"/>
      <c r="N273" s="99">
        <v>0.18</v>
      </c>
      <c r="O273" s="81"/>
      <c r="P273" s="81"/>
      <c r="Q273" s="81"/>
      <c r="R273" s="81"/>
      <c r="S273" s="81"/>
      <c r="T273" s="81"/>
      <c r="U273" s="81"/>
      <c r="V273" s="81"/>
      <c r="W273" s="81"/>
      <c r="X273" s="81"/>
      <c r="Y273" s="81"/>
      <c r="Z273" s="81"/>
      <c r="AA273" s="81"/>
    </row>
    <row r="274" spans="1:27" x14ac:dyDescent="0.35">
      <c r="A274" s="81" t="s">
        <v>254</v>
      </c>
      <c r="B274" s="81"/>
      <c r="C274" s="81"/>
      <c r="D274" s="81"/>
      <c r="E274" s="81"/>
      <c r="F274" s="81"/>
      <c r="G274" s="81"/>
      <c r="H274" s="81"/>
      <c r="I274" s="81"/>
      <c r="J274" s="81"/>
      <c r="K274" s="81"/>
      <c r="L274" s="82">
        <v>0.04</v>
      </c>
      <c r="M274" s="121"/>
      <c r="N274" s="82">
        <v>0.04</v>
      </c>
      <c r="O274" s="81"/>
      <c r="P274" s="81"/>
      <c r="Q274" s="81"/>
      <c r="R274" s="81"/>
      <c r="S274" s="81"/>
      <c r="T274" s="81"/>
      <c r="U274" s="81"/>
      <c r="V274" s="81"/>
      <c r="W274" s="81"/>
      <c r="X274" s="81"/>
      <c r="Y274" s="81"/>
      <c r="Z274" s="81"/>
      <c r="AA274" s="81"/>
    </row>
    <row r="275" spans="1:27" x14ac:dyDescent="0.35">
      <c r="A275" s="81" t="s">
        <v>248</v>
      </c>
      <c r="B275" s="81"/>
      <c r="C275" s="81"/>
      <c r="D275" s="81"/>
      <c r="E275" s="81"/>
      <c r="F275" s="81"/>
      <c r="G275" s="81"/>
      <c r="H275" s="81"/>
      <c r="I275" s="81"/>
      <c r="J275" s="123">
        <v>0.5</v>
      </c>
      <c r="K275" s="81"/>
      <c r="L275" s="88">
        <f>J275</f>
        <v>0.5</v>
      </c>
      <c r="M275" s="81"/>
      <c r="N275" s="88">
        <f>J275</f>
        <v>0.5</v>
      </c>
      <c r="O275" s="81"/>
      <c r="P275" s="81"/>
      <c r="Q275" s="81"/>
      <c r="R275" s="81"/>
      <c r="S275" s="81"/>
      <c r="T275" s="81"/>
      <c r="U275" s="81"/>
      <c r="V275" s="81"/>
      <c r="W275" s="81"/>
      <c r="X275" s="81"/>
      <c r="Y275" s="81"/>
      <c r="Z275" s="81"/>
      <c r="AA275" s="81"/>
    </row>
    <row r="276" spans="1:27" x14ac:dyDescent="0.35">
      <c r="A276" s="81"/>
      <c r="B276" s="15"/>
      <c r="C276" s="81"/>
      <c r="D276" s="81"/>
      <c r="E276" s="81"/>
      <c r="F276" s="81"/>
      <c r="G276" s="81"/>
      <c r="H276" s="81"/>
      <c r="I276" s="81"/>
      <c r="J276" s="81"/>
      <c r="K276" s="81"/>
      <c r="L276" s="88"/>
      <c r="M276" s="81"/>
      <c r="N276" s="88"/>
      <c r="O276" s="81"/>
      <c r="P276" s="81"/>
      <c r="Q276" s="81"/>
      <c r="R276" s="81"/>
      <c r="S276" s="81"/>
      <c r="T276" s="81"/>
      <c r="U276" s="81"/>
      <c r="V276" s="81"/>
      <c r="W276" s="81"/>
      <c r="X276" s="81"/>
      <c r="Y276" s="81"/>
      <c r="Z276" s="81"/>
      <c r="AA276" s="81"/>
    </row>
    <row r="277" spans="1:27" x14ac:dyDescent="0.35">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row>
    <row r="278" spans="1:27" x14ac:dyDescent="0.35">
      <c r="A278" s="81" t="s">
        <v>163</v>
      </c>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row>
    <row r="279" spans="1:27" x14ac:dyDescent="0.35">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row>
    <row r="280" spans="1:27" x14ac:dyDescent="0.35">
      <c r="A280" s="81" t="s">
        <v>18</v>
      </c>
      <c r="B280" s="81"/>
      <c r="C280" s="81"/>
      <c r="D280" s="81"/>
      <c r="E280" s="81"/>
      <c r="F280" s="81"/>
      <c r="G280" s="81"/>
      <c r="H280" s="81"/>
      <c r="I280" s="85" t="s">
        <v>62</v>
      </c>
      <c r="J280" s="81"/>
      <c r="K280" s="81"/>
      <c r="L280" s="112" t="s">
        <v>74</v>
      </c>
      <c r="M280" s="81"/>
      <c r="N280" s="85" t="s">
        <v>72</v>
      </c>
      <c r="O280" s="81"/>
      <c r="P280" s="81"/>
      <c r="Q280" s="81"/>
      <c r="R280" s="81"/>
      <c r="S280" s="81"/>
      <c r="T280" s="81"/>
      <c r="U280" s="81"/>
      <c r="V280" s="81"/>
      <c r="W280" s="81"/>
      <c r="X280" s="81"/>
      <c r="Y280" s="81"/>
      <c r="Z280" s="81"/>
      <c r="AA280" s="81"/>
    </row>
    <row r="281" spans="1:27" x14ac:dyDescent="0.35">
      <c r="A281" s="81"/>
      <c r="B281" s="81" t="s">
        <v>117</v>
      </c>
      <c r="C281" s="81"/>
      <c r="D281" s="81"/>
      <c r="E281" s="81"/>
      <c r="F281" s="81"/>
      <c r="G281" s="81"/>
      <c r="H281" s="81"/>
      <c r="I281" s="110">
        <f t="shared" ref="I281:I286" ca="1" si="0">L281+N281</f>
        <v>3044.5144222008694</v>
      </c>
      <c r="J281" s="110"/>
      <c r="K281" s="110"/>
      <c r="L281" s="110">
        <f>O294</f>
        <v>2153.3555899999997</v>
      </c>
      <c r="M281" s="110"/>
      <c r="N281" s="110">
        <f ca="1">O296</f>
        <v>891.15883220086994</v>
      </c>
      <c r="O281" s="81"/>
      <c r="P281" s="81"/>
      <c r="Q281" s="81"/>
      <c r="R281" s="81"/>
      <c r="S281" s="81"/>
      <c r="T281" s="81"/>
      <c r="U281" s="81"/>
      <c r="V281" s="81"/>
      <c r="W281" s="81"/>
      <c r="X281" s="81"/>
      <c r="Y281" s="81"/>
      <c r="Z281" s="81"/>
      <c r="AA281" s="81"/>
    </row>
    <row r="282" spans="1:27" x14ac:dyDescent="0.35">
      <c r="A282" s="81"/>
      <c r="B282" s="81" t="s">
        <v>246</v>
      </c>
      <c r="C282" s="81"/>
      <c r="D282" s="81"/>
      <c r="E282" s="81"/>
      <c r="F282" s="81"/>
      <c r="G282" s="81"/>
      <c r="H282" s="81"/>
      <c r="I282" s="110">
        <f t="shared" ca="1" si="0"/>
        <v>-213.82766899565212</v>
      </c>
      <c r="J282" s="110" t="s">
        <v>245</v>
      </c>
      <c r="K282" s="110"/>
      <c r="L282" s="110">
        <f ca="1">G305*L36/100+G306*G43/100*(1-L272)</f>
        <v>-214.67361099653692</v>
      </c>
      <c r="M282" s="110"/>
      <c r="N282" s="110">
        <f ca="1">I305*N36/100+I306*I43/100*(1-N272)</f>
        <v>0.8459420008847971</v>
      </c>
      <c r="O282" s="81"/>
      <c r="P282" s="81"/>
      <c r="Q282" s="81"/>
      <c r="R282" s="81"/>
      <c r="S282" s="81"/>
      <c r="T282" s="81"/>
      <c r="U282" s="81"/>
      <c r="V282" s="81"/>
      <c r="W282" s="81"/>
      <c r="X282" s="81"/>
      <c r="Y282" s="81"/>
      <c r="Z282" s="81"/>
      <c r="AA282" s="81"/>
    </row>
    <row r="283" spans="1:27" x14ac:dyDescent="0.35">
      <c r="A283" s="81"/>
      <c r="B283" s="81" t="s">
        <v>118</v>
      </c>
      <c r="C283" s="81"/>
      <c r="D283" s="81"/>
      <c r="E283" s="81"/>
      <c r="F283" s="81"/>
      <c r="G283" s="81"/>
      <c r="H283" s="81"/>
      <c r="I283" s="110">
        <f t="shared" ca="1" si="0"/>
        <v>-23.545049402251362</v>
      </c>
      <c r="J283" s="110" t="s">
        <v>247</v>
      </c>
      <c r="K283" s="110"/>
      <c r="L283" s="110">
        <f ca="1">L305*L43/100+L306*G43/100</f>
        <v>-19.036181652523901</v>
      </c>
      <c r="M283" s="110"/>
      <c r="N283" s="110">
        <f ca="1">N305*N43/100+N306*I43/100</f>
        <v>-4.5088677497274618</v>
      </c>
      <c r="P283" s="81"/>
      <c r="Q283" s="81"/>
      <c r="R283" s="81"/>
      <c r="S283" s="81"/>
      <c r="T283" s="81"/>
      <c r="U283" s="81"/>
      <c r="V283" s="81"/>
      <c r="W283" s="81"/>
      <c r="X283" s="81"/>
      <c r="Y283" s="81"/>
      <c r="Z283" s="81"/>
      <c r="AA283" s="81"/>
    </row>
    <row r="284" spans="1:27" x14ac:dyDescent="0.35">
      <c r="A284" s="81"/>
      <c r="B284" s="81" t="s">
        <v>119</v>
      </c>
      <c r="C284" s="81"/>
      <c r="D284" s="81"/>
      <c r="E284" s="81"/>
      <c r="F284" s="81"/>
      <c r="G284" s="81"/>
      <c r="H284" s="81"/>
      <c r="I284" s="110">
        <f t="shared" ca="1" si="0"/>
        <v>187.58311543655068</v>
      </c>
      <c r="J284" s="110" t="s">
        <v>247</v>
      </c>
      <c r="K284" s="110"/>
      <c r="L284" s="110">
        <f ca="1">L305*L44/100</f>
        <v>165.11737555801881</v>
      </c>
      <c r="M284" s="110"/>
      <c r="N284" s="110">
        <f ca="1">N305*N44/100</f>
        <v>22.465739878531885</v>
      </c>
      <c r="P284" s="81"/>
      <c r="Q284" s="81"/>
      <c r="R284" s="81"/>
      <c r="S284" s="81"/>
      <c r="T284" s="81"/>
      <c r="U284" s="81"/>
      <c r="V284" s="81"/>
      <c r="W284" s="81"/>
      <c r="X284" s="81"/>
      <c r="Y284" s="81"/>
      <c r="Z284" s="81"/>
      <c r="AA284" s="81"/>
    </row>
    <row r="285" spans="1:27" x14ac:dyDescent="0.35">
      <c r="A285" s="81"/>
      <c r="B285" s="81" t="s">
        <v>120</v>
      </c>
      <c r="C285" s="81"/>
      <c r="D285" s="81"/>
      <c r="E285" s="81"/>
      <c r="F285" s="81"/>
      <c r="G285" s="81"/>
      <c r="H285" s="81"/>
      <c r="I285" s="110">
        <f t="shared" ca="1" si="0"/>
        <v>262.36971087227926</v>
      </c>
      <c r="J285" s="110" t="s">
        <v>247</v>
      </c>
      <c r="K285" s="110"/>
      <c r="L285" s="110">
        <f ca="1">L305*L45/100</f>
        <v>210.05292068949348</v>
      </c>
      <c r="M285" s="110"/>
      <c r="N285" s="110">
        <f ca="1">N305*N45/100</f>
        <v>52.31679018278578</v>
      </c>
      <c r="P285" s="81"/>
      <c r="Q285" s="81"/>
      <c r="R285" s="81"/>
      <c r="S285" s="81"/>
      <c r="T285" s="81"/>
      <c r="U285" s="81"/>
      <c r="V285" s="81"/>
      <c r="W285" s="81"/>
      <c r="X285" s="81"/>
      <c r="Y285" s="81"/>
      <c r="Z285" s="81"/>
      <c r="AA285" s="81"/>
    </row>
    <row r="286" spans="1:27" x14ac:dyDescent="0.35">
      <c r="A286" s="81"/>
      <c r="B286" s="81" t="s">
        <v>121</v>
      </c>
      <c r="C286" s="81"/>
      <c r="D286" s="81"/>
      <c r="E286" s="81"/>
      <c r="F286" s="81"/>
      <c r="G286" s="81"/>
      <c r="H286" s="81"/>
      <c r="I286" s="110">
        <f t="shared" ca="1" si="0"/>
        <v>2404.278976298639</v>
      </c>
      <c r="J286" s="110"/>
      <c r="K286" s="110"/>
      <c r="L286" s="110">
        <f ca="1">L281+L282-SUM(L283:L285)</f>
        <v>1582.5478644084744</v>
      </c>
      <c r="M286" s="110"/>
      <c r="N286" s="110">
        <f ca="1">N281+N282-SUM(N283:N285)</f>
        <v>821.73111189016447</v>
      </c>
      <c r="O286" s="81"/>
      <c r="P286" s="81"/>
      <c r="Q286" s="81"/>
      <c r="R286" s="81"/>
      <c r="S286" s="81"/>
      <c r="T286" s="81"/>
      <c r="U286" s="81"/>
      <c r="V286" s="81"/>
      <c r="W286" s="81"/>
      <c r="X286" s="81"/>
    </row>
    <row r="287" spans="1:27" x14ac:dyDescent="0.35">
      <c r="A287" s="81"/>
      <c r="B287" s="81"/>
      <c r="C287" s="81" t="s">
        <v>123</v>
      </c>
      <c r="D287" s="81"/>
      <c r="E287" s="81"/>
      <c r="F287" s="81"/>
      <c r="G287" s="81"/>
      <c r="H287" s="81"/>
      <c r="I287" s="93">
        <v>0</v>
      </c>
      <c r="J287" s="110"/>
      <c r="K287" s="110"/>
      <c r="L287" s="110"/>
      <c r="M287" s="110"/>
      <c r="N287" s="110"/>
      <c r="O287" s="81"/>
      <c r="P287" s="81"/>
      <c r="Q287" s="81"/>
      <c r="R287" s="81"/>
      <c r="S287" s="81"/>
      <c r="T287" s="81"/>
      <c r="U287" s="81"/>
      <c r="V287" s="81"/>
      <c r="W287" s="81"/>
      <c r="X287" s="81"/>
    </row>
    <row r="288" spans="1:27" x14ac:dyDescent="0.35">
      <c r="A288" s="81"/>
      <c r="B288" s="81"/>
      <c r="C288" s="81" t="s">
        <v>122</v>
      </c>
      <c r="D288" s="81"/>
      <c r="E288" s="81"/>
      <c r="F288" s="81"/>
      <c r="G288" s="81"/>
      <c r="H288" s="81"/>
      <c r="I288" s="110">
        <f ca="1">I286-I287</f>
        <v>2404.278976298639</v>
      </c>
      <c r="J288" s="110"/>
      <c r="K288" s="110"/>
      <c r="L288" s="110">
        <f ca="1">I288*L270</f>
        <v>1610.8669141200883</v>
      </c>
      <c r="M288" s="110"/>
      <c r="N288" s="110">
        <f ca="1">I288*N270</f>
        <v>793.41206217855074</v>
      </c>
      <c r="O288" s="81"/>
      <c r="P288" s="110"/>
      <c r="Q288" s="81"/>
      <c r="R288" s="81"/>
      <c r="S288" s="81"/>
      <c r="T288" s="81"/>
      <c r="U288" s="81"/>
      <c r="V288" s="81"/>
      <c r="W288" s="81"/>
      <c r="X288" s="81"/>
    </row>
    <row r="289" spans="1:34" x14ac:dyDescent="0.35">
      <c r="A289" s="81"/>
      <c r="B289" s="81"/>
      <c r="C289" s="81"/>
      <c r="D289" s="81"/>
      <c r="E289" s="81"/>
      <c r="F289" s="81"/>
      <c r="G289" s="81"/>
      <c r="H289" s="81"/>
      <c r="I289" s="81"/>
      <c r="J289" s="81"/>
      <c r="K289" s="81"/>
      <c r="L289" s="81"/>
      <c r="M289" s="81"/>
      <c r="N289" s="81"/>
      <c r="O289" s="81"/>
      <c r="S289" s="81"/>
      <c r="T289" s="81"/>
      <c r="U289" s="81"/>
      <c r="V289" s="81"/>
      <c r="W289" s="81"/>
      <c r="X289" s="81"/>
      <c r="Y289" s="81"/>
      <c r="Z289" s="81"/>
    </row>
    <row r="290" spans="1:34" x14ac:dyDescent="0.35">
      <c r="A290" s="81" t="s">
        <v>160</v>
      </c>
      <c r="B290" s="81"/>
      <c r="C290" s="81"/>
      <c r="D290" s="81"/>
      <c r="E290" s="81"/>
      <c r="F290" s="81"/>
      <c r="G290" s="81"/>
      <c r="H290" s="81"/>
      <c r="I290" s="81"/>
      <c r="J290" s="81"/>
      <c r="K290" s="81"/>
      <c r="L290" s="81"/>
      <c r="M290" s="81"/>
      <c r="N290" s="81"/>
      <c r="O290" s="81"/>
      <c r="P290" s="81"/>
      <c r="Q290" s="81"/>
      <c r="S290" s="81"/>
      <c r="T290" s="81"/>
      <c r="U290" s="81"/>
      <c r="V290" s="81"/>
      <c r="W290" s="81"/>
      <c r="X290" s="81"/>
      <c r="Y290" s="81"/>
      <c r="Z290" s="81"/>
    </row>
    <row r="291" spans="1:34" x14ac:dyDescent="0.35">
      <c r="A291" s="81"/>
      <c r="B291" s="81"/>
      <c r="C291" s="81"/>
      <c r="D291" s="81"/>
      <c r="E291" s="86" t="s">
        <v>161</v>
      </c>
      <c r="F291" s="81"/>
      <c r="G291" s="81"/>
      <c r="H291" s="81"/>
      <c r="I291" s="124" t="s">
        <v>162</v>
      </c>
      <c r="J291" s="81"/>
      <c r="K291" s="81"/>
      <c r="L291" s="81"/>
      <c r="M291" s="81"/>
      <c r="N291" s="81"/>
      <c r="O291" s="125" t="s">
        <v>124</v>
      </c>
      <c r="S291" s="81"/>
      <c r="T291" s="81"/>
      <c r="U291" s="81"/>
      <c r="V291" s="81"/>
      <c r="W291" s="81"/>
      <c r="X291" s="81"/>
      <c r="Y291" s="81"/>
      <c r="Z291" s="81"/>
    </row>
    <row r="292" spans="1:34" x14ac:dyDescent="0.35">
      <c r="A292" s="81"/>
      <c r="D292" s="81"/>
      <c r="E292" s="81" t="s">
        <v>56</v>
      </c>
      <c r="F292" s="81" t="s">
        <v>57</v>
      </c>
      <c r="G292" s="81" t="s">
        <v>49</v>
      </c>
      <c r="H292" s="81"/>
      <c r="K292" s="81" t="s">
        <v>56</v>
      </c>
      <c r="L292" s="81" t="s">
        <v>57</v>
      </c>
      <c r="M292" s="81" t="s">
        <v>49</v>
      </c>
      <c r="N292" s="126"/>
      <c r="O292" s="81" t="s">
        <v>56</v>
      </c>
      <c r="P292" s="81" t="s">
        <v>57</v>
      </c>
      <c r="Q292" s="81" t="s">
        <v>49</v>
      </c>
      <c r="R292" s="81"/>
      <c r="S292" s="81"/>
      <c r="T292" s="81"/>
      <c r="U292" s="81"/>
      <c r="V292" s="81"/>
      <c r="W292" s="81"/>
    </row>
    <row r="293" spans="1:34" x14ac:dyDescent="0.35">
      <c r="A293" s="81"/>
      <c r="B293" s="81" t="s">
        <v>70</v>
      </c>
      <c r="C293" s="81"/>
      <c r="D293" s="81"/>
      <c r="E293" s="110">
        <f ca="1">K293-O293</f>
        <v>1105.7486389956521</v>
      </c>
      <c r="F293" s="110">
        <f ca="1">L293-P293</f>
        <v>211.77232940225136</v>
      </c>
      <c r="G293" s="110">
        <f ca="1">E293-F293</f>
        <v>893.97630959340074</v>
      </c>
      <c r="H293" s="81"/>
      <c r="I293" s="81" t="s">
        <v>70</v>
      </c>
      <c r="J293" s="81"/>
      <c r="K293" s="103">
        <f>E25</f>
        <v>891.92097000000001</v>
      </c>
      <c r="L293" s="103">
        <f>C25</f>
        <v>188.22728000000001</v>
      </c>
      <c r="M293" s="110">
        <f>K293-L293</f>
        <v>703.69369000000006</v>
      </c>
      <c r="N293" s="126"/>
      <c r="O293" s="103">
        <f ca="1">I282</f>
        <v>-213.82766899565212</v>
      </c>
      <c r="P293" s="103">
        <f ca="1">I283</f>
        <v>-23.545049402251362</v>
      </c>
      <c r="Q293" s="90">
        <f ca="1">M293-G293</f>
        <v>-190.28261959340068</v>
      </c>
    </row>
    <row r="294" spans="1:34" x14ac:dyDescent="0.35">
      <c r="A294" s="81"/>
      <c r="B294" s="81" t="s">
        <v>127</v>
      </c>
      <c r="C294" s="81"/>
      <c r="D294" s="81"/>
      <c r="E294" s="110">
        <v>0</v>
      </c>
      <c r="F294" s="110">
        <f ca="1">L294-P294</f>
        <v>492.27070044336142</v>
      </c>
      <c r="G294" s="110">
        <f ca="1">E294-F294</f>
        <v>-492.27070044336142</v>
      </c>
      <c r="H294" s="81"/>
      <c r="I294" s="81" t="s">
        <v>71</v>
      </c>
      <c r="J294" s="81"/>
      <c r="K294" s="103">
        <f>E26</f>
        <v>2153.3555899999997</v>
      </c>
      <c r="L294" s="103">
        <f>C26</f>
        <v>2290.7207300000005</v>
      </c>
      <c r="M294" s="110">
        <f>K294-L294</f>
        <v>-137.36514000000079</v>
      </c>
      <c r="N294" s="126"/>
      <c r="O294" s="103">
        <f>K294-E294</f>
        <v>2153.3555899999997</v>
      </c>
      <c r="P294" s="103">
        <f ca="1">L288+I284</f>
        <v>1798.450029556639</v>
      </c>
      <c r="Q294" s="90">
        <f ca="1">M294-G294</f>
        <v>354.90556044336063</v>
      </c>
    </row>
    <row r="295" spans="1:34" x14ac:dyDescent="0.35">
      <c r="A295" s="81"/>
      <c r="B295" s="81" t="s">
        <v>28</v>
      </c>
      <c r="C295" s="81"/>
      <c r="D295" s="81"/>
      <c r="E295" s="110">
        <f>E294</f>
        <v>0</v>
      </c>
      <c r="F295" s="110">
        <f ca="1">G293*L270*L269</f>
        <v>0</v>
      </c>
      <c r="G295" s="110"/>
      <c r="H295" s="81"/>
      <c r="I295" s="81"/>
      <c r="J295" s="81"/>
      <c r="K295" s="103">
        <f>K294</f>
        <v>2153.3555899999997</v>
      </c>
      <c r="L295" s="81">
        <v>0</v>
      </c>
      <c r="M295" s="110"/>
      <c r="N295" s="81"/>
      <c r="O295" s="103">
        <f>K295-E295</f>
        <v>2153.3555899999997</v>
      </c>
      <c r="P295" s="103">
        <f ca="1">L295-F295</f>
        <v>0</v>
      </c>
    </row>
    <row r="296" spans="1:34" x14ac:dyDescent="0.35">
      <c r="A296" s="81"/>
      <c r="B296" s="81" t="s">
        <v>128</v>
      </c>
      <c r="C296" s="81"/>
      <c r="D296" s="81"/>
      <c r="E296" s="110">
        <f ca="1">E293*2*L272</f>
        <v>221.14972779913043</v>
      </c>
      <c r="F296" s="110">
        <f ca="1">L296-P296</f>
        <v>140.17829694917009</v>
      </c>
      <c r="G296" s="110">
        <f ca="1">E296-F296</f>
        <v>80.971430849960342</v>
      </c>
      <c r="H296" s="81"/>
      <c r="I296" s="81" t="s">
        <v>72</v>
      </c>
      <c r="J296" s="81"/>
      <c r="K296" s="103">
        <f>E27</f>
        <v>1112.3085600000004</v>
      </c>
      <c r="L296" s="103">
        <f>C27</f>
        <v>1195.9600700000001</v>
      </c>
      <c r="M296" s="110">
        <f>K296-L296</f>
        <v>-83.651509999999689</v>
      </c>
      <c r="N296" s="126"/>
      <c r="O296" s="103">
        <f t="shared" ref="O296:P298" ca="1" si="1">K296-E296</f>
        <v>891.15883220086994</v>
      </c>
      <c r="P296" s="103">
        <f ca="1">N288+I285</f>
        <v>1055.78177305083</v>
      </c>
      <c r="Q296" s="90">
        <f ca="1">M296-G296</f>
        <v>-164.62294084996003</v>
      </c>
      <c r="R296" s="81"/>
      <c r="S296" s="81"/>
      <c r="T296" s="81"/>
      <c r="U296" s="81"/>
      <c r="V296" s="81"/>
      <c r="W296" s="81"/>
      <c r="X296" s="81"/>
      <c r="Y296" s="81"/>
      <c r="Z296" s="81"/>
      <c r="AA296" s="81"/>
      <c r="AB296" s="81"/>
      <c r="AC296" s="81"/>
      <c r="AD296" s="81"/>
      <c r="AE296" s="81"/>
      <c r="AF296" s="81"/>
      <c r="AG296" s="81"/>
      <c r="AH296" s="81"/>
    </row>
    <row r="297" spans="1:34" x14ac:dyDescent="0.35">
      <c r="A297" s="81"/>
      <c r="B297" s="81" t="s">
        <v>28</v>
      </c>
      <c r="C297" s="81"/>
      <c r="D297" s="81"/>
      <c r="E297" s="110">
        <f ca="1">E296</f>
        <v>221.14972779913043</v>
      </c>
      <c r="F297" s="110">
        <f ca="1">G293*N270*N269</f>
        <v>0</v>
      </c>
      <c r="G297" s="110"/>
      <c r="H297" s="81"/>
      <c r="I297" s="81"/>
      <c r="J297" s="81"/>
      <c r="K297" s="103">
        <f>K296</f>
        <v>1112.3085600000004</v>
      </c>
      <c r="L297" s="103">
        <v>0</v>
      </c>
      <c r="M297" s="110"/>
      <c r="N297" s="126"/>
      <c r="O297" s="103">
        <f ca="1">K297-E297</f>
        <v>891.15883220086994</v>
      </c>
      <c r="P297" s="103">
        <f ca="1">L297-F297</f>
        <v>0</v>
      </c>
      <c r="Q297" s="90"/>
    </row>
    <row r="298" spans="1:34" x14ac:dyDescent="0.35">
      <c r="A298" s="81"/>
      <c r="B298" s="81" t="s">
        <v>62</v>
      </c>
      <c r="C298" s="81"/>
      <c r="D298" s="81"/>
      <c r="E298" s="110">
        <f ca="1">E293+E294+E296</f>
        <v>1326.8983667947825</v>
      </c>
      <c r="F298" s="110">
        <f ca="1">F293+F294+F296</f>
        <v>844.22132679478284</v>
      </c>
      <c r="G298" s="110">
        <f ca="1">G293+G294+G296</f>
        <v>482.67703999999969</v>
      </c>
      <c r="H298" s="81"/>
      <c r="I298" s="81" t="s">
        <v>62</v>
      </c>
      <c r="J298" s="81"/>
      <c r="K298" s="103">
        <f>E28</f>
        <v>4157.5851399999992</v>
      </c>
      <c r="L298" s="103">
        <f>C28</f>
        <v>3674.9081299999998</v>
      </c>
      <c r="M298" s="110">
        <f>K298-L298</f>
        <v>482.67700999999943</v>
      </c>
      <c r="N298" s="126"/>
      <c r="O298" s="103">
        <f t="shared" ca="1" si="1"/>
        <v>2830.6867732052169</v>
      </c>
      <c r="P298" s="90">
        <f t="shared" ca="1" si="1"/>
        <v>2830.6868032052171</v>
      </c>
      <c r="Q298" s="90">
        <f ca="1">M298-G298</f>
        <v>-3.0000000265317794E-5</v>
      </c>
    </row>
    <row r="299" spans="1:34" x14ac:dyDescent="0.35">
      <c r="A299" s="81"/>
      <c r="B299" s="81"/>
      <c r="C299" s="81"/>
      <c r="D299" s="81"/>
      <c r="E299" s="81"/>
      <c r="F299" s="81"/>
      <c r="G299" s="81"/>
      <c r="H299" s="81"/>
      <c r="I299" s="81"/>
      <c r="J299" s="81"/>
      <c r="K299" s="81"/>
      <c r="L299" s="81"/>
      <c r="M299" s="81"/>
      <c r="N299" s="81"/>
      <c r="O299" s="81"/>
    </row>
    <row r="300" spans="1:34" x14ac:dyDescent="0.35">
      <c r="A300" s="81" t="s">
        <v>50</v>
      </c>
      <c r="B300" s="81"/>
      <c r="C300" s="81"/>
      <c r="D300" s="81"/>
      <c r="E300" s="81"/>
      <c r="F300" s="81"/>
      <c r="G300" s="81"/>
      <c r="H300" s="81"/>
      <c r="I300" s="81"/>
      <c r="J300" s="81"/>
      <c r="K300" s="81"/>
      <c r="L300" s="81"/>
      <c r="M300" s="81"/>
      <c r="N300" s="81"/>
      <c r="O300" s="81"/>
    </row>
    <row r="301" spans="1:34" x14ac:dyDescent="0.35">
      <c r="A301" s="81"/>
      <c r="B301" s="81"/>
      <c r="C301" s="81"/>
      <c r="D301" s="81"/>
      <c r="E301" s="81"/>
      <c r="F301" s="81"/>
      <c r="G301" s="81"/>
      <c r="H301" s="81"/>
      <c r="I301" s="81"/>
      <c r="J301" s="81"/>
      <c r="K301" s="81"/>
      <c r="L301" s="81"/>
      <c r="M301" s="81"/>
      <c r="N301" s="81"/>
      <c r="O301" s="81"/>
    </row>
    <row r="302" spans="1:34" x14ac:dyDescent="0.35">
      <c r="A302" s="81" t="s">
        <v>125</v>
      </c>
      <c r="B302" s="81"/>
      <c r="C302" s="81"/>
      <c r="D302" s="81"/>
      <c r="E302" s="81"/>
      <c r="F302" s="81"/>
      <c r="G302" s="81" t="s">
        <v>53</v>
      </c>
      <c r="H302" s="81"/>
      <c r="I302" s="81" t="s">
        <v>53</v>
      </c>
      <c r="J302" s="81"/>
      <c r="K302" s="81"/>
      <c r="L302" s="81" t="s">
        <v>54</v>
      </c>
      <c r="M302" s="81"/>
      <c r="N302" s="81" t="s">
        <v>54</v>
      </c>
      <c r="O302" s="81"/>
    </row>
    <row r="303" spans="1:34" x14ac:dyDescent="0.35">
      <c r="A303" s="81"/>
      <c r="B303" s="81"/>
      <c r="C303" s="81"/>
      <c r="D303" s="81"/>
      <c r="E303" s="81"/>
      <c r="F303" s="81"/>
      <c r="G303" s="81" t="s">
        <v>52</v>
      </c>
      <c r="H303" s="81"/>
      <c r="I303" s="81" t="s">
        <v>52</v>
      </c>
      <c r="J303" s="81"/>
      <c r="K303" s="81"/>
      <c r="L303" s="81" t="s">
        <v>52</v>
      </c>
      <c r="M303" s="81"/>
      <c r="N303" s="81" t="s">
        <v>52</v>
      </c>
      <c r="O303" s="81"/>
    </row>
    <row r="304" spans="1:34" x14ac:dyDescent="0.35">
      <c r="A304" s="81"/>
      <c r="B304" s="81"/>
      <c r="C304" s="81"/>
      <c r="D304" s="81"/>
      <c r="E304" s="81"/>
      <c r="F304" s="81"/>
      <c r="G304" s="81" t="s">
        <v>59</v>
      </c>
      <c r="H304" s="81"/>
      <c r="I304" s="81" t="s">
        <v>72</v>
      </c>
      <c r="J304" s="81"/>
      <c r="K304" s="81"/>
      <c r="L304" s="81" t="s">
        <v>59</v>
      </c>
      <c r="M304" s="81"/>
      <c r="N304" s="81" t="s">
        <v>72</v>
      </c>
      <c r="O304" s="81"/>
    </row>
    <row r="305" spans="1:60" x14ac:dyDescent="0.35">
      <c r="A305" s="81" t="s">
        <v>131</v>
      </c>
      <c r="B305" s="81"/>
      <c r="C305" s="81"/>
      <c r="D305" s="81"/>
      <c r="E305" s="81"/>
      <c r="F305" s="81"/>
      <c r="G305" s="88">
        <f ca="1">(-F295/G228-L267*O295*(EXP(-L268*LN(G228/((1+L272)*(1+L274))))))*(1-L271)</f>
        <v>-1701.2152082923144</v>
      </c>
      <c r="H305" s="88"/>
      <c r="I305" s="88">
        <f ca="1">(-F297/I228-N267*O297*(EXP(-N268*LN(I228/((1+N272)*(1+N274))))))*(1-N271)</f>
        <v>-298.19514189340663</v>
      </c>
      <c r="J305" s="88"/>
      <c r="K305" s="81"/>
      <c r="L305" s="88">
        <f ca="1">((F295/G228*EXP(-L268*LN(1/(G228*(1+L272)*(1+L273)))))+O295+N305*N37/L37+N306*I37/G37)*(1-L271)</f>
        <v>2121.0773723642092</v>
      </c>
      <c r="M305" s="100"/>
      <c r="N305" s="88">
        <f ca="1">((F297/I228*EXP(-N268*LN(1/(I228*(1+N272)*(1+N273)))))+O297+L305*L38/N38+L306*G38/I38)*(1-N271)</f>
        <v>1130.8549418008856</v>
      </c>
      <c r="O305" s="100"/>
      <c r="P305" s="206"/>
      <c r="Q305" s="81"/>
      <c r="R305" s="81"/>
      <c r="S305" s="81"/>
      <c r="T305" s="81"/>
      <c r="U305" s="81"/>
      <c r="V305" s="81"/>
      <c r="W305" s="81"/>
      <c r="X305" s="81"/>
      <c r="Y305" s="81"/>
      <c r="Z305" s="81"/>
      <c r="AA305" s="81"/>
      <c r="AB305" s="81"/>
      <c r="AC305" s="81"/>
      <c r="AD305" s="81"/>
      <c r="AE305" s="81"/>
      <c r="AF305" s="81"/>
      <c r="AG305" s="81"/>
      <c r="AH305" s="81"/>
      <c r="AI305" s="81"/>
      <c r="AJ305" s="81"/>
      <c r="AK305" s="81"/>
      <c r="AL305" s="81"/>
      <c r="AM305" s="81"/>
      <c r="AN305" s="81"/>
      <c r="AO305" s="81"/>
      <c r="AP305" s="81"/>
      <c r="AQ305" s="81"/>
      <c r="AR305" s="81"/>
      <c r="AS305" s="81"/>
      <c r="AT305" s="81"/>
      <c r="AU305" s="81"/>
      <c r="AV305" s="81"/>
      <c r="AW305" s="81"/>
      <c r="AX305" s="81"/>
      <c r="AY305" s="81"/>
      <c r="AZ305" s="81"/>
      <c r="BA305" s="81"/>
      <c r="BB305" s="81"/>
      <c r="BC305" s="81"/>
      <c r="BD305" s="81"/>
      <c r="BE305" s="81"/>
      <c r="BF305" s="81"/>
      <c r="BG305" s="81"/>
      <c r="BH305" s="81"/>
    </row>
    <row r="306" spans="1:60" x14ac:dyDescent="0.35">
      <c r="A306" s="81" t="s">
        <v>132</v>
      </c>
      <c r="B306" s="81"/>
      <c r="C306" s="81"/>
      <c r="D306" s="81"/>
      <c r="E306" s="81"/>
      <c r="F306" s="81"/>
      <c r="G306" s="88">
        <f ca="1">((1-L272)*P294+I306*I37/G37+I305*N37/L37)*(1-L271)</f>
        <v>1554.7671269608343</v>
      </c>
      <c r="H306" s="88"/>
      <c r="I306" s="88">
        <f ca="1">((1-N272)*P296+G306*G38/I38+G305*L38/N38)*(1-N271)</f>
        <v>985.78372121377652</v>
      </c>
      <c r="J306" s="88"/>
      <c r="K306" s="81"/>
      <c r="L306" s="88">
        <f ca="1">-L275*P294*(1-L271)</f>
        <v>-834.48081371428054</v>
      </c>
      <c r="M306" s="81"/>
      <c r="N306" s="88">
        <f ca="1">-N275*P296*(1-N271)</f>
        <v>-500.44056042609338</v>
      </c>
      <c r="P306" s="204"/>
      <c r="Q306" s="81"/>
      <c r="R306" s="81"/>
      <c r="S306" s="81"/>
      <c r="T306" s="81"/>
      <c r="U306" s="81"/>
      <c r="V306" s="81"/>
      <c r="W306" s="81"/>
      <c r="X306" s="81"/>
      <c r="Y306" s="81"/>
      <c r="Z306" s="81"/>
      <c r="AA306" s="81"/>
      <c r="AB306" s="81"/>
      <c r="AC306" s="81"/>
      <c r="AD306" s="81"/>
      <c r="AE306" s="81"/>
      <c r="AF306" s="81"/>
      <c r="AG306" s="81"/>
      <c r="AH306" s="81"/>
      <c r="AI306" s="81"/>
      <c r="AJ306" s="81"/>
      <c r="AK306" s="81"/>
      <c r="AL306" s="81"/>
      <c r="AM306" s="81"/>
      <c r="AN306" s="81"/>
      <c r="AO306" s="81"/>
      <c r="AP306" s="81"/>
      <c r="AQ306" s="81"/>
      <c r="AR306" s="81"/>
      <c r="AS306" s="81"/>
      <c r="AT306" s="81"/>
      <c r="AU306" s="81"/>
      <c r="AV306" s="81"/>
      <c r="AW306" s="81"/>
      <c r="AX306" s="81"/>
      <c r="AY306" s="81"/>
      <c r="AZ306" s="81"/>
      <c r="BA306" s="81"/>
      <c r="BB306" s="81"/>
      <c r="BC306" s="81"/>
      <c r="BD306" s="81"/>
      <c r="BE306" s="81"/>
      <c r="BF306" s="81"/>
      <c r="BG306" s="81"/>
      <c r="BH306" s="81"/>
    </row>
    <row r="307" spans="1:60" x14ac:dyDescent="0.35">
      <c r="A307" s="81" t="s">
        <v>35</v>
      </c>
      <c r="B307" s="81"/>
      <c r="C307" s="81"/>
      <c r="D307" s="81"/>
      <c r="E307" s="81"/>
      <c r="F307" s="81"/>
      <c r="G307" s="88">
        <f ca="1">G305*G228+G306</f>
        <v>-1130.5416079964264</v>
      </c>
      <c r="H307" s="81"/>
      <c r="I307" s="88">
        <f ca="1">I305*I228+I306</f>
        <v>301.25389569053414</v>
      </c>
      <c r="J307" s="81"/>
      <c r="K307" s="81"/>
      <c r="L307" s="88">
        <f ca="1">L305+L306*L228</f>
        <v>1522.8869256424223</v>
      </c>
      <c r="M307" s="81"/>
      <c r="N307" s="88">
        <f ca="1">N305+N306*N228</f>
        <v>824.730428405461</v>
      </c>
      <c r="O307" s="81"/>
    </row>
    <row r="308" spans="1:60" x14ac:dyDescent="0.35">
      <c r="A308" s="81"/>
      <c r="B308" s="81"/>
      <c r="C308" s="81"/>
      <c r="D308" s="81"/>
      <c r="E308" s="81"/>
      <c r="F308" s="81"/>
      <c r="G308" s="81"/>
      <c r="H308" s="81"/>
      <c r="I308" s="81"/>
      <c r="J308" s="81"/>
      <c r="K308" s="81"/>
      <c r="L308" s="81"/>
      <c r="M308" s="81"/>
      <c r="N308" s="81"/>
      <c r="O308" s="81"/>
    </row>
    <row r="309" spans="1:60" x14ac:dyDescent="0.35">
      <c r="A309" s="81" t="s">
        <v>126</v>
      </c>
      <c r="B309" s="81"/>
      <c r="C309" s="81"/>
      <c r="D309" s="81"/>
      <c r="E309" s="81"/>
      <c r="F309" s="81"/>
      <c r="G309" s="81"/>
      <c r="H309" s="81"/>
      <c r="I309" s="81"/>
      <c r="J309" s="81"/>
      <c r="K309" s="81"/>
      <c r="L309" s="81"/>
      <c r="M309" s="81"/>
      <c r="N309" s="81"/>
      <c r="O309" s="81"/>
    </row>
    <row r="310" spans="1:60" x14ac:dyDescent="0.35">
      <c r="A310" s="81" t="s">
        <v>32</v>
      </c>
      <c r="B310" s="81"/>
      <c r="C310" s="81"/>
      <c r="D310" s="81"/>
      <c r="E310" s="81"/>
      <c r="F310" s="88"/>
      <c r="G310" s="88">
        <f ca="1">(G305*G226+G306*G176)/1000</f>
        <v>-897.91633657611555</v>
      </c>
      <c r="H310" s="88"/>
      <c r="I310" s="88">
        <f ca="1">(I305*I226+I306*I172)/1000</f>
        <v>240.11760111700966</v>
      </c>
      <c r="J310" s="88"/>
      <c r="K310" s="81"/>
      <c r="L310" s="88">
        <f ca="1">(L305*L176+L306*L226)/1000</f>
        <v>669.72020848605086</v>
      </c>
      <c r="M310" s="81"/>
      <c r="N310" s="88">
        <f ca="1">(N305*N172+N306*N226)/1000</f>
        <v>666.89664973530262</v>
      </c>
      <c r="O310" s="81"/>
      <c r="P310" s="81"/>
      <c r="Q310" s="81"/>
    </row>
    <row r="311" spans="1:60" x14ac:dyDescent="0.35">
      <c r="A311" s="81"/>
      <c r="B311" s="81"/>
      <c r="C311" s="81"/>
      <c r="D311" s="81"/>
      <c r="E311" s="81"/>
      <c r="F311" s="81"/>
      <c r="G311" s="81"/>
      <c r="H311" s="81"/>
      <c r="I311" s="81"/>
      <c r="J311" s="81"/>
      <c r="K311" s="81"/>
      <c r="L311" s="81"/>
      <c r="M311" s="81"/>
      <c r="N311" s="81"/>
      <c r="O311" s="81"/>
    </row>
    <row r="312" spans="1:60" x14ac:dyDescent="0.35">
      <c r="A312" s="81"/>
      <c r="B312" s="81"/>
      <c r="C312" s="81"/>
      <c r="D312" s="81"/>
      <c r="E312" s="81"/>
      <c r="F312" s="81"/>
      <c r="G312" s="81"/>
      <c r="H312" s="81"/>
      <c r="I312" s="81"/>
      <c r="J312" s="81"/>
      <c r="K312" s="81"/>
      <c r="L312" s="81"/>
      <c r="M312" s="81"/>
      <c r="N312" s="81"/>
      <c r="O312" s="81"/>
    </row>
    <row r="313" spans="1:60" x14ac:dyDescent="0.35">
      <c r="A313" s="126" t="s">
        <v>143</v>
      </c>
      <c r="B313" s="126"/>
      <c r="C313" s="126"/>
      <c r="D313" s="126"/>
      <c r="E313" s="126"/>
      <c r="F313" s="126"/>
      <c r="G313" s="126"/>
      <c r="H313" s="126"/>
      <c r="I313" s="126"/>
      <c r="J313" s="126"/>
      <c r="K313" s="126"/>
      <c r="L313" s="126"/>
      <c r="M313" s="126"/>
      <c r="N313" s="126"/>
      <c r="O313" s="126"/>
      <c r="P313" s="126"/>
      <c r="Q313" s="126"/>
      <c r="R313" s="81"/>
      <c r="S313" s="81"/>
      <c r="T313" s="81"/>
    </row>
    <row r="314" spans="1:60" x14ac:dyDescent="0.35">
      <c r="A314" s="126"/>
      <c r="B314" s="126"/>
      <c r="C314" s="126"/>
      <c r="D314" s="126"/>
      <c r="E314" s="126"/>
      <c r="F314" s="126"/>
      <c r="G314" s="126"/>
      <c r="H314" s="126"/>
      <c r="I314" s="126"/>
      <c r="J314" s="126"/>
      <c r="K314" s="126"/>
      <c r="L314" s="126"/>
      <c r="M314" s="126"/>
      <c r="N314" s="126"/>
      <c r="O314" s="126"/>
      <c r="P314" s="126"/>
      <c r="Q314" s="126"/>
      <c r="R314" s="81"/>
      <c r="S314" s="81"/>
      <c r="T314" s="81"/>
    </row>
    <row r="315" spans="1:60" x14ac:dyDescent="0.35">
      <c r="A315" s="126"/>
      <c r="B315" s="126"/>
      <c r="C315" s="126"/>
      <c r="D315" s="126"/>
      <c r="E315" s="126"/>
      <c r="F315" s="127" t="s">
        <v>59</v>
      </c>
      <c r="G315" s="126"/>
      <c r="H315" s="126"/>
      <c r="I315" s="127" t="s">
        <v>72</v>
      </c>
      <c r="J315" s="126"/>
      <c r="K315" s="126"/>
      <c r="L315" s="126"/>
      <c r="M315" s="127" t="s">
        <v>59</v>
      </c>
      <c r="N315" s="126"/>
      <c r="O315" s="126"/>
      <c r="P315" s="127" t="s">
        <v>72</v>
      </c>
      <c r="Q315" s="126"/>
      <c r="R315" s="81"/>
      <c r="S315" s="81"/>
      <c r="T315" s="81"/>
    </row>
    <row r="316" spans="1:60" x14ac:dyDescent="0.35">
      <c r="A316" s="126"/>
      <c r="B316" s="126"/>
      <c r="C316" s="126"/>
      <c r="D316" s="126"/>
      <c r="E316" s="126" t="s">
        <v>21</v>
      </c>
      <c r="F316" s="126"/>
      <c r="G316" s="126"/>
      <c r="H316" s="126" t="s">
        <v>21</v>
      </c>
      <c r="I316" s="126"/>
      <c r="J316" s="126"/>
      <c r="K316" s="126"/>
      <c r="L316" s="126" t="s">
        <v>31</v>
      </c>
      <c r="M316" s="126"/>
      <c r="N316" s="126"/>
      <c r="O316" s="126" t="s">
        <v>31</v>
      </c>
      <c r="P316" s="126"/>
      <c r="Q316" s="126"/>
      <c r="R316" s="81"/>
      <c r="S316" s="81"/>
      <c r="T316" s="81"/>
    </row>
    <row r="317" spans="1:60" x14ac:dyDescent="0.35">
      <c r="A317" s="126" t="s">
        <v>44</v>
      </c>
      <c r="B317" s="126"/>
      <c r="C317" s="126"/>
      <c r="D317" s="126"/>
      <c r="E317" s="126" t="s">
        <v>61</v>
      </c>
      <c r="F317" s="126" t="s">
        <v>58</v>
      </c>
      <c r="G317" s="126" t="s">
        <v>60</v>
      </c>
      <c r="H317" s="126" t="s">
        <v>61</v>
      </c>
      <c r="I317" s="126" t="s">
        <v>58</v>
      </c>
      <c r="J317" s="126" t="s">
        <v>60</v>
      </c>
      <c r="K317" s="126"/>
      <c r="L317" s="126" t="s">
        <v>61</v>
      </c>
      <c r="M317" s="126" t="s">
        <v>58</v>
      </c>
      <c r="N317" s="126" t="s">
        <v>60</v>
      </c>
      <c r="O317" s="126" t="s">
        <v>61</v>
      </c>
      <c r="P317" s="126" t="s">
        <v>58</v>
      </c>
      <c r="Q317" s="126" t="s">
        <v>60</v>
      </c>
      <c r="R317" s="81"/>
      <c r="S317" s="81"/>
      <c r="T317" s="81"/>
    </row>
    <row r="318" spans="1:60" x14ac:dyDescent="0.35">
      <c r="A318" s="126" t="s">
        <v>34</v>
      </c>
      <c r="B318" s="126"/>
      <c r="C318" s="126"/>
      <c r="D318" s="126"/>
      <c r="E318" s="126">
        <f ca="1">G306*G197/1000</f>
        <v>3.2566465772502875</v>
      </c>
      <c r="F318" s="126">
        <f ca="1">G305*G252/1000</f>
        <v>-1.4392727220642156</v>
      </c>
      <c r="G318" s="126">
        <f ca="1">(G305*G252+G306*G197)/1000</f>
        <v>1.8173738551860716</v>
      </c>
      <c r="H318" s="126">
        <f ca="1">I306*I197/1000</f>
        <v>5.3897890341893353</v>
      </c>
      <c r="I318" s="126">
        <f ca="1">I305*I252/1000</f>
        <v>-1.2044441869911782</v>
      </c>
      <c r="J318" s="126">
        <f ca="1">(I305*I252+I306*I197)/1000</f>
        <v>4.1853448471981576</v>
      </c>
      <c r="K318" s="126"/>
      <c r="L318" s="126">
        <f ca="1">L306*L252/1000</f>
        <v>-1.5201589439981422</v>
      </c>
      <c r="M318" s="126">
        <f ca="1">L305*L197/1000</f>
        <v>1.3356682326725862</v>
      </c>
      <c r="N318" s="126">
        <f ca="1">(L305*L197+L306*L252)/1000</f>
        <v>-0.18449071132555606</v>
      </c>
      <c r="O318" s="126">
        <f ca="1">N306*N252/1000</f>
        <v>-2.4730672350849408</v>
      </c>
      <c r="P318" s="126">
        <f ca="1">N305*N197/1000</f>
        <v>3.1353259542915968</v>
      </c>
      <c r="Q318" s="126">
        <f ca="1">(N305*N197+N306*N252)/1000</f>
        <v>0.6622587192066558</v>
      </c>
      <c r="R318" s="81"/>
      <c r="S318" s="81"/>
      <c r="T318" s="81"/>
      <c r="U318" s="81"/>
    </row>
    <row r="319" spans="1:60" x14ac:dyDescent="0.35">
      <c r="A319" s="126" t="s">
        <v>244</v>
      </c>
      <c r="B319" s="126"/>
      <c r="C319" s="126"/>
      <c r="D319" s="126"/>
      <c r="E319" s="126">
        <f ca="1">G306*G196/1000</f>
        <v>10.409788558146218</v>
      </c>
      <c r="F319" s="126">
        <f ca="1">G305*G251/1000</f>
        <v>-32.536669499268548</v>
      </c>
      <c r="G319" s="126">
        <f ca="1">(G305*G251+G306*G196)/1000</f>
        <v>-22.12688094112233</v>
      </c>
      <c r="H319" s="126">
        <f ca="1">I306*I196/1000</f>
        <v>9.0229940442118952</v>
      </c>
      <c r="I319" s="126">
        <f ca="1">I305*I251/1000</f>
        <v>-13.825977498597155</v>
      </c>
      <c r="J319" s="126">
        <f ca="1">(I305*I251+I306*I196)/1000</f>
        <v>-4.8029834543852594</v>
      </c>
      <c r="K319" s="126"/>
      <c r="L319" s="126">
        <f ca="1">L306*L251/1000</f>
        <v>-9.487462495574519</v>
      </c>
      <c r="M319" s="126">
        <f ca="1">L305*L196/1000</f>
        <v>65.690571772092639</v>
      </c>
      <c r="N319" s="126">
        <f ca="1">(L305*L196+L306*L251)/1000</f>
        <v>56.20310927651812</v>
      </c>
      <c r="O319" s="126">
        <f ca="1">N306*N251/1000</f>
        <v>-8.9539847463709101</v>
      </c>
      <c r="P319" s="126">
        <f ca="1">N305*N196/1000</f>
        <v>84.685403937751474</v>
      </c>
      <c r="Q319" s="126">
        <f ca="1">(N305*N196+N306*N251)/1000</f>
        <v>75.731419191380553</v>
      </c>
      <c r="R319" s="81"/>
      <c r="S319" s="81"/>
      <c r="T319" s="81"/>
      <c r="U319" s="81"/>
    </row>
    <row r="320" spans="1:60" x14ac:dyDescent="0.35">
      <c r="A320" s="126" t="s">
        <v>29</v>
      </c>
      <c r="B320" s="126"/>
      <c r="C320" s="126"/>
      <c r="D320" s="126"/>
      <c r="E320" s="126">
        <f ca="1">G306*G198/10</f>
        <v>1049.6489886994914</v>
      </c>
      <c r="F320" s="126">
        <f ca="1">G305*G253/10</f>
        <v>-2301.9862086177536</v>
      </c>
      <c r="G320" s="126">
        <f ca="1">G305/10*G253+G306/10*G198</f>
        <v>-1252.337219918262</v>
      </c>
      <c r="H320" s="126">
        <f ca="1">I306*I198/10</f>
        <v>2301.5133926884296</v>
      </c>
      <c r="I320" s="126">
        <f ca="1">I305*I253/10</f>
        <v>-1258.0984074181461</v>
      </c>
      <c r="J320" s="126">
        <f ca="1">I305/10*I253+I306/10*I198</f>
        <v>1043.4149852702835</v>
      </c>
      <c r="K320" s="126"/>
      <c r="L320" s="126">
        <f ca="1">L306*L253/10*L188/100</f>
        <v>-255.67353600188034</v>
      </c>
      <c r="M320" s="126">
        <f ca="1">L305*L198/10*L188/100</f>
        <v>1114.7607092499704</v>
      </c>
      <c r="N320" s="126">
        <f ca="1">(L305*L198+L306*L253)/10*L188/100</f>
        <v>859.08717324809015</v>
      </c>
      <c r="O320" s="126">
        <f ca="1">N306*N253/10*N188/100</f>
        <v>-558.4526803945738</v>
      </c>
      <c r="P320" s="126">
        <f ca="1">N305*N198/10*N188/100</f>
        <v>1731.8861452643175</v>
      </c>
      <c r="Q320" s="126">
        <f ca="1">(N305*N198+N306*N253)/10*N188/100</f>
        <v>1173.4334648697436</v>
      </c>
      <c r="R320" s="81"/>
      <c r="S320" s="81"/>
      <c r="T320" s="81"/>
      <c r="U320" s="81"/>
    </row>
    <row r="321" spans="1:21" x14ac:dyDescent="0.35">
      <c r="A321" s="126"/>
      <c r="B321" s="126"/>
      <c r="C321" s="126"/>
      <c r="D321" s="126"/>
      <c r="E321" s="126"/>
      <c r="F321" s="126"/>
      <c r="G321" s="126"/>
      <c r="H321" s="126"/>
      <c r="I321" s="126"/>
      <c r="J321" s="126"/>
      <c r="K321" s="126"/>
      <c r="L321" s="126"/>
      <c r="M321" s="126"/>
      <c r="N321" s="126"/>
      <c r="O321" s="126"/>
      <c r="P321" s="126"/>
      <c r="Q321" s="126"/>
      <c r="R321" s="81"/>
      <c r="S321" s="81"/>
      <c r="T321" s="81"/>
      <c r="U321" s="81"/>
    </row>
    <row r="322" spans="1:21" x14ac:dyDescent="0.35">
      <c r="A322" s="126" t="s">
        <v>130</v>
      </c>
      <c r="B322" s="103"/>
      <c r="C322" s="103"/>
      <c r="D322" s="103"/>
      <c r="E322" s="103"/>
      <c r="F322" s="103"/>
      <c r="G322" s="103">
        <f>G98</f>
        <v>1903.4354964816262</v>
      </c>
      <c r="H322" s="103"/>
      <c r="I322" s="103"/>
      <c r="J322" s="103">
        <f>I98</f>
        <v>1744.8264268960127</v>
      </c>
      <c r="K322" s="103"/>
      <c r="L322" s="103"/>
      <c r="M322" s="103"/>
      <c r="N322" s="103">
        <f>L98</f>
        <v>2282.6452304394425</v>
      </c>
      <c r="O322" s="103"/>
      <c r="P322" s="103"/>
      <c r="Q322" s="103">
        <f>N98</f>
        <v>2125.7963558413712</v>
      </c>
      <c r="R322" s="103"/>
      <c r="S322" s="81"/>
      <c r="T322" s="81"/>
      <c r="U322" s="81"/>
    </row>
    <row r="323" spans="1:21" x14ac:dyDescent="0.35">
      <c r="A323" s="126"/>
      <c r="B323" s="126"/>
      <c r="C323" s="126"/>
      <c r="D323" s="126"/>
      <c r="E323" s="126"/>
      <c r="F323" s="126"/>
      <c r="G323" s="126"/>
      <c r="H323" s="126"/>
      <c r="I323" s="126"/>
      <c r="J323" s="126"/>
      <c r="K323" s="128" t="s">
        <v>142</v>
      </c>
      <c r="L323" s="126"/>
      <c r="M323" s="126"/>
      <c r="N323" s="126"/>
      <c r="O323" s="126"/>
      <c r="P323" s="126"/>
      <c r="Q323" s="126"/>
      <c r="R323" s="128" t="s">
        <v>142</v>
      </c>
      <c r="S323" s="81"/>
      <c r="T323" s="81"/>
    </row>
    <row r="324" spans="1:21" x14ac:dyDescent="0.35">
      <c r="A324" s="126" t="s">
        <v>258</v>
      </c>
      <c r="B324" s="126"/>
      <c r="C324" s="126"/>
      <c r="D324" s="126"/>
      <c r="E324" s="126">
        <f ca="1">E318*1000/G322*100/G185</f>
        <v>1.710930884324676</v>
      </c>
      <c r="F324" s="126">
        <f ca="1">F318*1000/G322*100/G185</f>
        <v>-0.75614473131588411</v>
      </c>
      <c r="G324" s="126">
        <f ca="1">G318*1000/G322*100/G185</f>
        <v>0.95478615300879188</v>
      </c>
      <c r="H324" s="126">
        <f ca="1">H318*1000/J322*100/I185</f>
        <v>3.0890115779468035</v>
      </c>
      <c r="I324" s="126">
        <f ca="1">I318*1000/J322*100/I185</f>
        <v>-0.69029455791418959</v>
      </c>
      <c r="J324" s="126">
        <f ca="1">J318*1000/J322*100/I185</f>
        <v>2.3987170200326142</v>
      </c>
      <c r="K324" s="126">
        <f ca="1">G324+J324</f>
        <v>3.353503173041406</v>
      </c>
      <c r="L324" s="126">
        <f ca="1">L318*1000/N322*100/L185</f>
        <v>-1.331927470573681</v>
      </c>
      <c r="M324" s="126">
        <f ca="1">M318*1000/N322*100/L185</f>
        <v>1.1702810536313175</v>
      </c>
      <c r="N324" s="126">
        <f ca="1">N318*1000/N322*100/L185</f>
        <v>-0.16164641694236376</v>
      </c>
      <c r="O324" s="126">
        <f ca="1">O318*1000/Q322*100/N185</f>
        <v>-2.3267207400081586</v>
      </c>
      <c r="P324" s="126">
        <f ca="1">P318*1000/Q322*100/N185</f>
        <v>2.9497895653797586</v>
      </c>
      <c r="Q324" s="126">
        <f ca="1">Q318*1000/Q322*100/N185</f>
        <v>0.62306882537160024</v>
      </c>
      <c r="R324" s="126">
        <f ca="1">N324+Q324</f>
        <v>0.46142240842923649</v>
      </c>
      <c r="S324" s="81"/>
      <c r="T324" s="81"/>
    </row>
    <row r="325" spans="1:21" x14ac:dyDescent="0.35">
      <c r="A325" s="126" t="s">
        <v>259</v>
      </c>
      <c r="B325" s="126"/>
      <c r="C325" s="126"/>
      <c r="D325" s="126"/>
      <c r="E325" s="126">
        <f ca="1">E319*1000/G322</f>
        <v>5.4689473729937363</v>
      </c>
      <c r="F325" s="126">
        <f ca="1">F319*1000/G322</f>
        <v>-17.093654898950039</v>
      </c>
      <c r="G325" s="126">
        <f ca="1">G319*1000/$G$322</f>
        <v>-11.624707525956302</v>
      </c>
      <c r="H325" s="126">
        <f ca="1">H319*1000/J322</f>
        <v>5.1712846075259744</v>
      </c>
      <c r="I325" s="126">
        <f ca="1">I319*1000/J322</f>
        <v>-7.9239844637114434</v>
      </c>
      <c r="J325" s="126">
        <f ca="1">J319*1000/J322</f>
        <v>-2.752699856185469</v>
      </c>
      <c r="K325" s="126">
        <f ca="1">G325+J325</f>
        <v>-14.37740738214177</v>
      </c>
      <c r="L325" s="126">
        <f ca="1">L319*1000/N322</f>
        <v>-4.1563456156294789</v>
      </c>
      <c r="M325" s="126">
        <f ca="1">M319*1000/N322</f>
        <v>28.778266064344233</v>
      </c>
      <c r="N325" s="126">
        <f ca="1">N319*1000/N322</f>
        <v>24.621920448714757</v>
      </c>
      <c r="O325" s="126">
        <f ca="1">O319*1000/Q322</f>
        <v>-4.212061386673609</v>
      </c>
      <c r="P325" s="126">
        <f ca="1">P319*1000/Q322</f>
        <v>39.837025642201624</v>
      </c>
      <c r="Q325" s="126">
        <f ca="1">Q319*1000/Q322</f>
        <v>35.624964255528013</v>
      </c>
      <c r="R325" s="126">
        <f ca="1">N325+Q325</f>
        <v>60.246884704242774</v>
      </c>
      <c r="S325" s="81"/>
      <c r="T325" s="81"/>
    </row>
    <row r="326" spans="1:21" x14ac:dyDescent="0.35">
      <c r="A326" s="126" t="s">
        <v>37</v>
      </c>
      <c r="B326" s="126"/>
      <c r="C326" s="126"/>
      <c r="D326" s="126"/>
      <c r="E326" s="126">
        <f t="shared" ref="E326:J326" ca="1" si="2">E324+E325</f>
        <v>7.1798782573184123</v>
      </c>
      <c r="F326" s="126">
        <f t="shared" ca="1" si="2"/>
        <v>-17.849799630265924</v>
      </c>
      <c r="G326" s="126">
        <f t="shared" ca="1" si="2"/>
        <v>-10.66992137294751</v>
      </c>
      <c r="H326" s="126">
        <f t="shared" ca="1" si="2"/>
        <v>8.2602961854727788</v>
      </c>
      <c r="I326" s="126">
        <f t="shared" ca="1" si="2"/>
        <v>-8.6142790216256326</v>
      </c>
      <c r="J326" s="126">
        <f t="shared" ca="1" si="2"/>
        <v>-0.35398283615285475</v>
      </c>
      <c r="K326" s="126">
        <f ca="1">G326+J326</f>
        <v>-11.023904209100365</v>
      </c>
      <c r="L326" s="126">
        <f t="shared" ref="L326:Q326" ca="1" si="3">L324+L325</f>
        <v>-5.4882730862031597</v>
      </c>
      <c r="M326" s="126">
        <f t="shared" ca="1" si="3"/>
        <v>29.948547117975551</v>
      </c>
      <c r="N326" s="126">
        <f t="shared" ca="1" si="3"/>
        <v>24.460274031772393</v>
      </c>
      <c r="O326" s="126">
        <f t="shared" ca="1" si="3"/>
        <v>-6.5387821266817676</v>
      </c>
      <c r="P326" s="126">
        <f t="shared" ca="1" si="3"/>
        <v>42.786815207581384</v>
      </c>
      <c r="Q326" s="126">
        <f t="shared" ca="1" si="3"/>
        <v>36.24803308089961</v>
      </c>
      <c r="R326" s="126">
        <f ca="1">N326+Q326</f>
        <v>60.708307112672003</v>
      </c>
      <c r="S326" s="81"/>
      <c r="T326" s="81"/>
    </row>
    <row r="327" spans="1:21" x14ac:dyDescent="0.35">
      <c r="A327" s="126" t="s">
        <v>30</v>
      </c>
      <c r="B327" s="126"/>
      <c r="C327" s="126"/>
      <c r="D327" s="126"/>
      <c r="E327" s="126">
        <f t="shared" ref="E327:J327" ca="1" si="4">E320*$G$188/100</f>
        <v>1049.6489886994914</v>
      </c>
      <c r="F327" s="126">
        <f t="shared" ca="1" si="4"/>
        <v>-2301.9862086177536</v>
      </c>
      <c r="G327" s="126">
        <f t="shared" ca="1" si="4"/>
        <v>-1252.337219918262</v>
      </c>
      <c r="H327" s="126">
        <f t="shared" ca="1" si="4"/>
        <v>2301.5133926884296</v>
      </c>
      <c r="I327" s="126">
        <f t="shared" ca="1" si="4"/>
        <v>-1258.0984074181461</v>
      </c>
      <c r="J327" s="126">
        <f t="shared" ca="1" si="4"/>
        <v>1043.4149852702835</v>
      </c>
      <c r="K327" s="126"/>
      <c r="L327" s="126">
        <f ca="1">L320*$L$188/100</f>
        <v>-153.4041216011282</v>
      </c>
      <c r="M327" s="126">
        <f ca="1">M320*$L$188/100</f>
        <v>668.85642554998219</v>
      </c>
      <c r="N327" s="126">
        <f ca="1">N320*$L$188/100</f>
        <v>515.45230394885414</v>
      </c>
      <c r="O327" s="126">
        <f ca="1">O320*N188/100</f>
        <v>-335.07160823674428</v>
      </c>
      <c r="P327" s="126">
        <f ca="1">P320*N188/100</f>
        <v>1039.1316871585905</v>
      </c>
      <c r="Q327" s="126">
        <f ca="1">Q320*N188/100</f>
        <v>704.06007892184618</v>
      </c>
      <c r="R327" s="81"/>
      <c r="S327" s="81"/>
      <c r="T327" s="81"/>
    </row>
    <row r="328" spans="1:21" x14ac:dyDescent="0.35">
      <c r="A328" s="126"/>
      <c r="B328" s="126"/>
      <c r="C328" s="126"/>
      <c r="D328" s="126"/>
      <c r="E328" s="126"/>
      <c r="F328" s="126"/>
      <c r="G328" s="126"/>
      <c r="H328" s="126"/>
      <c r="I328" s="126"/>
      <c r="J328" s="126"/>
      <c r="K328" s="126"/>
      <c r="L328" s="126"/>
      <c r="M328" s="126"/>
      <c r="N328" s="126"/>
      <c r="O328" s="126"/>
      <c r="P328" s="126"/>
      <c r="Q328" s="126"/>
      <c r="R328" s="81"/>
      <c r="S328" s="81"/>
      <c r="T328" s="81"/>
    </row>
    <row r="329" spans="1:21" s="81" customFormat="1" x14ac:dyDescent="0.35">
      <c r="A329" s="81" t="s">
        <v>289</v>
      </c>
    </row>
    <row r="330" spans="1:21" s="81" customFormat="1" x14ac:dyDescent="0.35">
      <c r="A330" s="81" t="s">
        <v>36</v>
      </c>
      <c r="G330" s="100">
        <f ca="1">G326/F10*100</f>
        <v>-14.002521486807757</v>
      </c>
      <c r="J330" s="100">
        <f ca="1">J326/F11*100</f>
        <v>-7.7170882091313439E-2</v>
      </c>
      <c r="N330" s="100">
        <f ca="1">N326/O10*100</f>
        <v>7.1584062135710838</v>
      </c>
      <c r="Q330" s="100">
        <f ca="1">Q326/O11*100</f>
        <v>3.0883558899974108</v>
      </c>
    </row>
    <row r="331" spans="1:21" s="81" customFormat="1" x14ac:dyDescent="0.35">
      <c r="L331" s="15" t="s">
        <v>310</v>
      </c>
    </row>
    <row r="332" spans="1:21" s="81" customFormat="1" x14ac:dyDescent="0.35">
      <c r="A332" s="15" t="s">
        <v>309</v>
      </c>
      <c r="G332" s="87" t="s">
        <v>139</v>
      </c>
      <c r="H332" s="87" t="s">
        <v>140</v>
      </c>
      <c r="I332" s="87" t="s">
        <v>141</v>
      </c>
      <c r="J332" s="87"/>
      <c r="K332" s="87"/>
      <c r="L332" s="87"/>
      <c r="M332" s="87"/>
      <c r="N332" s="87" t="s">
        <v>139</v>
      </c>
      <c r="O332" s="87" t="s">
        <v>140</v>
      </c>
      <c r="P332" s="87" t="s">
        <v>141</v>
      </c>
    </row>
    <row r="333" spans="1:21" s="81" customFormat="1" x14ac:dyDescent="0.35">
      <c r="A333" s="81" t="s">
        <v>260</v>
      </c>
      <c r="G333" s="100">
        <f ca="1">G324/C12*100</f>
        <v>0.92624092719872497</v>
      </c>
      <c r="H333" s="100">
        <f ca="1">J324/C12*100</f>
        <v>2.3270026169953391</v>
      </c>
      <c r="I333" s="100">
        <f ca="1">100*K324/C12</f>
        <v>3.2532435441940639</v>
      </c>
      <c r="J333" s="100"/>
      <c r="N333" s="100">
        <f ca="1">N324/K12*100</f>
        <v>-0.11682445643102259</v>
      </c>
      <c r="O333" s="100">
        <f ca="1">Q324/K12*100</f>
        <v>0.45030182678968161</v>
      </c>
      <c r="P333" s="100">
        <f ca="1">N333+O333</f>
        <v>0.33347737035865904</v>
      </c>
    </row>
    <row r="334" spans="1:21" s="81" customFormat="1" x14ac:dyDescent="0.35">
      <c r="A334" s="81" t="s">
        <v>261</v>
      </c>
      <c r="G334" s="100">
        <f ca="1">G325/(D12+E12)*100</f>
        <v>-2.5090118255147269</v>
      </c>
      <c r="H334" s="100">
        <f ca="1">J325/(D12+E12)*100</f>
        <v>-0.59412733402889328</v>
      </c>
      <c r="I334" s="100">
        <f ca="1">100*K325/(D12+E12)</f>
        <v>-3.1031391595436202</v>
      </c>
      <c r="N334" s="100">
        <f ca="1">N325/(L12+M12)*100</f>
        <v>1.3910970742702173</v>
      </c>
      <c r="O334" s="100">
        <f ca="1">Q325/(L12+M12)*100</f>
        <v>2.0127505346331729</v>
      </c>
      <c r="P334" s="100">
        <f ca="1">N334+O334</f>
        <v>3.4038476089033902</v>
      </c>
    </row>
    <row r="335" spans="1:21" s="81" customFormat="1" x14ac:dyDescent="0.35">
      <c r="A335" s="81" t="s">
        <v>165</v>
      </c>
      <c r="G335" s="100">
        <f t="shared" ref="G335:H335" ca="1" si="5">100*((1+G333/100)/(1+G334/100)-1)</f>
        <v>3.5236618450981139</v>
      </c>
      <c r="H335" s="100">
        <f t="shared" ca="1" si="5"/>
        <v>2.9385889109791119</v>
      </c>
      <c r="I335" s="100">
        <f ca="1">100*((1+I333/100)/(1+I334/100)-1)</f>
        <v>6.5599469875537775</v>
      </c>
      <c r="L335" s="100"/>
      <c r="N335" s="100">
        <f t="shared" ref="N335:O335" ca="1" si="6">100*((1+N333/100)/(1+N334/100)-1)</f>
        <v>-1.487232680396644</v>
      </c>
      <c r="O335" s="100">
        <f t="shared" ca="1" si="6"/>
        <v>-1.5316209980173356</v>
      </c>
      <c r="P335" s="100">
        <f ca="1">100*((1+P333/100)/(1+P334/100)-1)</f>
        <v>-2.9692997983571945</v>
      </c>
    </row>
    <row r="336" spans="1:21" s="81" customFormat="1" x14ac:dyDescent="0.35">
      <c r="A336" s="81" t="s">
        <v>164</v>
      </c>
      <c r="G336" s="100">
        <f ca="1">G326/F12*100</f>
        <v>-1.8838138017209589</v>
      </c>
      <c r="H336" s="100">
        <f ca="1">J326/F12*100</f>
        <v>-6.249696965975543E-2</v>
      </c>
      <c r="I336" s="100">
        <f ca="1">G336+H336</f>
        <v>-1.9463107713807144</v>
      </c>
      <c r="L336" s="15" t="s">
        <v>311</v>
      </c>
      <c r="N336" s="100">
        <f ca="1">N326/O12*100</f>
        <v>0.95443554049369406</v>
      </c>
      <c r="O336" s="100">
        <f ca="1">Q326/O12*100</f>
        <v>1.4143918011900891</v>
      </c>
      <c r="P336" s="100">
        <f ca="1">N336+O336</f>
        <v>2.3688273416837831</v>
      </c>
    </row>
    <row r="337" spans="1:20" s="81" customFormat="1" x14ac:dyDescent="0.35">
      <c r="G337" s="100"/>
      <c r="H337" s="100"/>
      <c r="I337" s="100"/>
      <c r="N337" s="100"/>
      <c r="O337" s="100"/>
      <c r="P337" s="100"/>
    </row>
    <row r="338" spans="1:20" x14ac:dyDescent="0.35">
      <c r="A338" s="81"/>
      <c r="B338" s="81"/>
      <c r="C338" s="81"/>
      <c r="D338" s="81"/>
      <c r="E338" s="81"/>
      <c r="F338" s="81"/>
      <c r="G338" s="129" t="s">
        <v>167</v>
      </c>
      <c r="H338" s="81"/>
      <c r="I338" s="129" t="s">
        <v>167</v>
      </c>
      <c r="J338" s="81"/>
      <c r="K338" s="81"/>
      <c r="L338" s="81"/>
      <c r="M338" s="81"/>
      <c r="N338" s="129" t="s">
        <v>167</v>
      </c>
      <c r="O338" s="81"/>
      <c r="P338" s="129" t="s">
        <v>167</v>
      </c>
      <c r="Q338" s="81"/>
      <c r="R338" s="81"/>
      <c r="S338" s="81"/>
      <c r="T338" s="81"/>
    </row>
    <row r="339" spans="1:20" x14ac:dyDescent="0.35">
      <c r="A339" s="81"/>
      <c r="B339" s="81"/>
      <c r="C339" s="81"/>
      <c r="D339" s="81"/>
      <c r="E339" s="81"/>
      <c r="F339" s="81"/>
      <c r="G339" s="129" t="s">
        <v>168</v>
      </c>
      <c r="H339" s="81"/>
      <c r="I339" s="129" t="s">
        <v>171</v>
      </c>
      <c r="J339" s="81"/>
      <c r="K339" s="81"/>
      <c r="L339" s="81"/>
      <c r="M339" s="81"/>
      <c r="N339" s="129" t="s">
        <v>168</v>
      </c>
      <c r="O339" s="81"/>
      <c r="P339" s="129" t="s">
        <v>171</v>
      </c>
      <c r="Q339" s="81"/>
      <c r="R339" s="81"/>
      <c r="S339" s="81"/>
      <c r="T339" s="81"/>
    </row>
    <row r="340" spans="1:20" x14ac:dyDescent="0.35">
      <c r="A340" s="81"/>
      <c r="B340" s="81"/>
      <c r="C340" s="81"/>
      <c r="D340" s="81"/>
      <c r="E340" s="81"/>
      <c r="F340" s="81"/>
      <c r="G340" s="129" t="s">
        <v>169</v>
      </c>
      <c r="H340" s="81"/>
      <c r="I340" s="129" t="s">
        <v>172</v>
      </c>
      <c r="J340" s="81"/>
      <c r="K340" s="81"/>
      <c r="L340" s="81"/>
      <c r="M340" s="81"/>
      <c r="N340" s="129" t="s">
        <v>169</v>
      </c>
      <c r="O340" s="81"/>
      <c r="P340" s="129" t="s">
        <v>172</v>
      </c>
      <c r="Q340" s="81"/>
      <c r="R340" s="81"/>
      <c r="S340" s="81"/>
      <c r="T340" s="81"/>
    </row>
    <row r="341" spans="1:20" x14ac:dyDescent="0.35">
      <c r="A341" s="81" t="s">
        <v>166</v>
      </c>
      <c r="B341" s="81"/>
      <c r="C341" s="81"/>
      <c r="D341" s="81"/>
      <c r="E341" s="81"/>
      <c r="F341" s="81"/>
      <c r="G341" s="129" t="s">
        <v>170</v>
      </c>
      <c r="H341" s="81"/>
      <c r="I341" s="129" t="s">
        <v>173</v>
      </c>
      <c r="J341" s="105"/>
      <c r="K341" s="105"/>
      <c r="L341" s="105"/>
      <c r="M341" s="105"/>
      <c r="N341" s="129" t="s">
        <v>170</v>
      </c>
      <c r="O341" s="81"/>
      <c r="P341" s="129" t="s">
        <v>173</v>
      </c>
      <c r="Q341" s="81"/>
      <c r="R341" s="81"/>
      <c r="S341" s="81"/>
      <c r="T341" s="81"/>
    </row>
    <row r="343" spans="1:20" s="97" customFormat="1" x14ac:dyDescent="0.35">
      <c r="G343" s="97">
        <f ca="1">G326</f>
        <v>-10.66992137294751</v>
      </c>
      <c r="I343" s="97">
        <f ca="1">I335</f>
        <v>6.5599469875537775</v>
      </c>
      <c r="N343" s="97">
        <f ca="1">N326</f>
        <v>24.460274031772393</v>
      </c>
      <c r="P343" s="97">
        <f ca="1">P335</f>
        <v>-2.9692997983571945</v>
      </c>
    </row>
    <row r="345" spans="1:20" x14ac:dyDescent="0.35">
      <c r="A345" s="80" t="s">
        <v>287</v>
      </c>
      <c r="C345" s="130"/>
      <c r="D345" s="130"/>
      <c r="E345" s="130"/>
      <c r="F345" s="130" t="s">
        <v>59</v>
      </c>
      <c r="G345" s="130"/>
      <c r="H345" s="130"/>
      <c r="I345" s="130"/>
      <c r="J345" s="130" t="s">
        <v>72</v>
      </c>
      <c r="K345" s="130"/>
      <c r="L345" s="131"/>
      <c r="M345" s="131" t="s">
        <v>272</v>
      </c>
      <c r="N345" s="131"/>
    </row>
    <row r="346" spans="1:20" x14ac:dyDescent="0.35">
      <c r="C346" s="130"/>
      <c r="D346" s="130"/>
      <c r="E346" s="132" t="s">
        <v>273</v>
      </c>
      <c r="F346" s="132" t="s">
        <v>274</v>
      </c>
      <c r="G346" s="132" t="s">
        <v>60</v>
      </c>
      <c r="H346" s="130"/>
      <c r="I346" s="132" t="s">
        <v>273</v>
      </c>
      <c r="J346" s="132" t="s">
        <v>274</v>
      </c>
      <c r="K346" s="132" t="s">
        <v>60</v>
      </c>
      <c r="L346" s="131"/>
      <c r="M346" s="132" t="s">
        <v>60</v>
      </c>
      <c r="N346" s="131"/>
    </row>
    <row r="347" spans="1:20" x14ac:dyDescent="0.35">
      <c r="C347" s="130"/>
      <c r="D347" s="130"/>
      <c r="E347" s="132" t="s">
        <v>275</v>
      </c>
      <c r="F347" s="132" t="s">
        <v>276</v>
      </c>
      <c r="G347" s="132" t="s">
        <v>277</v>
      </c>
      <c r="H347" s="130"/>
      <c r="I347" s="132" t="s">
        <v>275</v>
      </c>
      <c r="J347" s="132" t="s">
        <v>276</v>
      </c>
      <c r="K347" s="132" t="s">
        <v>277</v>
      </c>
      <c r="L347" s="131"/>
      <c r="M347" s="132" t="s">
        <v>277</v>
      </c>
      <c r="N347" s="131"/>
    </row>
    <row r="348" spans="1:20" x14ac:dyDescent="0.35">
      <c r="C348" s="130" t="s">
        <v>278</v>
      </c>
      <c r="D348" s="130"/>
      <c r="E348" s="130"/>
      <c r="F348" s="130"/>
      <c r="G348" s="130"/>
      <c r="H348" s="130"/>
      <c r="I348" s="130"/>
      <c r="J348" s="130"/>
      <c r="K348" s="130"/>
      <c r="L348" s="131"/>
      <c r="M348" s="131"/>
      <c r="N348" s="131"/>
    </row>
    <row r="349" spans="1:20" x14ac:dyDescent="0.35">
      <c r="C349" s="130" t="s">
        <v>279</v>
      </c>
      <c r="D349" s="130"/>
      <c r="E349" s="130">
        <f t="shared" ref="E349:G351" ca="1" si="7">E324</f>
        <v>1.710930884324676</v>
      </c>
      <c r="F349" s="130">
        <f t="shared" ca="1" si="7"/>
        <v>-0.75614473131588411</v>
      </c>
      <c r="G349" s="130">
        <f t="shared" ca="1" si="7"/>
        <v>0.95478615300879188</v>
      </c>
      <c r="H349" s="130"/>
      <c r="I349" s="130">
        <f t="shared" ref="I349:K351" ca="1" si="8">H324</f>
        <v>3.0890115779468035</v>
      </c>
      <c r="J349" s="130">
        <f t="shared" ca="1" si="8"/>
        <v>-0.69029455791418959</v>
      </c>
      <c r="K349" s="130">
        <f t="shared" ca="1" si="8"/>
        <v>2.3987170200326142</v>
      </c>
      <c r="L349" s="131"/>
      <c r="M349" s="130">
        <f ca="1">K324</f>
        <v>3.353503173041406</v>
      </c>
      <c r="N349" s="131"/>
    </row>
    <row r="350" spans="1:20" x14ac:dyDescent="0.35">
      <c r="C350" s="130" t="s">
        <v>280</v>
      </c>
      <c r="D350" s="130"/>
      <c r="E350" s="130">
        <f t="shared" ca="1" si="7"/>
        <v>5.4689473729937363</v>
      </c>
      <c r="F350" s="130">
        <f t="shared" ca="1" si="7"/>
        <v>-17.093654898950039</v>
      </c>
      <c r="G350" s="130">
        <f t="shared" ca="1" si="7"/>
        <v>-11.624707525956302</v>
      </c>
      <c r="H350" s="130"/>
      <c r="I350" s="130">
        <f t="shared" ca="1" si="8"/>
        <v>5.1712846075259744</v>
      </c>
      <c r="J350" s="130">
        <f t="shared" ca="1" si="8"/>
        <v>-7.9239844637114434</v>
      </c>
      <c r="K350" s="130">
        <f t="shared" ca="1" si="8"/>
        <v>-2.752699856185469</v>
      </c>
      <c r="L350" s="131"/>
      <c r="M350" s="130">
        <f ca="1">K325</f>
        <v>-14.37740738214177</v>
      </c>
      <c r="N350" s="131"/>
    </row>
    <row r="351" spans="1:20" x14ac:dyDescent="0.35">
      <c r="C351" s="130" t="s">
        <v>281</v>
      </c>
      <c r="D351" s="130"/>
      <c r="E351" s="130">
        <f t="shared" ca="1" si="7"/>
        <v>7.1798782573184123</v>
      </c>
      <c r="F351" s="130">
        <f t="shared" ca="1" si="7"/>
        <v>-17.849799630265924</v>
      </c>
      <c r="G351" s="130">
        <f t="shared" ca="1" si="7"/>
        <v>-10.66992137294751</v>
      </c>
      <c r="H351" s="130"/>
      <c r="I351" s="130">
        <f t="shared" ca="1" si="8"/>
        <v>8.2602961854727788</v>
      </c>
      <c r="J351" s="130">
        <f t="shared" ca="1" si="8"/>
        <v>-8.6142790216256326</v>
      </c>
      <c r="K351" s="130">
        <f t="shared" ca="1" si="8"/>
        <v>-0.35398283615285475</v>
      </c>
      <c r="L351" s="131"/>
      <c r="M351" s="130">
        <f ca="1">K326</f>
        <v>-11.023904209100365</v>
      </c>
      <c r="N351" s="131"/>
    </row>
    <row r="352" spans="1:20" x14ac:dyDescent="0.35">
      <c r="C352" s="130" t="s">
        <v>282</v>
      </c>
      <c r="D352" s="130"/>
      <c r="E352" s="130"/>
      <c r="F352" s="130"/>
      <c r="G352" s="130"/>
      <c r="H352" s="130"/>
      <c r="I352" s="130"/>
      <c r="J352" s="130"/>
      <c r="K352" s="130"/>
      <c r="L352" s="131"/>
      <c r="M352" s="131"/>
      <c r="N352" s="131"/>
    </row>
    <row r="353" spans="3:14" x14ac:dyDescent="0.35">
      <c r="C353" s="130" t="s">
        <v>286</v>
      </c>
      <c r="D353" s="133"/>
      <c r="E353" s="133"/>
      <c r="F353" s="133"/>
      <c r="G353" s="134">
        <f ca="1">G330</f>
        <v>-14.002521486807757</v>
      </c>
      <c r="H353" s="135"/>
      <c r="I353" s="135"/>
      <c r="J353" s="135"/>
      <c r="K353" s="134">
        <f ca="1">J330</f>
        <v>-7.7170882091313439E-2</v>
      </c>
      <c r="L353" s="135"/>
      <c r="M353" s="134">
        <f ca="1">I336</f>
        <v>-1.9463107713807144</v>
      </c>
      <c r="N353" s="131" t="s">
        <v>295</v>
      </c>
    </row>
    <row r="354" spans="3:14" x14ac:dyDescent="0.35">
      <c r="C354" s="130" t="s">
        <v>283</v>
      </c>
      <c r="D354" s="133"/>
      <c r="E354" s="133"/>
      <c r="F354" s="133"/>
      <c r="G354" s="134">
        <f ca="1">G333</f>
        <v>0.92624092719872497</v>
      </c>
      <c r="H354" s="136"/>
      <c r="I354" s="136"/>
      <c r="J354" s="136"/>
      <c r="K354" s="134">
        <f ca="1">H333</f>
        <v>2.3270026169953391</v>
      </c>
      <c r="L354" s="136"/>
      <c r="M354" s="134">
        <f ca="1">I333</f>
        <v>3.2532435441940639</v>
      </c>
      <c r="N354" s="131"/>
    </row>
    <row r="355" spans="3:14" x14ac:dyDescent="0.35">
      <c r="C355" s="130" t="s">
        <v>284</v>
      </c>
      <c r="D355" s="133"/>
      <c r="E355" s="133"/>
      <c r="F355" s="133"/>
      <c r="G355" s="134">
        <f ca="1">G334</f>
        <v>-2.5090118255147269</v>
      </c>
      <c r="H355" s="136"/>
      <c r="I355" s="136"/>
      <c r="J355" s="136"/>
      <c r="K355" s="134">
        <f ca="1">H334</f>
        <v>-0.59412733402889328</v>
      </c>
      <c r="L355" s="136"/>
      <c r="M355" s="134">
        <f ca="1">I334</f>
        <v>-3.1031391595436202</v>
      </c>
      <c r="N355" s="131"/>
    </row>
    <row r="356" spans="3:14" x14ac:dyDescent="0.35">
      <c r="C356" s="130" t="s">
        <v>285</v>
      </c>
      <c r="D356" s="133"/>
      <c r="E356" s="133"/>
      <c r="F356" s="133"/>
      <c r="G356" s="137">
        <f ca="1">G335</f>
        <v>3.5236618450981139</v>
      </c>
      <c r="H356" s="136"/>
      <c r="I356" s="136"/>
      <c r="J356" s="136"/>
      <c r="K356" s="134">
        <f ca="1">H335</f>
        <v>2.9385889109791119</v>
      </c>
      <c r="L356" s="136"/>
      <c r="M356" s="134">
        <f ca="1">I335</f>
        <v>6.5599469875537775</v>
      </c>
      <c r="N356" s="131"/>
    </row>
    <row r="358" spans="3:14" x14ac:dyDescent="0.35">
      <c r="C358" s="133"/>
      <c r="D358" s="133"/>
      <c r="E358" s="133"/>
      <c r="F358" s="133"/>
      <c r="G358" s="133"/>
      <c r="H358" s="133"/>
      <c r="I358" s="133"/>
      <c r="J358" s="133"/>
      <c r="K358" s="133"/>
      <c r="L358" s="133"/>
      <c r="M358" s="133"/>
      <c r="N358" s="131"/>
    </row>
  </sheetData>
  <pageMargins left="0.39370078740157483" right="0.39370078740157483" top="0.98425196850393704" bottom="0.98425196850393704" header="0.51181102362204722" footer="0.51181102362204722"/>
  <pageSetup paperSize="9" scale="68" fitToHeight="0" orientation="landscape" r:id="rId1"/>
  <headerFooter>
    <oddHeader>&amp;LAdrian Wood&amp;CPage &amp;P&amp;R&amp;D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8"/>
  <sheetViews>
    <sheetView zoomScale="90" zoomScaleNormal="90" workbookViewId="0">
      <selection activeCell="R312" sqref="R312"/>
    </sheetView>
  </sheetViews>
  <sheetFormatPr defaultColWidth="8" defaultRowHeight="15.5" x14ac:dyDescent="0.35"/>
  <cols>
    <col min="1" max="1" width="14.33203125" customWidth="1"/>
    <col min="3" max="5" width="7.9140625" customWidth="1"/>
    <col min="6" max="6" width="9.6640625" customWidth="1"/>
    <col min="7" max="8" width="8.6640625" customWidth="1"/>
    <col min="9" max="9" width="9.6640625" customWidth="1"/>
    <col min="10" max="10" width="8.6640625" customWidth="1"/>
    <col min="11" max="11" width="7.08203125" customWidth="1"/>
    <col min="12" max="13" width="8.6640625" customWidth="1"/>
    <col min="14" max="14" width="9.6640625" customWidth="1"/>
  </cols>
  <sheetData>
    <row r="1" spans="1:19" x14ac:dyDescent="0.35">
      <c r="A1" s="155" t="s">
        <v>344</v>
      </c>
      <c r="B1" s="156"/>
      <c r="C1" s="156"/>
      <c r="D1" s="156"/>
      <c r="E1" s="156"/>
      <c r="F1" s="156"/>
      <c r="G1" s="156"/>
      <c r="H1" s="156"/>
      <c r="I1" s="7"/>
      <c r="J1" s="7"/>
      <c r="K1" s="7"/>
      <c r="L1" s="7"/>
      <c r="M1" s="7"/>
      <c r="N1" s="7"/>
      <c r="O1" s="7"/>
    </row>
    <row r="3" spans="1:19" x14ac:dyDescent="0.35">
      <c r="A3" s="8" t="s">
        <v>149</v>
      </c>
      <c r="B3" s="7"/>
      <c r="C3" s="7"/>
      <c r="D3" s="7"/>
      <c r="E3" s="7"/>
      <c r="F3" s="7"/>
      <c r="G3" s="7"/>
      <c r="H3" s="7"/>
      <c r="I3" s="7"/>
      <c r="J3" s="7"/>
      <c r="K3" s="7"/>
      <c r="L3" s="7"/>
      <c r="M3" s="7"/>
      <c r="N3" s="7"/>
      <c r="O3" s="7"/>
      <c r="P3" s="7"/>
      <c r="Q3" s="7"/>
      <c r="R3" s="7"/>
    </row>
    <row r="4" spans="1:19" x14ac:dyDescent="0.35">
      <c r="A4" s="7"/>
      <c r="B4" s="7"/>
      <c r="C4" s="7"/>
      <c r="D4" s="7"/>
      <c r="E4" s="7"/>
      <c r="F4" s="7"/>
      <c r="G4" s="7"/>
      <c r="H4" s="7"/>
      <c r="I4" s="7"/>
      <c r="J4" s="7"/>
      <c r="K4" s="7"/>
      <c r="L4" s="7"/>
      <c r="M4" s="7"/>
      <c r="N4" s="7"/>
      <c r="O4" s="7"/>
      <c r="P4" s="7"/>
      <c r="Q4" s="7"/>
      <c r="R4" s="7"/>
    </row>
    <row r="5" spans="1:19" x14ac:dyDescent="0.35">
      <c r="A5" s="38" t="s">
        <v>305</v>
      </c>
      <c r="B5" s="7"/>
      <c r="C5" s="7"/>
      <c r="D5" s="7"/>
      <c r="E5" s="7"/>
      <c r="F5" s="7"/>
      <c r="G5" s="7"/>
      <c r="H5" s="7"/>
      <c r="I5" s="7"/>
      <c r="J5" s="7"/>
      <c r="K5" s="7"/>
      <c r="L5" s="7"/>
      <c r="M5" s="7"/>
      <c r="N5" s="7"/>
      <c r="O5" s="7" t="s">
        <v>297</v>
      </c>
      <c r="P5" s="7"/>
      <c r="Q5" s="7"/>
      <c r="R5" s="7"/>
    </row>
    <row r="6" spans="1:19" x14ac:dyDescent="0.35">
      <c r="A6" s="38"/>
      <c r="B6" s="7"/>
      <c r="C6" s="7"/>
      <c r="D6" s="7"/>
      <c r="E6" s="7"/>
      <c r="F6" s="7"/>
      <c r="G6" s="7"/>
      <c r="H6" s="7"/>
      <c r="I6" s="7"/>
      <c r="J6" s="7"/>
      <c r="K6" s="7"/>
      <c r="L6" s="7"/>
      <c r="M6" s="7"/>
      <c r="N6" s="7"/>
      <c r="O6" s="7"/>
      <c r="P6" s="7"/>
      <c r="Q6" s="7"/>
      <c r="R6" s="7"/>
      <c r="S6" s="7"/>
    </row>
    <row r="7" spans="1:19" x14ac:dyDescent="0.35">
      <c r="A7" s="7"/>
      <c r="B7" s="7"/>
      <c r="C7" s="7"/>
      <c r="D7" s="15" t="s">
        <v>298</v>
      </c>
      <c r="E7" s="7"/>
      <c r="F7" s="7"/>
      <c r="G7" s="7"/>
      <c r="H7" s="7"/>
      <c r="I7" s="7"/>
      <c r="J7" s="7"/>
      <c r="K7" s="7"/>
      <c r="L7" s="15" t="s">
        <v>296</v>
      </c>
      <c r="M7" s="7"/>
      <c r="N7" s="7"/>
      <c r="O7" s="7"/>
      <c r="P7" s="7"/>
      <c r="Q7" s="7"/>
      <c r="R7" s="7"/>
      <c r="S7" s="7"/>
    </row>
    <row r="8" spans="1:19" x14ac:dyDescent="0.35">
      <c r="A8" s="15" t="s">
        <v>306</v>
      </c>
      <c r="B8" s="7"/>
      <c r="C8" s="31" t="s">
        <v>133</v>
      </c>
      <c r="D8" s="31" t="s">
        <v>136</v>
      </c>
      <c r="E8" s="31" t="s">
        <v>134</v>
      </c>
      <c r="F8" s="32" t="s">
        <v>62</v>
      </c>
      <c r="G8" s="31"/>
      <c r="I8" s="7"/>
      <c r="J8" s="7"/>
      <c r="K8" s="31" t="s">
        <v>137</v>
      </c>
      <c r="L8" s="31" t="s">
        <v>136</v>
      </c>
      <c r="M8" s="31" t="s">
        <v>134</v>
      </c>
      <c r="N8" s="31" t="s">
        <v>134</v>
      </c>
      <c r="O8" s="32" t="s">
        <v>62</v>
      </c>
      <c r="Q8" s="7"/>
      <c r="R8" s="7"/>
      <c r="S8" s="80"/>
    </row>
    <row r="9" spans="1:19" x14ac:dyDescent="0.35">
      <c r="A9" s="7"/>
      <c r="B9" s="7"/>
      <c r="C9" s="32"/>
      <c r="D9" s="31" t="s">
        <v>135</v>
      </c>
      <c r="E9" s="32"/>
      <c r="F9" s="32"/>
      <c r="G9" s="52"/>
      <c r="I9" s="7"/>
      <c r="J9" s="7"/>
      <c r="K9" s="31" t="s">
        <v>135</v>
      </c>
      <c r="L9" s="31" t="s">
        <v>135</v>
      </c>
      <c r="M9" s="31" t="s">
        <v>301</v>
      </c>
      <c r="N9" s="53" t="s">
        <v>302</v>
      </c>
      <c r="O9" s="32"/>
      <c r="Q9" s="7"/>
      <c r="R9" s="7"/>
      <c r="S9" s="80"/>
    </row>
    <row r="10" spans="1:19" x14ac:dyDescent="0.35">
      <c r="A10" s="15" t="s">
        <v>138</v>
      </c>
      <c r="B10" s="7"/>
      <c r="C10" s="16"/>
      <c r="D10" s="16"/>
      <c r="E10" s="16"/>
      <c r="F10" s="35">
        <v>76.2</v>
      </c>
      <c r="H10" s="4" t="s">
        <v>307</v>
      </c>
      <c r="I10" s="16"/>
      <c r="J10" s="16"/>
      <c r="K10" s="30"/>
      <c r="L10" s="30"/>
      <c r="M10" s="30"/>
      <c r="O10" s="35">
        <v>341.7</v>
      </c>
      <c r="P10" s="4" t="s">
        <v>307</v>
      </c>
      <c r="Q10" s="16"/>
      <c r="R10" s="16"/>
      <c r="S10" s="80"/>
    </row>
    <row r="11" spans="1:19" x14ac:dyDescent="0.35">
      <c r="A11" s="7" t="s">
        <v>288</v>
      </c>
      <c r="B11" s="7"/>
      <c r="C11" s="16"/>
      <c r="D11" s="16"/>
      <c r="E11" s="16"/>
      <c r="F11" s="35">
        <v>458.7</v>
      </c>
      <c r="H11" s="4" t="s">
        <v>308</v>
      </c>
      <c r="I11" s="16"/>
      <c r="J11" s="16"/>
      <c r="K11" s="30"/>
      <c r="L11" s="30"/>
      <c r="M11" s="30"/>
      <c r="O11" s="35">
        <v>1173.7</v>
      </c>
      <c r="P11" s="4" t="s">
        <v>308</v>
      </c>
      <c r="Q11" s="16"/>
      <c r="R11" s="16"/>
      <c r="S11" s="80"/>
    </row>
    <row r="12" spans="1:19" x14ac:dyDescent="0.35">
      <c r="A12" s="15" t="s">
        <v>62</v>
      </c>
      <c r="B12" s="7"/>
      <c r="C12" s="16">
        <f>C15*F12</f>
        <v>103.08183594266318</v>
      </c>
      <c r="D12" s="16">
        <f>D15*F12</f>
        <v>302.13853566908585</v>
      </c>
      <c r="E12" s="16">
        <f>E15*F12</f>
        <v>161.17962838825088</v>
      </c>
      <c r="F12" s="35">
        <v>566.4</v>
      </c>
      <c r="G12" s="16"/>
      <c r="H12" s="2">
        <f>F12-F10-F11</f>
        <v>31.5</v>
      </c>
      <c r="I12" s="139">
        <f>100*H12/F12</f>
        <v>5.5614406779661021</v>
      </c>
      <c r="J12" s="139" t="s">
        <v>41</v>
      </c>
      <c r="K12" s="16">
        <f>K14*O12</f>
        <v>138.36693264462625</v>
      </c>
      <c r="L12" s="16">
        <f>L14*O12</f>
        <v>719.71065468254812</v>
      </c>
      <c r="M12" s="16">
        <f>(M14-N14)*O12</f>
        <v>1050.2535630649195</v>
      </c>
      <c r="N12" s="16">
        <f>N14*O12</f>
        <v>654.46884960790646</v>
      </c>
      <c r="O12" s="35">
        <v>2562.8000000000002</v>
      </c>
      <c r="P12" s="2">
        <f>O12-O10-O11</f>
        <v>1047.4000000000003</v>
      </c>
      <c r="Q12" s="139">
        <f>100*P12/O12</f>
        <v>40.869361635710952</v>
      </c>
      <c r="R12" s="139" t="s">
        <v>41</v>
      </c>
      <c r="S12" s="80"/>
    </row>
    <row r="13" spans="1:19" x14ac:dyDescent="0.35">
      <c r="A13" s="15" t="s">
        <v>299</v>
      </c>
      <c r="B13" s="7"/>
      <c r="C13" s="16"/>
      <c r="D13" s="16"/>
      <c r="E13" s="139" t="s">
        <v>303</v>
      </c>
      <c r="F13" s="16"/>
      <c r="G13" s="139" t="s">
        <v>302</v>
      </c>
      <c r="I13" s="16"/>
      <c r="J13" s="16"/>
      <c r="K13" s="16"/>
      <c r="L13" s="16"/>
      <c r="M13" s="139" t="s">
        <v>312</v>
      </c>
      <c r="N13" s="139"/>
      <c r="O13" s="16"/>
      <c r="Q13" s="7"/>
      <c r="R13" s="7"/>
      <c r="S13" s="80"/>
    </row>
    <row r="14" spans="1:19" s="138" customFormat="1" x14ac:dyDescent="0.35">
      <c r="A14" s="64"/>
      <c r="B14" s="22"/>
      <c r="C14" s="69">
        <v>0.17210394794871034</v>
      </c>
      <c r="D14" s="69">
        <v>0.50444614553639944</v>
      </c>
      <c r="E14" s="69">
        <v>0.3234499065148902</v>
      </c>
      <c r="F14" s="140"/>
      <c r="G14" s="69">
        <v>5.434672144983637E-2</v>
      </c>
      <c r="I14" s="22"/>
      <c r="J14" s="22"/>
      <c r="K14" s="69">
        <v>5.3990530921112154E-2</v>
      </c>
      <c r="L14" s="69">
        <v>0.28082981687316533</v>
      </c>
      <c r="M14" s="69">
        <v>0.66517965220572262</v>
      </c>
      <c r="N14" s="69">
        <v>0.25537258061803747</v>
      </c>
      <c r="O14" s="22"/>
      <c r="Q14" s="22"/>
      <c r="R14" s="22"/>
    </row>
    <row r="15" spans="1:19" s="138" customFormat="1" x14ac:dyDescent="0.35">
      <c r="A15" s="64" t="s">
        <v>300</v>
      </c>
      <c r="B15" s="22"/>
      <c r="C15" s="22">
        <f>C14/(1-G14)</f>
        <v>0.18199476684792229</v>
      </c>
      <c r="D15" s="22">
        <f>D14/(1-G14)</f>
        <v>0.53343668020671942</v>
      </c>
      <c r="E15" s="22">
        <f>(E14-G14)/(1-G14)</f>
        <v>0.28456855294535821</v>
      </c>
      <c r="F15" s="22"/>
      <c r="G15" s="22"/>
      <c r="I15" s="22"/>
      <c r="J15" s="22"/>
      <c r="K15" s="22"/>
      <c r="L15" s="22"/>
      <c r="M15" s="22"/>
      <c r="N15" s="22"/>
      <c r="O15" s="22"/>
      <c r="P15" s="2"/>
      <c r="Q15" s="64" t="s">
        <v>208</v>
      </c>
      <c r="R15" s="22"/>
      <c r="S15" s="22"/>
    </row>
    <row r="16" spans="1:19" x14ac:dyDescent="0.35">
      <c r="A16" s="15" t="s">
        <v>304</v>
      </c>
      <c r="B16" s="7"/>
      <c r="C16" s="16"/>
      <c r="D16" s="16"/>
      <c r="E16" s="16"/>
      <c r="F16" s="16"/>
      <c r="G16" s="16"/>
      <c r="H16" s="16"/>
      <c r="I16" s="16"/>
      <c r="J16" s="16"/>
      <c r="K16" s="16"/>
      <c r="L16" s="16"/>
      <c r="M16" s="16"/>
      <c r="N16" s="16"/>
      <c r="O16" s="16"/>
      <c r="P16" s="7"/>
      <c r="Q16" s="7"/>
      <c r="R16" s="7"/>
      <c r="S16" s="7"/>
    </row>
    <row r="17" spans="1:23" x14ac:dyDescent="0.35">
      <c r="A17" s="15" t="s">
        <v>313</v>
      </c>
      <c r="B17" s="7"/>
      <c r="C17" s="16"/>
      <c r="D17" s="16"/>
      <c r="E17" s="16"/>
      <c r="F17" s="16"/>
      <c r="G17" s="16"/>
      <c r="H17" s="16"/>
      <c r="I17" s="16"/>
      <c r="J17" s="16"/>
      <c r="K17" s="16"/>
      <c r="L17" s="16"/>
      <c r="M17" s="16"/>
      <c r="N17" s="16"/>
      <c r="O17" s="16"/>
      <c r="P17" s="7"/>
      <c r="Q17" s="7"/>
      <c r="R17" s="7"/>
      <c r="S17" s="7"/>
    </row>
    <row r="18" spans="1:23" x14ac:dyDescent="0.35">
      <c r="A18" s="15" t="s">
        <v>314</v>
      </c>
      <c r="B18" s="7"/>
      <c r="C18" s="16"/>
      <c r="D18" s="16"/>
      <c r="E18" s="16"/>
      <c r="F18" s="16"/>
      <c r="G18" s="16"/>
      <c r="H18" s="16"/>
      <c r="I18" s="16"/>
      <c r="J18" s="16"/>
      <c r="K18" s="16"/>
      <c r="L18" s="16"/>
      <c r="M18" s="16"/>
      <c r="N18" s="16"/>
      <c r="O18" s="16"/>
      <c r="P18" s="7"/>
      <c r="Q18" s="7"/>
      <c r="R18" s="7"/>
      <c r="S18" s="7"/>
    </row>
    <row r="19" spans="1:23" x14ac:dyDescent="0.35">
      <c r="A19" t="s">
        <v>42</v>
      </c>
      <c r="S19" s="7"/>
    </row>
    <row r="20" spans="1:23" s="80" customFormat="1" x14ac:dyDescent="0.35">
      <c r="A20" s="38" t="s">
        <v>325</v>
      </c>
      <c r="B20" s="85"/>
      <c r="C20" s="85"/>
      <c r="D20" s="85"/>
    </row>
    <row r="22" spans="1:23" x14ac:dyDescent="0.35">
      <c r="A22" s="9"/>
      <c r="B22" s="9"/>
      <c r="C22" s="10" t="s">
        <v>64</v>
      </c>
      <c r="D22" s="10"/>
      <c r="E22" s="10" t="s">
        <v>65</v>
      </c>
      <c r="F22" s="11"/>
      <c r="G22" s="11" t="s">
        <v>66</v>
      </c>
      <c r="J22" s="4" t="s">
        <v>192</v>
      </c>
      <c r="L22" s="4" t="s">
        <v>193</v>
      </c>
    </row>
    <row r="23" spans="1:23" x14ac:dyDescent="0.35">
      <c r="A23" s="9"/>
      <c r="B23" s="9"/>
      <c r="C23" s="10" t="s">
        <v>67</v>
      </c>
      <c r="D23" s="10"/>
      <c r="E23" s="10" t="s">
        <v>68</v>
      </c>
      <c r="F23" s="11"/>
      <c r="G23" s="11" t="s">
        <v>69</v>
      </c>
      <c r="J23" s="4" t="s">
        <v>68</v>
      </c>
      <c r="L23" s="4" t="s">
        <v>68</v>
      </c>
    </row>
    <row r="24" spans="1:23" x14ac:dyDescent="0.35">
      <c r="A24" s="9"/>
      <c r="B24" s="9"/>
      <c r="C24" s="10"/>
      <c r="D24" s="10"/>
      <c r="E24" s="10"/>
      <c r="F24" s="11"/>
      <c r="G24" s="11"/>
    </row>
    <row r="25" spans="1:23" x14ac:dyDescent="0.35">
      <c r="A25" s="9" t="s">
        <v>70</v>
      </c>
      <c r="B25" s="9"/>
      <c r="C25" s="34">
        <v>188.22728000000001</v>
      </c>
      <c r="D25" s="34"/>
      <c r="E25" s="34">
        <v>891.92097000000001</v>
      </c>
      <c r="F25" s="11"/>
      <c r="G25" s="23">
        <f>E25-C25</f>
        <v>703.69369000000006</v>
      </c>
      <c r="J25" s="44">
        <f>6.7+4.1</f>
        <v>10.8</v>
      </c>
      <c r="L25" s="23">
        <f>E25-J25</f>
        <v>881.12097000000006</v>
      </c>
    </row>
    <row r="26" spans="1:23" x14ac:dyDescent="0.35">
      <c r="A26" s="9" t="s">
        <v>71</v>
      </c>
      <c r="B26" s="9"/>
      <c r="C26" s="34">
        <v>2290.7207300000005</v>
      </c>
      <c r="D26" s="34"/>
      <c r="E26" s="34">
        <v>2153.3555899999997</v>
      </c>
      <c r="F26" s="11"/>
      <c r="G26" s="23">
        <f>E26-C26</f>
        <v>-137.36514000000079</v>
      </c>
      <c r="J26" s="44">
        <v>995</v>
      </c>
      <c r="L26" s="23">
        <f>E26-J26</f>
        <v>1158.3555899999997</v>
      </c>
    </row>
    <row r="27" spans="1:23" x14ac:dyDescent="0.35">
      <c r="A27" s="9" t="s">
        <v>72</v>
      </c>
      <c r="B27" s="9"/>
      <c r="C27" s="34">
        <v>1195.9600700000001</v>
      </c>
      <c r="D27" s="34"/>
      <c r="E27" s="34">
        <v>1112.3085600000004</v>
      </c>
      <c r="F27" s="11"/>
      <c r="G27" s="23">
        <f>E27-C27</f>
        <v>-83.651509999999689</v>
      </c>
      <c r="J27" s="44">
        <f>287.8+0.2</f>
        <v>288</v>
      </c>
      <c r="L27" s="23">
        <f>E27-J27</f>
        <v>824.3085600000004</v>
      </c>
    </row>
    <row r="28" spans="1:23" x14ac:dyDescent="0.35">
      <c r="A28" s="9" t="s">
        <v>62</v>
      </c>
      <c r="B28" s="9"/>
      <c r="C28" s="34">
        <v>3674.9081299999998</v>
      </c>
      <c r="D28" s="34"/>
      <c r="E28" s="34">
        <v>4157.5851399999992</v>
      </c>
      <c r="F28" s="11"/>
      <c r="G28" s="23">
        <f>E28-C28</f>
        <v>482.67700999999943</v>
      </c>
      <c r="J28" s="44">
        <v>1293.8</v>
      </c>
      <c r="L28" s="23">
        <f>E28-J28</f>
        <v>2863.785139999999</v>
      </c>
    </row>
    <row r="29" spans="1:23" x14ac:dyDescent="0.35">
      <c r="J29" s="54"/>
      <c r="U29" s="4"/>
    </row>
    <row r="30" spans="1:23" x14ac:dyDescent="0.35">
      <c r="A30" s="4" t="s">
        <v>81</v>
      </c>
      <c r="P30" s="4" t="s">
        <v>195</v>
      </c>
      <c r="U30" s="4"/>
    </row>
    <row r="31" spans="1:23" x14ac:dyDescent="0.35">
      <c r="P31" s="4" t="s">
        <v>196</v>
      </c>
      <c r="U31" s="4"/>
    </row>
    <row r="32" spans="1:23" x14ac:dyDescent="0.35">
      <c r="G32" s="8" t="s">
        <v>73</v>
      </c>
      <c r="H32" s="8"/>
      <c r="I32" s="8"/>
      <c r="J32" s="8"/>
      <c r="K32" s="8"/>
      <c r="L32" s="8" t="s">
        <v>75</v>
      </c>
      <c r="M32" s="8"/>
      <c r="N32" s="8"/>
      <c r="O32" s="8"/>
      <c r="P32" s="8" t="s">
        <v>194</v>
      </c>
      <c r="Q32" s="8"/>
      <c r="R32" s="8"/>
      <c r="U32" s="8"/>
      <c r="V32" s="8"/>
      <c r="W32" s="8"/>
    </row>
    <row r="33" spans="1:25" x14ac:dyDescent="0.35">
      <c r="G33" s="8" t="s">
        <v>74</v>
      </c>
      <c r="H33" s="8"/>
      <c r="I33" s="8" t="s">
        <v>72</v>
      </c>
      <c r="J33" s="8"/>
      <c r="K33" s="8"/>
      <c r="L33" s="8" t="s">
        <v>74</v>
      </c>
      <c r="M33" s="8"/>
      <c r="N33" s="8" t="s">
        <v>72</v>
      </c>
      <c r="O33" s="8"/>
      <c r="P33" s="8" t="s">
        <v>74</v>
      </c>
      <c r="Q33" s="8"/>
      <c r="R33" s="8" t="s">
        <v>72</v>
      </c>
      <c r="U33" s="8"/>
      <c r="V33" s="8"/>
      <c r="W33" s="8"/>
      <c r="Y33" s="4"/>
    </row>
    <row r="34" spans="1:25" x14ac:dyDescent="0.35">
      <c r="A34" s="39" t="s">
        <v>175</v>
      </c>
      <c r="W34" s="40"/>
      <c r="Y34" s="4"/>
    </row>
    <row r="35" spans="1:25" x14ac:dyDescent="0.35">
      <c r="D35" s="12" t="s">
        <v>76</v>
      </c>
      <c r="T35" s="39"/>
    </row>
    <row r="36" spans="1:25" x14ac:dyDescent="0.35">
      <c r="D36" s="9" t="s">
        <v>70</v>
      </c>
      <c r="G36" s="35">
        <v>4.0202802362724244</v>
      </c>
      <c r="H36" s="35"/>
      <c r="I36" s="35">
        <v>1.7356879469923003</v>
      </c>
      <c r="J36" s="35"/>
      <c r="K36" s="35"/>
      <c r="L36" s="35">
        <v>17.149013949435474</v>
      </c>
      <c r="M36" s="35"/>
      <c r="N36" s="35">
        <v>5.3856144896683329</v>
      </c>
      <c r="P36" s="35">
        <v>8.0059524144868615</v>
      </c>
      <c r="Q36" s="35"/>
      <c r="R36" s="35">
        <v>5.9145679451497877</v>
      </c>
      <c r="T36" s="4"/>
    </row>
    <row r="37" spans="1:25" x14ac:dyDescent="0.35">
      <c r="D37" s="9" t="s">
        <v>71</v>
      </c>
      <c r="G37" s="35">
        <v>50.016463865317704</v>
      </c>
      <c r="H37" s="35"/>
      <c r="I37" s="35">
        <v>5.3701924275809185</v>
      </c>
      <c r="J37" s="35"/>
      <c r="K37" s="35"/>
      <c r="L37" s="35">
        <v>40.464394517360411</v>
      </c>
      <c r="M37" s="35"/>
      <c r="N37" s="35">
        <v>6.6561797037231818</v>
      </c>
      <c r="P37" s="35">
        <v>37.01395592066514</v>
      </c>
      <c r="Q37" s="35"/>
      <c r="R37" s="35">
        <v>10.916212151478616</v>
      </c>
      <c r="T37" s="4"/>
    </row>
    <row r="38" spans="1:25" x14ac:dyDescent="0.35">
      <c r="D38" s="9" t="s">
        <v>72</v>
      </c>
      <c r="G38" s="35">
        <v>32.987131859472463</v>
      </c>
      <c r="H38" s="35"/>
      <c r="I38" s="35">
        <v>88.071341583956851</v>
      </c>
      <c r="J38" s="35"/>
      <c r="K38" s="35"/>
      <c r="L38" s="35">
        <v>23.429508463739637</v>
      </c>
      <c r="M38" s="35"/>
      <c r="N38" s="35">
        <v>80.900758267445397</v>
      </c>
      <c r="P38" s="35">
        <v>14.881202990786226</v>
      </c>
      <c r="Q38" s="35"/>
      <c r="R38" s="35">
        <v>76.68437492495849</v>
      </c>
      <c r="T38" s="4"/>
    </row>
    <row r="39" spans="1:25" x14ac:dyDescent="0.35">
      <c r="D39" s="9" t="s">
        <v>77</v>
      </c>
      <c r="G39" s="35">
        <v>87.0238759610626</v>
      </c>
      <c r="H39" s="35"/>
      <c r="I39" s="35">
        <v>95.177221874750998</v>
      </c>
      <c r="J39" s="35"/>
      <c r="K39" s="35"/>
      <c r="L39" s="35">
        <v>81.042916930535497</v>
      </c>
      <c r="M39" s="35"/>
      <c r="N39" s="35">
        <v>92.942552550455218</v>
      </c>
      <c r="P39" s="35">
        <v>59.901111325938224</v>
      </c>
      <c r="Q39" s="35"/>
      <c r="R39" s="35">
        <v>93.51515524148877</v>
      </c>
      <c r="T39" s="4"/>
    </row>
    <row r="40" spans="1:25" x14ac:dyDescent="0.35">
      <c r="D40" s="9" t="s">
        <v>78</v>
      </c>
      <c r="G40" s="35">
        <v>69.246845797821081</v>
      </c>
      <c r="H40" s="35"/>
      <c r="I40" s="35">
        <v>86.736365991658886</v>
      </c>
      <c r="J40" s="35"/>
      <c r="K40" s="35"/>
      <c r="L40" s="35">
        <v>65.487226153179719</v>
      </c>
      <c r="M40" s="35"/>
      <c r="N40" s="35">
        <v>86.786285811208714</v>
      </c>
      <c r="P40" s="2"/>
      <c r="Q40" s="2"/>
      <c r="R40" s="2"/>
      <c r="T40" s="4"/>
    </row>
    <row r="41" spans="1:25" x14ac:dyDescent="0.35">
      <c r="D41" s="9" t="s">
        <v>79</v>
      </c>
      <c r="G41" s="35">
        <v>17.777030163241523</v>
      </c>
      <c r="H41" s="35"/>
      <c r="I41" s="35">
        <v>8.4408558830921159</v>
      </c>
      <c r="J41" s="35"/>
      <c r="K41" s="35"/>
      <c r="L41" s="35">
        <v>15.555690777355789</v>
      </c>
      <c r="M41" s="35"/>
      <c r="N41" s="35">
        <v>6.1562667392465098</v>
      </c>
      <c r="P41" s="2"/>
      <c r="Q41" s="2"/>
      <c r="R41" s="2"/>
      <c r="T41" s="4"/>
    </row>
    <row r="42" spans="1:25" x14ac:dyDescent="0.35">
      <c r="D42" s="12" t="s">
        <v>80</v>
      </c>
      <c r="G42" s="16"/>
      <c r="H42" s="16"/>
      <c r="I42" s="16"/>
      <c r="J42" s="16"/>
      <c r="K42" s="16"/>
      <c r="L42" s="16"/>
      <c r="M42" s="16"/>
      <c r="N42" s="16"/>
      <c r="O42" s="7"/>
      <c r="P42" s="2"/>
      <c r="Q42" s="2"/>
      <c r="R42" s="2"/>
      <c r="T42" s="39"/>
    </row>
    <row r="43" spans="1:25" x14ac:dyDescent="0.35">
      <c r="D43" s="9" t="s">
        <v>70</v>
      </c>
      <c r="G43" s="35">
        <v>5.5076502774389953</v>
      </c>
      <c r="H43" s="35"/>
      <c r="I43" s="35">
        <v>1.9054870202797327</v>
      </c>
      <c r="J43" s="35"/>
      <c r="K43" s="35"/>
      <c r="L43" s="35">
        <v>1.269359786209757</v>
      </c>
      <c r="M43" s="35"/>
      <c r="N43" s="35">
        <v>0.44452758595204672</v>
      </c>
      <c r="P43" s="35">
        <v>7.2765966107177338</v>
      </c>
      <c r="Q43" s="35"/>
      <c r="R43" s="35">
        <v>2.0371989092515093</v>
      </c>
      <c r="T43" s="4"/>
    </row>
    <row r="44" spans="1:25" x14ac:dyDescent="0.35">
      <c r="D44" s="9" t="s">
        <v>71</v>
      </c>
      <c r="G44" s="35">
        <v>3.2633024933663304</v>
      </c>
      <c r="H44" s="35"/>
      <c r="I44" s="35">
        <v>0.93139280034231919</v>
      </c>
      <c r="J44" s="35"/>
      <c r="K44" s="35"/>
      <c r="L44" s="35">
        <v>7.7845993601814998</v>
      </c>
      <c r="M44" s="35"/>
      <c r="N44" s="35">
        <v>1.9866155284916747</v>
      </c>
      <c r="P44" s="35">
        <v>14.269773198522678</v>
      </c>
      <c r="Q44" s="35"/>
      <c r="R44" s="35">
        <v>1.6111524380037239</v>
      </c>
      <c r="T44" s="4"/>
    </row>
    <row r="45" spans="1:25" x14ac:dyDescent="0.35">
      <c r="D45" s="9" t="s">
        <v>72</v>
      </c>
      <c r="G45" s="35">
        <v>4.2051712681320756</v>
      </c>
      <c r="H45" s="35"/>
      <c r="I45" s="35">
        <v>1.9858982208479115</v>
      </c>
      <c r="J45" s="35"/>
      <c r="K45" s="35"/>
      <c r="L45" s="35">
        <v>9.9031239230732506</v>
      </c>
      <c r="M45" s="35"/>
      <c r="N45" s="35">
        <v>4.6263042454827437</v>
      </c>
      <c r="P45" s="35">
        <v>18.552518797951411</v>
      </c>
      <c r="Q45" s="35"/>
      <c r="R45" s="35">
        <v>2.8364936311578761</v>
      </c>
      <c r="T45" s="4"/>
    </row>
    <row r="46" spans="1:25" x14ac:dyDescent="0.35">
      <c r="D46" s="9" t="s">
        <v>62</v>
      </c>
      <c r="G46" s="35">
        <v>12.976124038937401</v>
      </c>
      <c r="H46" s="35"/>
      <c r="I46" s="35">
        <v>4.8227781252489947</v>
      </c>
      <c r="J46" s="35"/>
      <c r="K46" s="35"/>
      <c r="L46" s="35">
        <v>18.957083069464506</v>
      </c>
      <c r="M46" s="35"/>
      <c r="N46" s="35">
        <v>7.0574474495447825</v>
      </c>
      <c r="P46" s="35">
        <v>40.098888674061776</v>
      </c>
      <c r="Q46" s="35"/>
      <c r="R46" s="35">
        <v>6.4848447585112359</v>
      </c>
      <c r="T46" s="4"/>
    </row>
    <row r="47" spans="1:25" x14ac:dyDescent="0.35">
      <c r="D47" s="12" t="s">
        <v>62</v>
      </c>
      <c r="G47" s="35">
        <v>100</v>
      </c>
      <c r="H47" s="35"/>
      <c r="I47" s="35">
        <v>100</v>
      </c>
      <c r="J47" s="35"/>
      <c r="K47" s="35"/>
      <c r="L47" s="35">
        <v>100</v>
      </c>
      <c r="M47" s="35"/>
      <c r="N47" s="35">
        <v>100</v>
      </c>
      <c r="P47" s="35">
        <v>100</v>
      </c>
      <c r="Q47" s="35"/>
      <c r="R47" s="35">
        <v>100</v>
      </c>
      <c r="T47" s="4"/>
    </row>
    <row r="48" spans="1:25" x14ac:dyDescent="0.35">
      <c r="T48" s="4"/>
    </row>
    <row r="49" spans="1:21" x14ac:dyDescent="0.35">
      <c r="A49" s="4" t="s">
        <v>81</v>
      </c>
      <c r="T49" s="4"/>
    </row>
    <row r="50" spans="1:21" x14ac:dyDescent="0.35">
      <c r="P50" s="8" t="s">
        <v>194</v>
      </c>
      <c r="Q50" s="8"/>
      <c r="R50" s="8"/>
    </row>
    <row r="51" spans="1:21" x14ac:dyDescent="0.35">
      <c r="A51" s="39" t="s">
        <v>82</v>
      </c>
      <c r="P51" s="8" t="s">
        <v>74</v>
      </c>
      <c r="Q51" s="8"/>
      <c r="R51" s="8" t="s">
        <v>72</v>
      </c>
    </row>
    <row r="52" spans="1:21" x14ac:dyDescent="0.35">
      <c r="D52" s="13" t="s">
        <v>83</v>
      </c>
      <c r="G52" s="60">
        <v>0.36436041834271921</v>
      </c>
      <c r="H52" s="60"/>
      <c r="I52" s="60">
        <v>0.36610619469026545</v>
      </c>
      <c r="J52" s="60"/>
      <c r="K52" s="60"/>
      <c r="L52" s="60">
        <v>0.61837084673097542</v>
      </c>
      <c r="M52" s="60"/>
      <c r="N52" s="60">
        <v>0.55011789924973198</v>
      </c>
      <c r="P52" s="37">
        <v>0.67</v>
      </c>
      <c r="Q52" s="37"/>
      <c r="R52" s="37">
        <v>0.63</v>
      </c>
    </row>
    <row r="53" spans="1:21" x14ac:dyDescent="0.35">
      <c r="D53" s="13"/>
      <c r="G53" s="55" t="s">
        <v>204</v>
      </c>
      <c r="H53" s="14"/>
      <c r="I53" s="14"/>
      <c r="J53" s="14"/>
      <c r="K53" s="14"/>
      <c r="L53" s="14"/>
      <c r="M53" s="14"/>
      <c r="N53" s="14"/>
      <c r="O53" s="7"/>
      <c r="P53" s="15" t="s">
        <v>203</v>
      </c>
      <c r="Q53" s="7"/>
      <c r="R53" s="7"/>
      <c r="S53" s="7"/>
    </row>
    <row r="54" spans="1:21" x14ac:dyDescent="0.35">
      <c r="D54" s="13" t="s">
        <v>89</v>
      </c>
      <c r="G54" s="14">
        <f>1-G52</f>
        <v>0.63563958165728085</v>
      </c>
      <c r="H54" s="14"/>
      <c r="I54" s="14">
        <f>1-I52</f>
        <v>0.63389380530973449</v>
      </c>
      <c r="J54" s="14"/>
      <c r="K54" s="14"/>
      <c r="L54" s="14">
        <f>1-L52</f>
        <v>0.38162915326902458</v>
      </c>
      <c r="M54" s="14"/>
      <c r="N54" s="14">
        <f>1-N52</f>
        <v>0.44988210075026802</v>
      </c>
      <c r="P54" s="14">
        <f>1-P52</f>
        <v>0.32999999999999996</v>
      </c>
      <c r="Q54" s="14"/>
      <c r="R54" s="14">
        <f>1-R52</f>
        <v>0.37</v>
      </c>
      <c r="U54" s="4" t="s">
        <v>208</v>
      </c>
    </row>
    <row r="55" spans="1:21" x14ac:dyDescent="0.35">
      <c r="D55" s="13"/>
      <c r="E55" s="4" t="s">
        <v>205</v>
      </c>
      <c r="G55" s="14"/>
      <c r="H55" s="14"/>
      <c r="I55" s="14"/>
      <c r="J55" s="14"/>
      <c r="K55" s="14"/>
      <c r="L55" s="14"/>
      <c r="M55" s="14"/>
      <c r="N55" s="14"/>
      <c r="P55" s="14"/>
      <c r="Q55" s="14"/>
      <c r="R55" s="14"/>
    </row>
    <row r="56" spans="1:21" x14ac:dyDescent="0.35">
      <c r="D56" s="13"/>
      <c r="E56" s="4" t="s">
        <v>240</v>
      </c>
      <c r="G56" s="14"/>
      <c r="H56" s="14"/>
      <c r="I56" s="14"/>
      <c r="J56" s="14"/>
      <c r="K56" s="14"/>
      <c r="L56" s="14"/>
      <c r="M56" s="14"/>
      <c r="N56" s="14"/>
      <c r="P56" s="14"/>
      <c r="Q56" s="14"/>
      <c r="R56" s="14"/>
    </row>
    <row r="57" spans="1:21" x14ac:dyDescent="0.35">
      <c r="D57" s="13"/>
      <c r="E57" s="4" t="s">
        <v>241</v>
      </c>
      <c r="G57" s="14"/>
      <c r="H57" s="14"/>
      <c r="I57" s="14"/>
      <c r="J57" s="14"/>
      <c r="K57" s="14"/>
      <c r="L57" s="14"/>
      <c r="M57" s="14"/>
      <c r="N57" s="14"/>
      <c r="P57" s="14"/>
      <c r="Q57" s="14"/>
      <c r="R57" s="14"/>
    </row>
    <row r="58" spans="1:21" x14ac:dyDescent="0.35">
      <c r="D58" s="13" t="s">
        <v>84</v>
      </c>
      <c r="G58" s="61">
        <v>0.55071951610330594</v>
      </c>
      <c r="H58" s="36"/>
      <c r="I58" s="61">
        <v>0.59704079444955993</v>
      </c>
      <c r="J58" s="36"/>
      <c r="K58" s="36"/>
      <c r="L58" s="62">
        <v>3.9213192766716254E-2</v>
      </c>
      <c r="M58" s="36"/>
      <c r="N58" s="62">
        <v>0.15441578795580541</v>
      </c>
      <c r="P58" s="62">
        <v>3.9213192766716254E-2</v>
      </c>
      <c r="Q58" s="36"/>
      <c r="R58" s="62">
        <v>0.15441578795580541</v>
      </c>
    </row>
    <row r="59" spans="1:21" x14ac:dyDescent="0.35">
      <c r="D59" s="13" t="s">
        <v>85</v>
      </c>
      <c r="G59" s="61">
        <v>0.41426878118864519</v>
      </c>
      <c r="H59" s="36"/>
      <c r="I59" s="61">
        <v>0.37030846891144098</v>
      </c>
      <c r="J59" s="36"/>
      <c r="K59" s="36"/>
      <c r="L59" s="62">
        <v>0.35986180434274284</v>
      </c>
      <c r="M59" s="36"/>
      <c r="N59" s="62">
        <v>0.39340574332576039</v>
      </c>
      <c r="P59" s="62">
        <v>0.35986180434274284</v>
      </c>
      <c r="Q59" s="36"/>
      <c r="R59" s="62">
        <v>0.39340574332576039</v>
      </c>
    </row>
    <row r="60" spans="1:21" x14ac:dyDescent="0.35">
      <c r="D60" s="13" t="s">
        <v>86</v>
      </c>
      <c r="G60" s="61">
        <v>0.96498829729195101</v>
      </c>
      <c r="H60" s="36"/>
      <c r="I60" s="61">
        <v>0.96734926336100102</v>
      </c>
      <c r="J60" s="36"/>
      <c r="K60" s="36"/>
      <c r="L60" s="62">
        <v>0.39907499710945915</v>
      </c>
      <c r="M60" s="36"/>
      <c r="N60" s="62">
        <v>0.54782153128156574</v>
      </c>
      <c r="P60" s="62">
        <v>0.39907499710945915</v>
      </c>
      <c r="Q60" s="36"/>
      <c r="R60" s="62">
        <v>0.54782153128156574</v>
      </c>
    </row>
    <row r="61" spans="1:21" x14ac:dyDescent="0.35">
      <c r="D61" s="13" t="s">
        <v>87</v>
      </c>
      <c r="G61" s="61">
        <v>0.44928048389669423</v>
      </c>
      <c r="H61" s="36"/>
      <c r="I61" s="61">
        <v>0.40295920555043985</v>
      </c>
      <c r="J61" s="36"/>
      <c r="K61" s="36"/>
      <c r="L61" s="62">
        <v>0.96078680723328369</v>
      </c>
      <c r="M61" s="36"/>
      <c r="N61" s="62">
        <v>0.84558421204419454</v>
      </c>
      <c r="P61" s="62">
        <v>0.96078680723328369</v>
      </c>
      <c r="Q61" s="36"/>
      <c r="R61" s="62">
        <v>0.84558421204419454</v>
      </c>
    </row>
    <row r="62" spans="1:21" x14ac:dyDescent="0.35">
      <c r="D62" s="13" t="s">
        <v>88</v>
      </c>
      <c r="G62" s="61">
        <v>3.5011702708048993E-2</v>
      </c>
      <c r="H62" s="36"/>
      <c r="I62" s="61">
        <v>3.2650736638998895E-2</v>
      </c>
      <c r="J62" s="36"/>
      <c r="K62" s="36"/>
      <c r="L62" s="62">
        <v>0.60092500289054074</v>
      </c>
      <c r="M62" s="36"/>
      <c r="N62" s="62">
        <v>0.4521784687184342</v>
      </c>
      <c r="P62" s="62">
        <v>0.60092500289054074</v>
      </c>
      <c r="Q62" s="36"/>
      <c r="R62" s="62">
        <v>0.4521784687184342</v>
      </c>
    </row>
    <row r="63" spans="1:21" x14ac:dyDescent="0.35">
      <c r="D63" s="13"/>
      <c r="G63" s="15" t="s">
        <v>206</v>
      </c>
      <c r="H63" s="7"/>
      <c r="I63" s="15" t="s">
        <v>206</v>
      </c>
      <c r="J63" s="7"/>
      <c r="K63" s="7"/>
      <c r="L63" s="15" t="s">
        <v>207</v>
      </c>
      <c r="M63" s="7"/>
      <c r="N63" s="15" t="s">
        <v>207</v>
      </c>
      <c r="O63" s="7"/>
      <c r="P63" s="15" t="s">
        <v>207</v>
      </c>
      <c r="Q63" s="7"/>
      <c r="R63" s="15" t="s">
        <v>207</v>
      </c>
      <c r="S63" s="7"/>
    </row>
    <row r="64" spans="1:21" x14ac:dyDescent="0.35">
      <c r="G64" s="15" t="s">
        <v>223</v>
      </c>
      <c r="H64" s="7"/>
      <c r="I64" s="15" t="s">
        <v>223</v>
      </c>
      <c r="J64" s="7"/>
      <c r="K64" s="7"/>
      <c r="L64" s="15" t="s">
        <v>223</v>
      </c>
      <c r="M64" s="7"/>
      <c r="N64" s="15"/>
      <c r="O64" s="7"/>
      <c r="P64" s="15" t="s">
        <v>223</v>
      </c>
      <c r="Q64" s="7"/>
      <c r="R64" s="15"/>
      <c r="S64" s="7"/>
      <c r="T64" s="7"/>
    </row>
    <row r="65" spans="3:20" x14ac:dyDescent="0.35">
      <c r="G65" s="15" t="s">
        <v>224</v>
      </c>
      <c r="H65" s="7"/>
      <c r="I65" s="15" t="s">
        <v>225</v>
      </c>
      <c r="J65" s="7"/>
      <c r="K65" s="7"/>
      <c r="L65" s="15" t="s">
        <v>226</v>
      </c>
      <c r="M65" s="7"/>
      <c r="N65" s="15" t="s">
        <v>209</v>
      </c>
      <c r="O65" s="7"/>
      <c r="P65" s="15" t="s">
        <v>226</v>
      </c>
      <c r="Q65" s="7"/>
      <c r="R65" s="15" t="s">
        <v>209</v>
      </c>
      <c r="S65" s="7"/>
      <c r="T65" s="7"/>
    </row>
    <row r="66" spans="3:20" x14ac:dyDescent="0.35">
      <c r="G66" s="15" t="s">
        <v>227</v>
      </c>
      <c r="H66" s="7"/>
      <c r="I66" s="15" t="s">
        <v>228</v>
      </c>
      <c r="J66" s="7"/>
      <c r="K66" s="7"/>
      <c r="L66" s="15" t="s">
        <v>227</v>
      </c>
      <c r="M66" s="7"/>
      <c r="N66" s="15"/>
      <c r="O66" s="7"/>
      <c r="P66" s="15" t="s">
        <v>227</v>
      </c>
      <c r="Q66" s="7"/>
      <c r="R66" s="15"/>
      <c r="S66" s="7"/>
      <c r="T66" s="7"/>
    </row>
    <row r="67" spans="3:20" x14ac:dyDescent="0.35">
      <c r="G67" s="15" t="s">
        <v>210</v>
      </c>
      <c r="H67" s="7"/>
      <c r="I67" s="15" t="s">
        <v>216</v>
      </c>
      <c r="J67" s="7"/>
      <c r="K67" s="7"/>
      <c r="L67" s="15" t="s">
        <v>220</v>
      </c>
      <c r="M67" s="7"/>
      <c r="N67" s="15"/>
      <c r="O67" s="7"/>
      <c r="P67" s="15" t="s">
        <v>220</v>
      </c>
      <c r="Q67" s="7"/>
      <c r="R67" s="15"/>
      <c r="S67" s="7"/>
      <c r="T67" s="7"/>
    </row>
    <row r="68" spans="3:20" x14ac:dyDescent="0.35">
      <c r="G68" s="15" t="s">
        <v>211</v>
      </c>
      <c r="H68" s="7"/>
      <c r="I68" s="15" t="s">
        <v>211</v>
      </c>
      <c r="J68" s="7"/>
      <c r="K68" s="7"/>
      <c r="L68" s="15" t="s">
        <v>211</v>
      </c>
      <c r="M68" s="7"/>
      <c r="N68" s="15"/>
      <c r="O68" s="7"/>
      <c r="P68" s="15" t="s">
        <v>211</v>
      </c>
      <c r="Q68" s="7"/>
      <c r="R68" s="15"/>
      <c r="S68" s="7"/>
      <c r="T68" s="7"/>
    </row>
    <row r="69" spans="3:20" x14ac:dyDescent="0.35">
      <c r="G69" s="15" t="s">
        <v>212</v>
      </c>
      <c r="H69" s="7"/>
      <c r="I69" s="15" t="s">
        <v>212</v>
      </c>
      <c r="J69" s="7"/>
      <c r="K69" s="7"/>
      <c r="L69" s="15" t="s">
        <v>212</v>
      </c>
      <c r="M69" s="7"/>
      <c r="N69" s="15"/>
      <c r="O69" s="7"/>
      <c r="P69" s="15" t="s">
        <v>212</v>
      </c>
      <c r="Q69" s="7"/>
      <c r="R69" s="15"/>
      <c r="S69" s="7"/>
      <c r="T69" s="7"/>
    </row>
    <row r="70" spans="3:20" x14ac:dyDescent="0.35">
      <c r="G70" s="15" t="s">
        <v>213</v>
      </c>
      <c r="H70" s="7"/>
      <c r="I70" s="15" t="s">
        <v>217</v>
      </c>
      <c r="J70" s="7"/>
      <c r="K70" s="7"/>
      <c r="L70" s="15" t="s">
        <v>221</v>
      </c>
      <c r="M70" s="7"/>
      <c r="N70" s="15"/>
      <c r="O70" s="7"/>
      <c r="P70" s="15" t="s">
        <v>222</v>
      </c>
      <c r="Q70" s="7"/>
      <c r="R70" s="15"/>
      <c r="S70" s="7"/>
      <c r="T70" s="7"/>
    </row>
    <row r="71" spans="3:20" x14ac:dyDescent="0.35">
      <c r="G71" s="15" t="s">
        <v>214</v>
      </c>
      <c r="H71" s="7"/>
      <c r="I71" s="15" t="s">
        <v>218</v>
      </c>
      <c r="J71" s="7"/>
      <c r="K71" s="7"/>
      <c r="L71" s="15" t="s">
        <v>214</v>
      </c>
      <c r="M71" s="7"/>
      <c r="N71" s="15"/>
      <c r="O71" s="7"/>
      <c r="P71" s="15" t="s">
        <v>214</v>
      </c>
      <c r="Q71" s="7"/>
      <c r="R71" s="15"/>
      <c r="S71" s="7"/>
      <c r="T71" s="7"/>
    </row>
    <row r="72" spans="3:20" x14ac:dyDescent="0.35">
      <c r="G72" s="15" t="s">
        <v>215</v>
      </c>
      <c r="H72" s="7"/>
      <c r="I72" s="15" t="s">
        <v>219</v>
      </c>
      <c r="J72" s="7"/>
      <c r="K72" s="7"/>
      <c r="L72" s="15" t="s">
        <v>215</v>
      </c>
      <c r="M72" s="7"/>
      <c r="N72" s="15"/>
      <c r="O72" s="7"/>
      <c r="P72" s="15" t="s">
        <v>215</v>
      </c>
      <c r="Q72" s="7"/>
      <c r="R72" s="15"/>
      <c r="S72" s="7"/>
      <c r="T72" s="7"/>
    </row>
    <row r="73" spans="3:20" x14ac:dyDescent="0.35">
      <c r="C73" s="39" t="s">
        <v>234</v>
      </c>
      <c r="G73" s="15"/>
      <c r="H73" s="7"/>
      <c r="I73" s="15"/>
      <c r="J73" s="7"/>
      <c r="K73" s="7"/>
      <c r="L73" s="15"/>
      <c r="M73" s="7"/>
      <c r="N73" s="15"/>
      <c r="O73" s="7"/>
      <c r="P73" s="15"/>
      <c r="Q73" s="7"/>
      <c r="R73" s="15"/>
      <c r="S73" s="7"/>
      <c r="T73" s="7"/>
    </row>
    <row r="74" spans="3:20" x14ac:dyDescent="0.35">
      <c r="C74" s="4" t="s">
        <v>233</v>
      </c>
      <c r="G74" s="31" t="s">
        <v>229</v>
      </c>
      <c r="H74" s="32"/>
      <c r="I74" s="31" t="s">
        <v>230</v>
      </c>
      <c r="J74" s="32"/>
      <c r="K74" s="32"/>
      <c r="L74" s="31" t="s">
        <v>231</v>
      </c>
      <c r="M74" s="32"/>
      <c r="N74" s="31" t="s">
        <v>232</v>
      </c>
      <c r="O74" s="32"/>
      <c r="P74" s="31" t="s">
        <v>231</v>
      </c>
      <c r="Q74" s="32"/>
      <c r="R74" s="31" t="s">
        <v>232</v>
      </c>
      <c r="S74" s="32"/>
      <c r="T74" s="7"/>
    </row>
    <row r="75" spans="3:20" x14ac:dyDescent="0.35">
      <c r="C75" s="4" t="s">
        <v>235</v>
      </c>
      <c r="G75" s="63">
        <v>83.5</v>
      </c>
      <c r="H75" s="37"/>
      <c r="I75" s="63">
        <v>75.900000000000006</v>
      </c>
      <c r="J75" s="37"/>
      <c r="K75" s="37"/>
      <c r="L75" s="63">
        <v>57.4</v>
      </c>
      <c r="M75" s="37"/>
      <c r="N75" s="63">
        <v>75.900000000000006</v>
      </c>
      <c r="P75" s="63">
        <v>57.4</v>
      </c>
      <c r="Q75" s="37"/>
      <c r="R75" s="63">
        <v>75.900000000000006</v>
      </c>
      <c r="S75" s="7"/>
      <c r="T75" s="7"/>
    </row>
    <row r="76" spans="3:20" x14ac:dyDescent="0.35">
      <c r="C76" s="4" t="s">
        <v>236</v>
      </c>
      <c r="G76" s="31" t="s">
        <v>139</v>
      </c>
      <c r="H76" s="32"/>
      <c r="I76" s="31" t="s">
        <v>140</v>
      </c>
      <c r="J76" s="7"/>
      <c r="K76" s="7"/>
      <c r="L76" s="31" t="s">
        <v>139</v>
      </c>
      <c r="M76" s="32"/>
      <c r="N76" s="31" t="s">
        <v>140</v>
      </c>
      <c r="O76" s="7"/>
      <c r="P76" s="31" t="s">
        <v>139</v>
      </c>
      <c r="Q76" s="32"/>
      <c r="R76" s="31" t="s">
        <v>140</v>
      </c>
      <c r="S76" s="7"/>
      <c r="T76" s="7"/>
    </row>
    <row r="77" spans="3:20" x14ac:dyDescent="0.35">
      <c r="D77" s="4" t="s">
        <v>237</v>
      </c>
      <c r="G77" s="26">
        <f>C26*G37/100</f>
        <v>1145.7375061757921</v>
      </c>
      <c r="H77" s="25"/>
      <c r="I77" s="26">
        <f>C27*I38/100</f>
        <v>1053.2980784574295</v>
      </c>
      <c r="J77" s="25"/>
      <c r="K77" s="25"/>
      <c r="L77" s="26">
        <f>E26*L37/100</f>
        <v>871.34230129923378</v>
      </c>
      <c r="M77" s="25"/>
      <c r="N77" s="26"/>
      <c r="O77" s="25"/>
      <c r="P77" s="26">
        <f>J26*P37/100</f>
        <v>368.2888614106181</v>
      </c>
      <c r="Q77" s="25"/>
      <c r="R77" s="26"/>
      <c r="S77" s="7"/>
      <c r="T77" s="7"/>
    </row>
    <row r="78" spans="3:20" x14ac:dyDescent="0.35">
      <c r="D78" s="4" t="s">
        <v>238</v>
      </c>
      <c r="G78" s="26">
        <f>C27*I37/100</f>
        <v>64.225357116031461</v>
      </c>
      <c r="H78" s="25"/>
      <c r="I78" s="26">
        <f>C26*G38/100</f>
        <v>755.6430677373703</v>
      </c>
      <c r="J78" s="25"/>
      <c r="K78" s="25"/>
      <c r="L78" s="26">
        <f>E27*N37/100</f>
        <v>74.037256613495614</v>
      </c>
      <c r="M78" s="25"/>
      <c r="N78" s="26"/>
      <c r="O78" s="25"/>
      <c r="P78" s="26">
        <f>J27*R37/100</f>
        <v>31.438690996258416</v>
      </c>
      <c r="Q78" s="25"/>
      <c r="R78" s="26"/>
      <c r="S78" s="7"/>
      <c r="T78" s="7"/>
    </row>
    <row r="79" spans="3:20" x14ac:dyDescent="0.35">
      <c r="D79" s="4" t="s">
        <v>62</v>
      </c>
      <c r="G79" s="26">
        <f>G77+G78</f>
        <v>1209.9628632918236</v>
      </c>
      <c r="H79" s="25"/>
      <c r="I79" s="26">
        <f>I77+I78</f>
        <v>1808.9411461947998</v>
      </c>
      <c r="J79" s="25"/>
      <c r="K79" s="25"/>
      <c r="L79" s="26">
        <f>L77+L78</f>
        <v>945.37955791272941</v>
      </c>
      <c r="M79" s="25"/>
      <c r="N79" s="26"/>
      <c r="O79" s="25"/>
      <c r="P79" s="26">
        <f>P77+P78</f>
        <v>399.7275524068765</v>
      </c>
      <c r="Q79" s="25"/>
      <c r="R79" s="26"/>
      <c r="S79" s="7"/>
      <c r="T79" s="7"/>
    </row>
    <row r="80" spans="3:20" x14ac:dyDescent="0.35">
      <c r="D80" s="4" t="s">
        <v>239</v>
      </c>
      <c r="G80" s="64">
        <f>(G77*G75/100)/G79</f>
        <v>0.7906778353957199</v>
      </c>
      <c r="H80" s="22"/>
      <c r="I80" s="64">
        <f>(I77*I75/100)/I79</f>
        <v>0.44194541277966937</v>
      </c>
      <c r="J80" s="22"/>
      <c r="K80" s="22"/>
      <c r="L80" s="64">
        <f>(L77*L75/100)/L79</f>
        <v>0.52904727710637722</v>
      </c>
      <c r="M80" s="22"/>
      <c r="N80" s="64"/>
      <c r="O80" s="22"/>
      <c r="P80" s="64">
        <f>(P77*P75/100)/P79</f>
        <v>0.52885472911938836</v>
      </c>
      <c r="Q80" s="15" t="s">
        <v>242</v>
      </c>
      <c r="R80" s="15"/>
      <c r="S80" s="7"/>
      <c r="T80" s="7"/>
    </row>
    <row r="81" spans="1:19" x14ac:dyDescent="0.35">
      <c r="F81" s="7"/>
      <c r="G81" s="15"/>
      <c r="H81" s="7"/>
      <c r="I81" s="15"/>
      <c r="J81" s="7"/>
      <c r="K81" s="7"/>
      <c r="L81" s="15"/>
      <c r="M81" s="7"/>
      <c r="N81" s="15"/>
      <c r="S81" s="7"/>
    </row>
    <row r="82" spans="1:19" x14ac:dyDescent="0.35">
      <c r="A82" s="4" t="s">
        <v>90</v>
      </c>
    </row>
    <row r="83" spans="1:19" x14ac:dyDescent="0.35">
      <c r="G83" s="8" t="s">
        <v>73</v>
      </c>
      <c r="H83" s="8"/>
      <c r="I83" s="8"/>
      <c r="J83" s="8"/>
      <c r="K83" s="8"/>
      <c r="L83" s="8" t="s">
        <v>75</v>
      </c>
      <c r="M83" s="8"/>
      <c r="N83" s="8"/>
      <c r="O83" s="8"/>
    </row>
    <row r="84" spans="1:19" x14ac:dyDescent="0.35">
      <c r="G84" s="8" t="s">
        <v>74</v>
      </c>
      <c r="H84" s="8"/>
      <c r="I84" s="8" t="s">
        <v>72</v>
      </c>
      <c r="J84" s="8"/>
      <c r="K84" s="8"/>
      <c r="L84" s="8" t="s">
        <v>74</v>
      </c>
      <c r="M84" s="8"/>
      <c r="N84" s="8" t="s">
        <v>72</v>
      </c>
      <c r="O84" s="8"/>
    </row>
    <row r="85" spans="1:19" x14ac:dyDescent="0.35">
      <c r="A85" s="39" t="s">
        <v>91</v>
      </c>
    </row>
    <row r="86" spans="1:19" x14ac:dyDescent="0.35">
      <c r="A86" s="4" t="s">
        <v>98</v>
      </c>
      <c r="D86" s="4" t="s">
        <v>92</v>
      </c>
      <c r="G86" s="36">
        <v>0.26993887530562349</v>
      </c>
      <c r="H86" s="36"/>
      <c r="I86" s="36">
        <v>0.13810513447432762</v>
      </c>
      <c r="J86" s="36"/>
      <c r="K86" s="36"/>
      <c r="L86" s="36">
        <v>0.4760986066452304</v>
      </c>
      <c r="M86" s="37"/>
      <c r="N86" s="36">
        <v>0.29060021436227224</v>
      </c>
      <c r="P86" s="37">
        <v>0.63</v>
      </c>
      <c r="Q86" s="37"/>
      <c r="R86" s="37">
        <v>0.36</v>
      </c>
    </row>
    <row r="87" spans="1:19" x14ac:dyDescent="0.35">
      <c r="A87" s="4"/>
      <c r="D87" s="4"/>
      <c r="G87" s="55" t="s">
        <v>243</v>
      </c>
      <c r="H87" s="14"/>
      <c r="I87" s="14"/>
      <c r="J87" s="14"/>
      <c r="K87" s="14"/>
      <c r="L87" s="14"/>
      <c r="M87" s="7"/>
      <c r="N87" s="14"/>
      <c r="O87" s="7"/>
      <c r="P87" s="7"/>
      <c r="Q87" s="7"/>
    </row>
    <row r="88" spans="1:19" x14ac:dyDescent="0.35">
      <c r="A88" s="4" t="s">
        <v>100</v>
      </c>
      <c r="D88" s="4" t="s">
        <v>93</v>
      </c>
      <c r="G88" s="36">
        <v>1</v>
      </c>
      <c r="H88" s="36"/>
      <c r="I88" s="36">
        <v>1</v>
      </c>
      <c r="J88" s="36"/>
      <c r="K88" s="36"/>
      <c r="L88" s="36">
        <v>0.6</v>
      </c>
      <c r="M88" s="36"/>
      <c r="N88" s="36">
        <v>0.6</v>
      </c>
      <c r="P88" s="36">
        <v>0.6</v>
      </c>
      <c r="Q88" s="36"/>
      <c r="R88" s="36">
        <v>0.6</v>
      </c>
    </row>
    <row r="89" spans="1:19" x14ac:dyDescent="0.35">
      <c r="D89" s="4" t="s">
        <v>99</v>
      </c>
      <c r="G89" s="2">
        <f>100*G86*G88</f>
        <v>26.99388753056235</v>
      </c>
      <c r="H89" s="1"/>
      <c r="I89" s="2">
        <f>100*I86*I88</f>
        <v>13.810513447432763</v>
      </c>
      <c r="J89" s="1"/>
      <c r="K89" s="1"/>
      <c r="L89" s="2">
        <f>100*L86*L88</f>
        <v>28.565916398713824</v>
      </c>
      <c r="M89" s="1"/>
      <c r="N89" s="2">
        <f>100*N86*N88</f>
        <v>17.436012861736334</v>
      </c>
      <c r="P89" s="2">
        <f>100*P86*P88</f>
        <v>37.799999999999997</v>
      </c>
      <c r="Q89" s="1"/>
      <c r="R89" s="2">
        <f>100*R86*R88</f>
        <v>21.599999999999998</v>
      </c>
    </row>
    <row r="91" spans="1:19" x14ac:dyDescent="0.35">
      <c r="D91" s="4" t="s">
        <v>94</v>
      </c>
    </row>
    <row r="92" spans="1:19" x14ac:dyDescent="0.35">
      <c r="D92" s="13" t="s">
        <v>84</v>
      </c>
      <c r="G92" s="36">
        <v>1.5509609588506641</v>
      </c>
      <c r="H92" s="37"/>
      <c r="I92" s="36">
        <v>1.5227733230098803</v>
      </c>
      <c r="J92" s="36"/>
      <c r="K92" s="36"/>
      <c r="L92" s="36">
        <v>1.5326836389029728</v>
      </c>
      <c r="M92" s="37"/>
      <c r="N92" s="36">
        <v>2.0511410922521263</v>
      </c>
      <c r="P92" s="36">
        <v>1.5326836389029728</v>
      </c>
      <c r="Q92" s="37"/>
      <c r="R92" s="36">
        <v>2.0511410922521263</v>
      </c>
    </row>
    <row r="93" spans="1:19" x14ac:dyDescent="0.35">
      <c r="D93" s="13" t="s">
        <v>85</v>
      </c>
      <c r="G93" s="36">
        <v>0.87202716056630569</v>
      </c>
      <c r="H93" s="37"/>
      <c r="I93" s="36">
        <v>0.80958779540120296</v>
      </c>
      <c r="J93" s="36"/>
      <c r="K93" s="36"/>
      <c r="L93" s="36">
        <v>1.0874500160417906</v>
      </c>
      <c r="M93" s="37"/>
      <c r="N93" s="36">
        <v>1.1902090250162407</v>
      </c>
      <c r="P93" s="36">
        <v>1.0874500160417906</v>
      </c>
      <c r="Q93" s="37"/>
      <c r="R93" s="36">
        <v>1.1902090250162407</v>
      </c>
    </row>
    <row r="94" spans="1:19" x14ac:dyDescent="0.35">
      <c r="D94" s="13" t="s">
        <v>86</v>
      </c>
      <c r="G94" s="36">
        <v>1.0578433459651078</v>
      </c>
      <c r="H94" s="37"/>
      <c r="I94" s="36">
        <v>1.0942636486147026</v>
      </c>
      <c r="J94" s="36"/>
      <c r="K94" s="36"/>
      <c r="L94" s="36">
        <v>1.1298801888878223</v>
      </c>
      <c r="M94" s="37"/>
      <c r="N94" s="36">
        <v>1.3499196764425621</v>
      </c>
      <c r="P94" s="36">
        <v>1.1298801888878223</v>
      </c>
      <c r="Q94" s="37"/>
      <c r="R94" s="36">
        <v>1.3499196764425621</v>
      </c>
    </row>
    <row r="95" spans="1:19" x14ac:dyDescent="0.35">
      <c r="D95" s="13" t="s">
        <v>87</v>
      </c>
      <c r="G95" s="36">
        <v>0.82616808261433672</v>
      </c>
      <c r="H95" s="37"/>
      <c r="I95" s="36">
        <v>0.77485497815698956</v>
      </c>
      <c r="J95" s="36"/>
      <c r="K95" s="36"/>
      <c r="L95" s="36">
        <v>0.9764604896741319</v>
      </c>
      <c r="M95" s="37"/>
      <c r="N95" s="36">
        <v>0.86065150355030295</v>
      </c>
      <c r="P95" s="36">
        <v>0.9764604896741319</v>
      </c>
      <c r="Q95" s="37"/>
      <c r="R95" s="36">
        <v>0.86065150355030295</v>
      </c>
    </row>
    <row r="96" spans="1:19" x14ac:dyDescent="0.35">
      <c r="D96" s="13" t="s">
        <v>88</v>
      </c>
      <c r="G96" s="36">
        <v>0.59018246654686368</v>
      </c>
      <c r="H96" s="37"/>
      <c r="I96" s="36">
        <v>0.51457926291879696</v>
      </c>
      <c r="J96" s="36"/>
      <c r="K96" s="36"/>
      <c r="L96" s="36">
        <v>0.89624898063253966</v>
      </c>
      <c r="M96" s="37"/>
      <c r="N96" s="36">
        <v>0.69356977339985582</v>
      </c>
      <c r="P96" s="36">
        <v>0.89624898063253966</v>
      </c>
      <c r="Q96" s="37"/>
      <c r="R96" s="36">
        <v>0.69356977339985582</v>
      </c>
    </row>
    <row r="97" spans="1:18" x14ac:dyDescent="0.35">
      <c r="A97" s="4"/>
      <c r="D97" s="13"/>
      <c r="G97" s="55" t="s">
        <v>188</v>
      </c>
      <c r="I97" s="56" t="s">
        <v>189</v>
      </c>
      <c r="J97" s="1"/>
      <c r="K97" s="1"/>
      <c r="L97" s="55" t="s">
        <v>190</v>
      </c>
      <c r="N97" s="56" t="s">
        <v>191</v>
      </c>
    </row>
    <row r="98" spans="1:18" x14ac:dyDescent="0.35">
      <c r="A98" s="4"/>
      <c r="D98" s="13" t="s">
        <v>129</v>
      </c>
      <c r="G98" s="66">
        <v>1903.4354964816262</v>
      </c>
      <c r="H98" s="66"/>
      <c r="I98" s="66">
        <v>1744.8264268960127</v>
      </c>
      <c r="J98" s="66"/>
      <c r="K98" s="66"/>
      <c r="L98" s="66">
        <v>2282.6452304394425</v>
      </c>
      <c r="M98" s="66"/>
      <c r="N98" s="66">
        <v>2125.7963558413712</v>
      </c>
      <c r="O98" s="23"/>
      <c r="P98" s="66">
        <v>2427</v>
      </c>
      <c r="Q98" s="66"/>
      <c r="R98" s="66">
        <v>2158</v>
      </c>
    </row>
    <row r="99" spans="1:18" x14ac:dyDescent="0.35">
      <c r="A99" s="4" t="s">
        <v>98</v>
      </c>
      <c r="G99" s="55" t="s">
        <v>187</v>
      </c>
      <c r="H99" s="7"/>
      <c r="I99" s="7"/>
      <c r="J99" s="7"/>
      <c r="K99" s="7"/>
      <c r="L99" s="7"/>
      <c r="M99" s="7"/>
      <c r="N99" s="7"/>
    </row>
    <row r="100" spans="1:18" x14ac:dyDescent="0.35">
      <c r="D100" s="13" t="s">
        <v>96</v>
      </c>
    </row>
    <row r="101" spans="1:18" x14ac:dyDescent="0.35">
      <c r="A101" s="4" t="s">
        <v>97</v>
      </c>
      <c r="D101" s="13"/>
      <c r="G101" s="67">
        <v>36.209247148288974</v>
      </c>
      <c r="H101" s="7"/>
      <c r="I101" s="7"/>
      <c r="J101" s="7"/>
      <c r="K101" s="7"/>
      <c r="L101" s="67">
        <v>4.8</v>
      </c>
      <c r="M101" s="7"/>
      <c r="N101" s="7"/>
      <c r="O101" s="7"/>
      <c r="P101" s="68">
        <v>2.62</v>
      </c>
    </row>
    <row r="102" spans="1:18" x14ac:dyDescent="0.35">
      <c r="G102" s="55" t="s">
        <v>187</v>
      </c>
      <c r="H102" s="7"/>
      <c r="I102" s="7"/>
      <c r="J102" s="7"/>
      <c r="K102" s="7"/>
      <c r="L102" s="15"/>
      <c r="M102" s="7"/>
      <c r="N102" s="7"/>
    </row>
    <row r="103" spans="1:18" x14ac:dyDescent="0.35">
      <c r="D103" s="4" t="s">
        <v>95</v>
      </c>
    </row>
    <row r="104" spans="1:18" x14ac:dyDescent="0.35">
      <c r="D104" s="13" t="s">
        <v>84</v>
      </c>
      <c r="G104" s="1">
        <f>G92*$G$101</f>
        <v>56.159128676370941</v>
      </c>
      <c r="H104" s="1"/>
      <c r="I104" s="1">
        <f>I92*$G$101</f>
        <v>55.138475603686032</v>
      </c>
      <c r="J104" s="1"/>
      <c r="K104" s="1"/>
      <c r="L104" s="1">
        <f>L92*$L$101</f>
        <v>7.3568814667342686</v>
      </c>
      <c r="M104" s="1"/>
      <c r="N104" s="1">
        <f>N92*$L$101</f>
        <v>9.8454772428102064</v>
      </c>
      <c r="P104" s="1">
        <f>P92*$P$101</f>
        <v>4.0156311339257886</v>
      </c>
      <c r="Q104" s="1"/>
      <c r="R104" s="1">
        <f>R92*$P$101</f>
        <v>5.3739896617005707</v>
      </c>
    </row>
    <row r="105" spans="1:18" x14ac:dyDescent="0.35">
      <c r="D105" s="13" t="s">
        <v>85</v>
      </c>
      <c r="G105" s="1">
        <f>G93*$G$101</f>
        <v>31.575446976966035</v>
      </c>
      <c r="H105" s="1"/>
      <c r="I105" s="1">
        <f>I93*$G$101</f>
        <v>29.314564571920567</v>
      </c>
      <c r="J105" s="1"/>
      <c r="K105" s="1"/>
      <c r="L105" s="1">
        <f>L93*$L$101</f>
        <v>5.2197600770005943</v>
      </c>
      <c r="M105" s="1"/>
      <c r="N105" s="1">
        <f>N93*$L$101</f>
        <v>5.7130033200779549</v>
      </c>
      <c r="P105" s="1">
        <f>P93*$P$101</f>
        <v>2.8491190420294914</v>
      </c>
      <c r="Q105" s="1"/>
      <c r="R105" s="1">
        <f>R93*$P$101</f>
        <v>3.1183476455425509</v>
      </c>
    </row>
    <row r="106" spans="1:18" x14ac:dyDescent="0.35">
      <c r="D106" s="13" t="s">
        <v>86</v>
      </c>
      <c r="G106" s="1">
        <f>G94*$G$101</f>
        <v>38.303711158223543</v>
      </c>
      <c r="H106" s="1"/>
      <c r="I106" s="1">
        <f>I94*$G$101</f>
        <v>39.622462898078204</v>
      </c>
      <c r="J106" s="1"/>
      <c r="K106" s="1"/>
      <c r="L106" s="1">
        <f>L94*$L$101</f>
        <v>5.4234249066615465</v>
      </c>
      <c r="M106" s="1"/>
      <c r="N106" s="1">
        <f>N94*$L$101</f>
        <v>6.4796144469242973</v>
      </c>
      <c r="P106" s="1">
        <f>P94*$P$101</f>
        <v>2.9602860948860945</v>
      </c>
      <c r="Q106" s="1"/>
      <c r="R106" s="1">
        <f>R94*$P$101</f>
        <v>3.5367895522795125</v>
      </c>
    </row>
    <row r="107" spans="1:18" x14ac:dyDescent="0.35">
      <c r="D107" s="13" t="s">
        <v>87</v>
      </c>
      <c r="G107" s="1">
        <f>G95*$G$101</f>
        <v>29.914924289410539</v>
      </c>
      <c r="H107" s="1"/>
      <c r="I107" s="1">
        <f>I95*$G$101</f>
        <v>28.056915408168489</v>
      </c>
      <c r="J107" s="1"/>
      <c r="K107" s="1"/>
      <c r="L107" s="1">
        <f>L95*$L$101</f>
        <v>4.6870103504358331</v>
      </c>
      <c r="M107" s="1"/>
      <c r="N107" s="1">
        <f>N95*$L$101</f>
        <v>4.1311272170414544</v>
      </c>
      <c r="P107" s="1">
        <f>P95*$P$101</f>
        <v>2.5583264829462258</v>
      </c>
      <c r="Q107" s="1"/>
      <c r="R107" s="1">
        <f>R95*$P$101</f>
        <v>2.2549069393017938</v>
      </c>
    </row>
    <row r="108" spans="1:18" x14ac:dyDescent="0.35">
      <c r="A108" s="4"/>
      <c r="D108" s="13" t="s">
        <v>88</v>
      </c>
      <c r="G108" s="1">
        <f>G96*$G$101</f>
        <v>21.370062793782175</v>
      </c>
      <c r="H108" s="1"/>
      <c r="I108" s="1">
        <f>I96*$G$101</f>
        <v>18.632527708411089</v>
      </c>
      <c r="J108" s="1"/>
      <c r="K108" s="1"/>
      <c r="L108" s="1">
        <f>L96*$L$101</f>
        <v>4.3019951070361904</v>
      </c>
      <c r="M108" s="1"/>
      <c r="N108" s="1">
        <f>N96*$L$101</f>
        <v>3.3291349123193079</v>
      </c>
      <c r="P108" s="1">
        <f>P96*$P$101</f>
        <v>2.3481723292572538</v>
      </c>
      <c r="Q108" s="1"/>
      <c r="R108" s="1">
        <f>R96*$P$101</f>
        <v>1.8171528063076223</v>
      </c>
    </row>
    <row r="109" spans="1:18" x14ac:dyDescent="0.35">
      <c r="D109" s="13" t="s">
        <v>148</v>
      </c>
      <c r="E109" s="7"/>
      <c r="F109" s="7"/>
      <c r="G109" s="14">
        <f>G104/G107</f>
        <v>1.8772946952184157</v>
      </c>
      <c r="H109" s="7"/>
      <c r="I109" s="14">
        <f>I104/I107</f>
        <v>1.9652365486917718</v>
      </c>
      <c r="J109" s="7"/>
      <c r="K109" s="7"/>
      <c r="L109" s="14">
        <f>L104/L107</f>
        <v>1.5696320077573909</v>
      </c>
      <c r="M109" s="7"/>
      <c r="N109" s="14">
        <f>N104/N107</f>
        <v>2.3832423272264025</v>
      </c>
      <c r="O109" s="7"/>
      <c r="P109" s="14">
        <f>P104/P107</f>
        <v>1.5696320077573909</v>
      </c>
      <c r="Q109" s="7"/>
      <c r="R109" s="14">
        <f>R104/R107</f>
        <v>2.3832423272264021</v>
      </c>
    </row>
    <row r="110" spans="1:18" x14ac:dyDescent="0.35">
      <c r="D110" s="13"/>
      <c r="E110" s="7"/>
      <c r="F110" s="7"/>
      <c r="G110" s="14"/>
      <c r="H110" s="7"/>
      <c r="I110" s="14"/>
      <c r="J110" s="7"/>
      <c r="K110" s="7"/>
      <c r="L110" s="14"/>
      <c r="M110" s="7"/>
      <c r="N110" s="14"/>
    </row>
    <row r="111" spans="1:18" x14ac:dyDescent="0.35">
      <c r="A111" s="5" t="s">
        <v>257</v>
      </c>
      <c r="D111" s="13"/>
      <c r="E111" s="7"/>
      <c r="F111" s="7"/>
      <c r="G111" s="14"/>
      <c r="H111" s="7"/>
      <c r="I111" s="14"/>
      <c r="J111" s="7"/>
      <c r="K111" s="7"/>
      <c r="L111" s="14"/>
      <c r="M111" s="7"/>
      <c r="N111" s="14"/>
    </row>
    <row r="112" spans="1:18" x14ac:dyDescent="0.35">
      <c r="D112" s="13"/>
      <c r="E112" s="7"/>
      <c r="F112" s="7"/>
      <c r="G112" s="14"/>
      <c r="H112" s="7"/>
      <c r="I112" s="14"/>
      <c r="J112" s="7"/>
      <c r="K112" s="7"/>
      <c r="L112" s="14"/>
      <c r="M112" s="7"/>
      <c r="N112" s="14"/>
    </row>
    <row r="113" spans="4:35" x14ac:dyDescent="0.35">
      <c r="D113" s="50" t="s">
        <v>177</v>
      </c>
      <c r="E113" s="7"/>
      <c r="F113" s="7"/>
      <c r="G113" s="14"/>
      <c r="H113" s="7"/>
      <c r="I113" s="14"/>
      <c r="J113" s="7"/>
      <c r="K113" s="7"/>
      <c r="L113" s="14"/>
      <c r="M113" s="7"/>
      <c r="N113" s="14"/>
    </row>
    <row r="114" spans="4:35" x14ac:dyDescent="0.35">
      <c r="D114" s="13" t="s">
        <v>198</v>
      </c>
      <c r="E114" s="7"/>
      <c r="F114" s="7"/>
      <c r="G114" s="14"/>
      <c r="H114" s="7"/>
      <c r="I114" s="14"/>
      <c r="J114" s="7"/>
      <c r="K114" s="7"/>
      <c r="L114" s="14"/>
      <c r="M114" s="7"/>
      <c r="N114" s="14"/>
    </row>
    <row r="115" spans="4:35" x14ac:dyDescent="0.35">
      <c r="D115" s="13" t="s">
        <v>199</v>
      </c>
      <c r="E115" s="7"/>
      <c r="F115" s="7"/>
      <c r="G115" s="14"/>
      <c r="H115" s="7"/>
      <c r="I115" s="14"/>
      <c r="J115" s="7"/>
      <c r="K115" s="7"/>
      <c r="L115" s="14"/>
      <c r="M115" s="7"/>
      <c r="N115" s="14"/>
    </row>
    <row r="116" spans="4:35" x14ac:dyDescent="0.35">
      <c r="D116" s="13" t="s">
        <v>200</v>
      </c>
      <c r="E116" s="7"/>
      <c r="F116" s="7"/>
      <c r="G116" s="14"/>
      <c r="H116" s="7"/>
      <c r="I116" s="14"/>
      <c r="J116" s="7"/>
      <c r="K116" s="7"/>
      <c r="L116" s="14"/>
      <c r="M116" s="7"/>
      <c r="N116" s="14"/>
    </row>
    <row r="117" spans="4:35" x14ac:dyDescent="0.35">
      <c r="D117" s="13" t="s">
        <v>201</v>
      </c>
      <c r="E117" s="7"/>
      <c r="F117" s="7"/>
      <c r="G117" s="14"/>
      <c r="H117" s="7"/>
      <c r="I117" s="14"/>
      <c r="J117" s="7"/>
      <c r="K117" s="7"/>
      <c r="L117" s="14"/>
      <c r="M117" s="7"/>
      <c r="N117" s="14"/>
    </row>
    <row r="118" spans="4:35" x14ac:dyDescent="0.35">
      <c r="D118" s="13" t="s">
        <v>202</v>
      </c>
      <c r="E118" s="7"/>
      <c r="F118" s="7"/>
      <c r="G118" s="14"/>
      <c r="H118" s="7"/>
      <c r="I118" s="14"/>
      <c r="J118" s="7"/>
      <c r="K118" s="7"/>
      <c r="L118" s="14"/>
      <c r="M118" s="7"/>
      <c r="N118" s="14"/>
    </row>
    <row r="119" spans="4:35" x14ac:dyDescent="0.35">
      <c r="D119" s="13"/>
      <c r="E119" s="15" t="s">
        <v>178</v>
      </c>
      <c r="F119" s="7"/>
      <c r="G119" s="14"/>
      <c r="H119" s="7"/>
      <c r="I119" s="14"/>
      <c r="J119" s="7"/>
      <c r="K119" s="7"/>
      <c r="L119" s="14"/>
      <c r="M119" s="7"/>
      <c r="N119" s="19">
        <f>E27*N39/100</f>
        <v>1033.8079679012121</v>
      </c>
      <c r="R119" s="54">
        <f>J27*R39/100</f>
        <v>269.32364709548767</v>
      </c>
      <c r="S119" s="4"/>
    </row>
    <row r="120" spans="4:35" x14ac:dyDescent="0.35">
      <c r="D120" s="13"/>
      <c r="E120" s="15" t="s">
        <v>197</v>
      </c>
      <c r="F120" s="7"/>
      <c r="G120" s="14"/>
      <c r="H120" s="7"/>
      <c r="I120" s="14"/>
      <c r="J120" s="7"/>
      <c r="K120" s="7"/>
      <c r="L120" s="14"/>
      <c r="M120" s="7"/>
      <c r="N120" s="19">
        <f>E25+E26</f>
        <v>3045.2765599999998</v>
      </c>
      <c r="R120" s="54">
        <f>J25+J26</f>
        <v>1005.8</v>
      </c>
    </row>
    <row r="121" spans="4:35" x14ac:dyDescent="0.35">
      <c r="D121" s="13"/>
      <c r="E121" s="15" t="s">
        <v>127</v>
      </c>
      <c r="F121" s="7"/>
      <c r="G121" s="14"/>
      <c r="H121" s="7"/>
      <c r="I121" s="14"/>
      <c r="J121" s="7"/>
      <c r="K121" s="7"/>
      <c r="L121" s="14"/>
      <c r="M121" s="7"/>
      <c r="N121" s="19">
        <f>E26</f>
        <v>2153.3555899999997</v>
      </c>
      <c r="R121" s="54">
        <f>J26</f>
        <v>995</v>
      </c>
    </row>
    <row r="122" spans="4:35" x14ac:dyDescent="0.35">
      <c r="D122" s="13"/>
      <c r="E122" s="15" t="s">
        <v>179</v>
      </c>
      <c r="F122" s="7"/>
      <c r="G122" s="14"/>
      <c r="H122" s="15"/>
      <c r="I122" s="14"/>
      <c r="J122" s="7"/>
      <c r="K122" s="7"/>
      <c r="L122" s="14"/>
      <c r="M122" s="7"/>
      <c r="N122" s="19">
        <f>N121*L36/100</f>
        <v>369.27925051004854</v>
      </c>
      <c r="R122" s="54">
        <f>J26*P36/100</f>
        <v>79.659226524144273</v>
      </c>
      <c r="T122" s="15"/>
      <c r="U122" s="7"/>
      <c r="V122" s="7"/>
      <c r="W122" s="7"/>
      <c r="X122" s="7"/>
      <c r="Y122" s="7"/>
      <c r="Z122" s="7"/>
      <c r="AA122" s="7"/>
      <c r="AB122" s="7"/>
      <c r="AC122" s="7"/>
      <c r="AD122" s="7"/>
      <c r="AE122" s="7"/>
      <c r="AF122" s="7"/>
      <c r="AG122" s="7"/>
      <c r="AH122" s="7"/>
      <c r="AI122" s="7"/>
    </row>
    <row r="123" spans="4:35" x14ac:dyDescent="0.35">
      <c r="D123" s="13"/>
      <c r="E123" s="15" t="s">
        <v>256</v>
      </c>
      <c r="F123" s="7"/>
      <c r="G123" s="14"/>
      <c r="H123" s="7"/>
      <c r="I123" s="14"/>
      <c r="J123" s="7"/>
      <c r="K123" s="7"/>
      <c r="L123" s="14"/>
      <c r="M123" s="7"/>
      <c r="N123" s="19">
        <f>N120-N121+N122</f>
        <v>1261.2002205100487</v>
      </c>
      <c r="P123" s="15"/>
      <c r="Q123" s="7"/>
      <c r="R123" s="19">
        <f>R120-R121+R122</f>
        <v>90.459226524144228</v>
      </c>
      <c r="T123" s="7"/>
      <c r="U123" s="7"/>
      <c r="V123" s="7"/>
      <c r="W123" s="7"/>
      <c r="X123" s="7"/>
      <c r="Y123" s="7"/>
      <c r="Z123" s="7"/>
      <c r="AA123" s="7"/>
      <c r="AB123" s="7"/>
      <c r="AC123" s="7"/>
      <c r="AD123" s="7"/>
      <c r="AE123" s="7"/>
      <c r="AF123" s="7"/>
      <c r="AG123" s="7"/>
      <c r="AH123" s="7"/>
      <c r="AI123" s="7"/>
    </row>
    <row r="124" spans="4:35" x14ac:dyDescent="0.35">
      <c r="D124" s="13"/>
      <c r="E124" s="15" t="s">
        <v>255</v>
      </c>
      <c r="F124" s="7"/>
      <c r="G124" s="14"/>
      <c r="H124" s="7"/>
      <c r="I124" s="14"/>
      <c r="J124" s="7"/>
      <c r="K124" s="7"/>
      <c r="L124" s="14"/>
      <c r="M124" s="7"/>
      <c r="N124" s="19">
        <f>N123*2*L272</f>
        <v>252.24004410200973</v>
      </c>
      <c r="P124" s="15"/>
      <c r="Q124" s="7"/>
      <c r="R124" s="19">
        <f>R123*2*L272</f>
        <v>18.091845304828848</v>
      </c>
      <c r="T124" s="15"/>
      <c r="U124" s="7"/>
      <c r="V124" s="7"/>
      <c r="W124" s="7"/>
      <c r="X124" s="7"/>
      <c r="Y124" s="7"/>
      <c r="Z124" s="7"/>
      <c r="AA124" s="7"/>
      <c r="AB124" s="7"/>
      <c r="AC124" s="7"/>
      <c r="AD124" s="7"/>
      <c r="AE124" s="7"/>
      <c r="AF124" s="7"/>
      <c r="AG124" s="7"/>
      <c r="AH124" s="7"/>
      <c r="AI124" s="7"/>
    </row>
    <row r="125" spans="4:35" x14ac:dyDescent="0.35">
      <c r="D125" s="13"/>
      <c r="E125" s="15" t="s">
        <v>180</v>
      </c>
      <c r="F125" s="7"/>
      <c r="G125" s="14"/>
      <c r="H125" s="7"/>
      <c r="I125" s="14"/>
      <c r="J125" s="7"/>
      <c r="K125" s="7"/>
      <c r="L125" s="14"/>
      <c r="M125" s="7"/>
      <c r="N125" s="19">
        <f>N119-N124</f>
        <v>781.56792379920239</v>
      </c>
      <c r="O125" s="7"/>
      <c r="P125" s="15"/>
      <c r="Q125" s="7"/>
      <c r="R125" s="19">
        <f>R119-R124</f>
        <v>251.23180179065884</v>
      </c>
    </row>
    <row r="126" spans="4:35" x14ac:dyDescent="0.35">
      <c r="D126" s="13"/>
      <c r="E126" s="7"/>
      <c r="F126" s="7"/>
      <c r="G126" s="14"/>
      <c r="H126" s="7"/>
      <c r="I126" s="14"/>
      <c r="J126" s="7"/>
      <c r="K126" s="7"/>
      <c r="L126" s="14"/>
      <c r="M126" s="7"/>
      <c r="N126" s="14"/>
      <c r="P126" s="15" t="s">
        <v>194</v>
      </c>
      <c r="Q126" s="7"/>
    </row>
    <row r="127" spans="4:35" x14ac:dyDescent="0.35">
      <c r="D127" s="57" t="s">
        <v>184</v>
      </c>
      <c r="E127" s="7"/>
      <c r="F127" s="7"/>
      <c r="G127" s="14"/>
      <c r="H127" s="7"/>
      <c r="I127" s="14"/>
      <c r="J127" s="42" t="s">
        <v>70</v>
      </c>
      <c r="K127" s="32"/>
      <c r="L127" s="42" t="s">
        <v>74</v>
      </c>
      <c r="M127" s="42"/>
      <c r="N127" s="42" t="s">
        <v>72</v>
      </c>
      <c r="O127" s="52"/>
      <c r="P127" s="42" t="s">
        <v>74</v>
      </c>
      <c r="Q127" s="42"/>
      <c r="R127" s="42" t="s">
        <v>72</v>
      </c>
    </row>
    <row r="128" spans="4:35" x14ac:dyDescent="0.35">
      <c r="D128" s="13"/>
      <c r="E128" s="6" t="s">
        <v>181</v>
      </c>
      <c r="F128" s="7"/>
      <c r="G128" s="14"/>
      <c r="H128" s="7"/>
      <c r="I128" s="14"/>
      <c r="J128" s="19">
        <f>E26*L36/100</f>
        <v>369.27925051004854</v>
      </c>
      <c r="K128" s="19"/>
      <c r="L128" s="19">
        <f>E26*L37/100</f>
        <v>871.34230129923378</v>
      </c>
      <c r="M128" s="19"/>
      <c r="N128" s="19">
        <f>E26*L38/100</f>
        <v>504.52063021346055</v>
      </c>
      <c r="O128" s="54"/>
      <c r="P128" s="19">
        <f>J26*P37/100</f>
        <v>368.2888614106181</v>
      </c>
      <c r="Q128" s="19"/>
      <c r="R128" s="19">
        <f>J26*P38/100</f>
        <v>148.06796975832296</v>
      </c>
    </row>
    <row r="129" spans="4:18" x14ac:dyDescent="0.35">
      <c r="D129" s="13"/>
      <c r="E129" s="15" t="s">
        <v>182</v>
      </c>
      <c r="F129" s="7"/>
      <c r="G129" s="14"/>
      <c r="H129" s="7"/>
      <c r="I129" s="14"/>
      <c r="J129" s="19">
        <f>N125*N36/100</f>
        <v>42.092235350729794</v>
      </c>
      <c r="K129" s="19"/>
      <c r="L129" s="19">
        <f>N125*N37/100</f>
        <v>52.022565514733166</v>
      </c>
      <c r="M129" s="19"/>
      <c r="N129" s="19">
        <f>N125*N38/100</f>
        <v>632.2943767286846</v>
      </c>
      <c r="O129" s="54"/>
      <c r="P129" s="19">
        <f>R125*R37/100</f>
        <v>27.42499647545057</v>
      </c>
      <c r="Q129" s="19"/>
      <c r="R129" s="19">
        <f>R125*R38/100</f>
        <v>192.65553681587738</v>
      </c>
    </row>
    <row r="130" spans="4:18" x14ac:dyDescent="0.35">
      <c r="D130" s="13"/>
      <c r="E130" s="15" t="s">
        <v>176</v>
      </c>
      <c r="F130" s="7"/>
      <c r="G130" s="14"/>
      <c r="H130" s="7"/>
      <c r="I130" s="14"/>
      <c r="J130" s="19">
        <f>J128+J129</f>
        <v>411.37148586077831</v>
      </c>
      <c r="K130" s="19"/>
      <c r="L130" s="19">
        <f>L128+L129</f>
        <v>923.36486681396696</v>
      </c>
      <c r="M130" s="19"/>
      <c r="N130" s="19">
        <f>N128+N129</f>
        <v>1136.8150069421451</v>
      </c>
      <c r="O130" s="54"/>
      <c r="P130" s="19">
        <f>P128+P129</f>
        <v>395.71385788606869</v>
      </c>
      <c r="Q130" s="19"/>
      <c r="R130" s="19">
        <f>R128+R129</f>
        <v>340.72350657420031</v>
      </c>
    </row>
    <row r="131" spans="4:18" x14ac:dyDescent="0.35">
      <c r="D131" s="13"/>
      <c r="E131" s="15" t="s">
        <v>183</v>
      </c>
      <c r="F131" s="7"/>
      <c r="G131" s="14"/>
      <c r="H131" s="7"/>
      <c r="I131" s="14"/>
      <c r="J131" s="7"/>
      <c r="K131" s="7"/>
      <c r="L131" s="19">
        <f>L130*L54</f>
        <v>352.38295228057984</v>
      </c>
      <c r="M131" s="19"/>
      <c r="N131" s="19">
        <f>N130*N54</f>
        <v>511.43272348756278</v>
      </c>
      <c r="P131" s="19">
        <f>P130*P54</f>
        <v>130.58557310240266</v>
      </c>
      <c r="Q131" s="19"/>
      <c r="R131" s="19">
        <f>R130*R54</f>
        <v>126.06769743245411</v>
      </c>
    </row>
    <row r="132" spans="4:18" x14ac:dyDescent="0.35">
      <c r="D132" s="13"/>
      <c r="E132" s="7"/>
      <c r="F132" s="13" t="s">
        <v>84</v>
      </c>
      <c r="G132" s="14"/>
      <c r="H132" s="7"/>
      <c r="I132" s="14"/>
      <c r="J132" s="7"/>
      <c r="K132" s="7"/>
      <c r="L132" s="19">
        <f>L$131*L58</f>
        <v>13.818060635482952</v>
      </c>
      <c r="M132" s="19"/>
      <c r="N132" s="19">
        <f>N$131*N58</f>
        <v>78.973286983715553</v>
      </c>
      <c r="P132" s="19">
        <f>P$131*P58</f>
        <v>5.1206772506166329</v>
      </c>
      <c r="Q132" s="19"/>
      <c r="R132" s="19">
        <f>R$131*R58</f>
        <v>19.466842834806467</v>
      </c>
    </row>
    <row r="133" spans="4:18" x14ac:dyDescent="0.35">
      <c r="D133" s="13"/>
      <c r="E133" s="7"/>
      <c r="F133" s="13" t="s">
        <v>85</v>
      </c>
      <c r="G133" s="14"/>
      <c r="H133" s="7"/>
      <c r="I133" s="14"/>
      <c r="J133" s="7"/>
      <c r="K133" s="7"/>
      <c r="L133" s="19">
        <f>L$131*L59</f>
        <v>126.8091650273121</v>
      </c>
      <c r="M133" s="19"/>
      <c r="N133" s="19">
        <f>N$131*N59</f>
        <v>201.20057074474272</v>
      </c>
      <c r="P133" s="19">
        <f>P$131*P59</f>
        <v>46.99275995776177</v>
      </c>
      <c r="Q133" s="19"/>
      <c r="R133" s="19">
        <f>R$131*R59</f>
        <v>49.595756217781663</v>
      </c>
    </row>
    <row r="134" spans="4:18" x14ac:dyDescent="0.35">
      <c r="D134" s="13"/>
      <c r="E134" s="7"/>
      <c r="F134" s="13" t="s">
        <v>86</v>
      </c>
      <c r="G134" s="14"/>
      <c r="H134" s="7"/>
      <c r="I134" s="14"/>
      <c r="J134" s="7"/>
      <c r="K134" s="7"/>
      <c r="L134" s="19">
        <f>L$131*L60</f>
        <v>140.62722566279507</v>
      </c>
      <c r="M134" s="19"/>
      <c r="N134" s="19">
        <f>N$131*N60</f>
        <v>280.17385772845824</v>
      </c>
      <c r="P134" s="19">
        <f>P$131*P60</f>
        <v>52.113437208378407</v>
      </c>
      <c r="Q134" s="19"/>
      <c r="R134" s="19">
        <f>R$131*R60</f>
        <v>69.062599052588126</v>
      </c>
    </row>
    <row r="135" spans="4:18" x14ac:dyDescent="0.35">
      <c r="D135" s="13"/>
      <c r="E135" s="7"/>
      <c r="F135" s="13" t="s">
        <v>87</v>
      </c>
      <c r="G135" s="14"/>
      <c r="H135" s="7"/>
      <c r="I135" s="14"/>
      <c r="J135" s="7"/>
      <c r="K135" s="7"/>
      <c r="L135" s="19">
        <f>L$131*L61</f>
        <v>338.56489164509685</v>
      </c>
      <c r="M135" s="19"/>
      <c r="N135" s="19">
        <f>N$131*N61</f>
        <v>432.4594365038472</v>
      </c>
      <c r="P135" s="19">
        <f>P$131*P61</f>
        <v>125.46489585178603</v>
      </c>
      <c r="Q135" s="19"/>
      <c r="R135" s="19">
        <f>R$131*R61</f>
        <v>106.60085459764764</v>
      </c>
    </row>
    <row r="136" spans="4:18" x14ac:dyDescent="0.35">
      <c r="D136" s="13"/>
      <c r="E136" s="7"/>
      <c r="F136" s="13" t="s">
        <v>88</v>
      </c>
      <c r="G136" s="14"/>
      <c r="H136" s="7"/>
      <c r="I136" s="14"/>
      <c r="J136" s="7"/>
      <c r="K136" s="7"/>
      <c r="L136" s="19">
        <f>L$131*L62</f>
        <v>211.75572661778472</v>
      </c>
      <c r="M136" s="19"/>
      <c r="N136" s="19">
        <f>N$131*N62</f>
        <v>231.25886575910451</v>
      </c>
      <c r="P136" s="19">
        <f>P$131*P62</f>
        <v>78.472135894024234</v>
      </c>
      <c r="Q136" s="19"/>
      <c r="R136" s="19">
        <f>R$131*R62</f>
        <v>57.005098379865977</v>
      </c>
    </row>
    <row r="137" spans="4:18" x14ac:dyDescent="0.35">
      <c r="D137" s="13"/>
      <c r="E137" s="7"/>
      <c r="F137" s="7"/>
      <c r="G137" s="14"/>
      <c r="H137" s="7"/>
      <c r="I137" s="14"/>
      <c r="J137" s="7"/>
      <c r="K137" s="7"/>
      <c r="L137" s="14"/>
      <c r="M137" s="7"/>
      <c r="N137" s="14"/>
    </row>
    <row r="138" spans="4:18" x14ac:dyDescent="0.35">
      <c r="D138" s="13" t="s">
        <v>185</v>
      </c>
      <c r="E138" s="7"/>
      <c r="F138" s="7"/>
      <c r="G138" s="14"/>
      <c r="H138" s="7"/>
      <c r="I138" s="14"/>
      <c r="J138" s="7"/>
      <c r="K138" s="7"/>
      <c r="L138" s="14"/>
      <c r="M138" s="7"/>
      <c r="N138" s="14"/>
    </row>
    <row r="139" spans="4:18" x14ac:dyDescent="0.35">
      <c r="D139" s="13"/>
      <c r="E139" s="7"/>
      <c r="F139" s="13" t="s">
        <v>84</v>
      </c>
      <c r="G139" s="14"/>
      <c r="H139" s="7"/>
      <c r="I139" s="14"/>
      <c r="J139" s="7"/>
      <c r="K139" s="7"/>
      <c r="L139" s="16">
        <f>L132/L104</f>
        <v>1.878249730944328</v>
      </c>
      <c r="M139" s="16"/>
      <c r="N139" s="16">
        <f>N132/N104</f>
        <v>8.0212756615111651</v>
      </c>
      <c r="P139" s="16">
        <f>P132/P104</f>
        <v>1.2751861612375044</v>
      </c>
      <c r="Q139" s="16"/>
      <c r="R139" s="16">
        <f>R132/R104</f>
        <v>3.6224191076404653</v>
      </c>
    </row>
    <row r="140" spans="4:18" x14ac:dyDescent="0.35">
      <c r="D140" s="13"/>
      <c r="E140" s="7"/>
      <c r="F140" s="13" t="s">
        <v>85</v>
      </c>
      <c r="G140" s="14"/>
      <c r="H140" s="7"/>
      <c r="I140" s="14"/>
      <c r="J140" s="7"/>
      <c r="K140" s="7"/>
      <c r="L140" s="16">
        <f>L133/L105</f>
        <v>24.294060101739358</v>
      </c>
      <c r="M140" s="16"/>
      <c r="N140" s="16">
        <f>N133/N105</f>
        <v>35.218003468970032</v>
      </c>
      <c r="P140" s="16">
        <f>P133/P105</f>
        <v>16.493786066688099</v>
      </c>
      <c r="Q140" s="16"/>
      <c r="R140" s="16">
        <f>R133/R105</f>
        <v>15.904498745890361</v>
      </c>
    </row>
    <row r="141" spans="4:18" x14ac:dyDescent="0.35">
      <c r="D141" s="13"/>
      <c r="E141" s="7"/>
      <c r="F141" s="13" t="s">
        <v>86</v>
      </c>
      <c r="G141" s="14"/>
      <c r="H141" s="7"/>
      <c r="I141" s="14"/>
      <c r="J141" s="7"/>
      <c r="K141" s="7"/>
      <c r="L141" s="16">
        <f>L134/L106</f>
        <v>25.929597640425307</v>
      </c>
      <c r="M141" s="16"/>
      <c r="N141" s="16">
        <f>N134/N106</f>
        <v>43.239279130481201</v>
      </c>
      <c r="P141" s="16">
        <f>P134/P106</f>
        <v>17.604189439123662</v>
      </c>
      <c r="Q141" s="16"/>
      <c r="R141" s="16">
        <f>R134/R106</f>
        <v>19.526917853530829</v>
      </c>
    </row>
    <row r="142" spans="4:18" x14ac:dyDescent="0.35">
      <c r="D142" s="13"/>
      <c r="E142" s="7"/>
      <c r="F142" s="13" t="s">
        <v>87</v>
      </c>
      <c r="G142" s="14"/>
      <c r="H142" s="7"/>
      <c r="I142" s="14"/>
      <c r="J142" s="7"/>
      <c r="K142" s="7"/>
      <c r="L142" s="16">
        <f>L135/L107</f>
        <v>72.234722420362175</v>
      </c>
      <c r="M142" s="16"/>
      <c r="N142" s="16">
        <f>N135/N107</f>
        <v>104.6831563840237</v>
      </c>
      <c r="P142" s="16">
        <f>P135/P107</f>
        <v>49.041784419671821</v>
      </c>
      <c r="Q142" s="16"/>
      <c r="R142" s="16">
        <f>R135/R107</f>
        <v>47.275057227264277</v>
      </c>
    </row>
    <row r="143" spans="4:18" x14ac:dyDescent="0.35">
      <c r="D143" s="13"/>
      <c r="E143" s="7"/>
      <c r="F143" s="13" t="s">
        <v>88</v>
      </c>
      <c r="G143" s="14"/>
      <c r="H143" s="7"/>
      <c r="I143" s="14"/>
      <c r="J143" s="7"/>
      <c r="K143" s="7"/>
      <c r="L143" s="16">
        <f>L136/L108</f>
        <v>49.222679558943376</v>
      </c>
      <c r="M143" s="16"/>
      <c r="N143" s="16">
        <f>N136/N108</f>
        <v>69.465152915053665</v>
      </c>
      <c r="P143" s="16">
        <f>P136/P108</f>
        <v>33.418388810861089</v>
      </c>
      <c r="Q143" s="16"/>
      <c r="R143" s="16">
        <f>R136/R108</f>
        <v>31.370558481373905</v>
      </c>
    </row>
    <row r="144" spans="4:18" x14ac:dyDescent="0.35">
      <c r="D144" s="13"/>
      <c r="E144" s="7"/>
      <c r="F144" s="13"/>
      <c r="G144" s="14"/>
      <c r="H144" s="7"/>
      <c r="I144" s="14"/>
      <c r="J144" s="7"/>
      <c r="K144" s="7"/>
      <c r="L144" s="16"/>
      <c r="M144" s="16"/>
      <c r="N144" s="16"/>
      <c r="P144" s="16"/>
      <c r="Q144" s="16"/>
      <c r="R144" s="16"/>
    </row>
    <row r="145" spans="1:18" x14ac:dyDescent="0.35">
      <c r="D145" s="13"/>
      <c r="E145" s="7"/>
      <c r="F145" s="13"/>
      <c r="G145" s="14"/>
      <c r="H145" s="7"/>
      <c r="I145" s="14"/>
      <c r="J145" s="7"/>
      <c r="K145" s="7"/>
      <c r="L145" s="14"/>
      <c r="M145" s="7"/>
      <c r="N145" s="14"/>
      <c r="P145" s="15" t="s">
        <v>194</v>
      </c>
      <c r="Q145" s="7"/>
      <c r="R145" s="15" t="s">
        <v>194</v>
      </c>
    </row>
    <row r="146" spans="1:18" x14ac:dyDescent="0.35">
      <c r="D146" s="50" t="s">
        <v>317</v>
      </c>
      <c r="E146" s="49"/>
      <c r="F146" s="50"/>
      <c r="G146" s="51"/>
      <c r="H146" s="49"/>
      <c r="I146" s="51"/>
      <c r="J146" s="49"/>
      <c r="K146" s="7"/>
      <c r="L146" s="31" t="s">
        <v>74</v>
      </c>
      <c r="M146" s="31"/>
      <c r="N146" s="31" t="s">
        <v>72</v>
      </c>
      <c r="O146" s="53"/>
      <c r="P146" s="31" t="s">
        <v>74</v>
      </c>
      <c r="Q146" s="31"/>
      <c r="R146" s="31" t="s">
        <v>72</v>
      </c>
    </row>
    <row r="147" spans="1:18" x14ac:dyDescent="0.35">
      <c r="D147" s="13"/>
      <c r="E147" s="7"/>
      <c r="F147" s="13" t="s">
        <v>84</v>
      </c>
      <c r="G147" s="14"/>
      <c r="H147" s="7"/>
      <c r="I147" s="14"/>
      <c r="J147" s="7"/>
      <c r="K147" s="7"/>
      <c r="L147" s="16">
        <f>1000*L139/L$98</f>
        <v>0.82283909295126767</v>
      </c>
      <c r="M147" s="16"/>
      <c r="N147" s="16">
        <f>1000*N139/N$98</f>
        <v>3.7733038912546331</v>
      </c>
      <c r="P147" s="16">
        <f>1000*P139/P$98</f>
        <v>0.52541663009373896</v>
      </c>
      <c r="Q147" s="16"/>
      <c r="R147" s="16">
        <f>1000*R139/R$98</f>
        <v>1.6786001425581396</v>
      </c>
    </row>
    <row r="148" spans="1:18" x14ac:dyDescent="0.35">
      <c r="D148" s="13"/>
      <c r="E148" s="7"/>
      <c r="F148" s="13" t="s">
        <v>85</v>
      </c>
      <c r="G148" s="14"/>
      <c r="H148" s="7"/>
      <c r="I148" s="14"/>
      <c r="J148" s="7"/>
      <c r="K148" s="7"/>
      <c r="L148" s="16">
        <f>1000*L140/L$98</f>
        <v>10.642941696665844</v>
      </c>
      <c r="M148" s="16"/>
      <c r="N148" s="16">
        <f>1000*N140/N$98</f>
        <v>16.566969536943748</v>
      </c>
      <c r="P148" s="16">
        <f>1000*P140/P$98</f>
        <v>6.7959563521582611</v>
      </c>
      <c r="Q148" s="16"/>
      <c r="R148" s="16">
        <f>1000*R140/R$98</f>
        <v>7.3700179545367757</v>
      </c>
    </row>
    <row r="149" spans="1:18" x14ac:dyDescent="0.35">
      <c r="D149" s="13"/>
      <c r="E149" s="7"/>
      <c r="F149" s="13" t="s">
        <v>86</v>
      </c>
      <c r="G149" s="14"/>
      <c r="H149" s="7"/>
      <c r="I149" s="14"/>
      <c r="J149" s="7"/>
      <c r="K149" s="7"/>
      <c r="L149" s="16">
        <f>1000*L141/L$98</f>
        <v>11.359451435838533</v>
      </c>
      <c r="M149" s="16"/>
      <c r="N149" s="16">
        <f>1000*N141/N$98</f>
        <v>20.340273428198383</v>
      </c>
      <c r="P149" s="16">
        <f>1000*P141/P$98</f>
        <v>7.2534773131947512</v>
      </c>
      <c r="Q149" s="16"/>
      <c r="R149" s="16">
        <f>1000*R141/R$98</f>
        <v>9.0486180970949146</v>
      </c>
    </row>
    <row r="150" spans="1:18" x14ac:dyDescent="0.35">
      <c r="D150" s="13"/>
      <c r="E150" s="7"/>
      <c r="F150" s="13" t="s">
        <v>87</v>
      </c>
      <c r="G150" s="14"/>
      <c r="H150" s="7"/>
      <c r="I150" s="14"/>
      <c r="J150" s="7"/>
      <c r="K150" s="7"/>
      <c r="L150" s="16">
        <f>1000*L142/L$98</f>
        <v>31.64518141369517</v>
      </c>
      <c r="M150" s="16"/>
      <c r="N150" s="16">
        <f>1000*N142/N$98</f>
        <v>49.244207280894997</v>
      </c>
      <c r="O150" s="7"/>
      <c r="P150" s="16">
        <f>1000*P142/P$98</f>
        <v>20.206750893972732</v>
      </c>
      <c r="Q150" s="16"/>
      <c r="R150" s="16">
        <f>1000*R142/R$98</f>
        <v>21.906884720697068</v>
      </c>
    </row>
    <row r="151" spans="1:18" x14ac:dyDescent="0.35">
      <c r="D151" s="13"/>
      <c r="E151" s="7"/>
      <c r="F151" s="13" t="s">
        <v>88</v>
      </c>
      <c r="G151" s="14"/>
      <c r="H151" s="7"/>
      <c r="I151" s="14"/>
      <c r="J151" s="7"/>
      <c r="K151" s="7"/>
      <c r="L151" s="16">
        <f>1000*L143/L$98</f>
        <v>21.563876375772722</v>
      </c>
      <c r="M151" s="16"/>
      <c r="N151" s="16">
        <f>1000*N143/N$98</f>
        <v>32.677237743951245</v>
      </c>
      <c r="O151" s="7"/>
      <c r="P151" s="16">
        <f>1000*P143/P$98</f>
        <v>13.7694226661974</v>
      </c>
      <c r="Q151" s="16"/>
      <c r="R151" s="16">
        <f>1000*R143/R$98</f>
        <v>14.536866766160289</v>
      </c>
    </row>
    <row r="152" spans="1:18" x14ac:dyDescent="0.35">
      <c r="D152" s="13"/>
      <c r="E152" s="7"/>
      <c r="F152" s="13" t="s">
        <v>186</v>
      </c>
      <c r="G152" s="14"/>
      <c r="H152" s="7"/>
      <c r="I152" s="14"/>
      <c r="J152" s="7"/>
      <c r="K152" s="7"/>
      <c r="L152" s="16">
        <f>L147+L148+L151</f>
        <v>33.029657165389835</v>
      </c>
      <c r="M152" s="16"/>
      <c r="N152" s="16">
        <f>N147+N148+N151</f>
        <v>53.017511172149625</v>
      </c>
      <c r="O152" s="7"/>
      <c r="P152" s="16">
        <f>P147+P148+P151</f>
        <v>21.090795648449401</v>
      </c>
      <c r="Q152" s="16"/>
      <c r="R152" s="16">
        <f>R147+R148+R151</f>
        <v>23.585484863255203</v>
      </c>
    </row>
    <row r="153" spans="1:18" x14ac:dyDescent="0.35">
      <c r="D153" s="13"/>
      <c r="E153" s="7"/>
      <c r="F153" s="7"/>
      <c r="G153" s="6" t="s">
        <v>181</v>
      </c>
      <c r="H153" s="7"/>
      <c r="I153" s="14"/>
      <c r="J153" s="7"/>
      <c r="K153" s="7"/>
      <c r="L153" s="16">
        <f>L152*L128/L130</f>
        <v>31.168759522896082</v>
      </c>
      <c r="M153" s="16"/>
      <c r="N153" s="16">
        <f>N152*N128/N130</f>
        <v>23.529270800946943</v>
      </c>
      <c r="O153" s="7"/>
      <c r="P153" s="16">
        <f>P152*P128/P130</f>
        <v>19.629095521460908</v>
      </c>
      <c r="Q153" s="16"/>
      <c r="R153" s="16">
        <f>R152*R128/R130</f>
        <v>10.249527232742709</v>
      </c>
    </row>
    <row r="154" spans="1:18" x14ac:dyDescent="0.35">
      <c r="D154" s="13"/>
      <c r="E154" s="7"/>
      <c r="F154" s="7"/>
      <c r="G154" s="15" t="s">
        <v>182</v>
      </c>
      <c r="H154" s="7"/>
      <c r="I154" s="14"/>
      <c r="J154" s="7"/>
      <c r="K154" s="7"/>
      <c r="L154" s="16">
        <f>L152*L129/L130</f>
        <v>1.8608976424937522</v>
      </c>
      <c r="M154" s="16"/>
      <c r="N154" s="16">
        <f>N152*N129/N130</f>
        <v>29.488240371202679</v>
      </c>
      <c r="O154" s="7"/>
      <c r="P154" s="16">
        <f>P152*P129/P130</f>
        <v>1.4617001269884928</v>
      </c>
      <c r="Q154" s="16"/>
      <c r="R154" s="16">
        <f>R152*R129/R130</f>
        <v>13.335957630512496</v>
      </c>
    </row>
    <row r="155" spans="1:18" x14ac:dyDescent="0.35">
      <c r="D155" s="13"/>
      <c r="E155" s="7"/>
      <c r="F155" s="7"/>
      <c r="G155" s="14"/>
      <c r="H155" s="7"/>
      <c r="I155" s="14"/>
      <c r="J155" s="7"/>
      <c r="K155" s="7"/>
      <c r="L155" s="14"/>
      <c r="M155" s="7"/>
      <c r="N155" s="14"/>
    </row>
    <row r="157" spans="1:18" x14ac:dyDescent="0.35">
      <c r="A157" s="7" t="s">
        <v>45</v>
      </c>
      <c r="B157" s="7"/>
      <c r="C157" s="7"/>
      <c r="D157" s="7"/>
      <c r="E157" s="7"/>
      <c r="F157" s="7"/>
      <c r="G157" s="8"/>
      <c r="H157" s="8"/>
      <c r="I157" s="8"/>
      <c r="J157" s="8"/>
      <c r="K157" s="8"/>
      <c r="L157" s="8"/>
      <c r="M157" s="8"/>
      <c r="N157" s="8"/>
      <c r="O157" s="8"/>
      <c r="P157" s="7"/>
    </row>
    <row r="158" spans="1:18" x14ac:dyDescent="0.35">
      <c r="A158" s="7"/>
      <c r="B158" s="7"/>
      <c r="C158" s="7"/>
      <c r="D158" s="7"/>
      <c r="E158" s="7"/>
      <c r="F158" s="7"/>
      <c r="G158" s="8"/>
      <c r="H158" s="8"/>
      <c r="I158" s="8"/>
      <c r="J158" s="8"/>
      <c r="K158" s="8"/>
      <c r="L158" s="8"/>
      <c r="M158" s="8"/>
      <c r="N158" s="8"/>
      <c r="O158" s="8"/>
      <c r="P158" s="7"/>
    </row>
    <row r="159" spans="1:18" x14ac:dyDescent="0.35">
      <c r="A159" s="7" t="s">
        <v>47</v>
      </c>
      <c r="B159" s="7"/>
      <c r="C159" s="7"/>
      <c r="D159" s="7"/>
      <c r="E159" s="7"/>
      <c r="F159" s="7"/>
      <c r="G159" s="7"/>
      <c r="H159" s="7"/>
      <c r="I159" s="7"/>
      <c r="J159" s="7"/>
      <c r="K159" s="7"/>
      <c r="L159" s="7"/>
      <c r="M159" s="7"/>
      <c r="N159" s="7"/>
      <c r="O159" s="7"/>
      <c r="P159" s="7"/>
    </row>
    <row r="160" spans="1:18" x14ac:dyDescent="0.35">
      <c r="A160" s="7"/>
      <c r="B160" s="7"/>
      <c r="C160" s="7"/>
      <c r="D160" s="7"/>
      <c r="E160" s="7"/>
      <c r="F160" s="7"/>
      <c r="G160" s="7"/>
      <c r="H160" s="7"/>
      <c r="I160" s="7"/>
      <c r="J160" s="7"/>
      <c r="K160" s="7"/>
      <c r="L160" s="7"/>
      <c r="M160" s="7"/>
      <c r="N160" s="7"/>
      <c r="O160" s="7"/>
      <c r="P160" s="7"/>
    </row>
    <row r="161" spans="1:17" s="7" customFormat="1" x14ac:dyDescent="0.35">
      <c r="A161" s="15" t="s">
        <v>106</v>
      </c>
    </row>
    <row r="162" spans="1:17" x14ac:dyDescent="0.35">
      <c r="A162" s="7"/>
      <c r="B162" s="7"/>
      <c r="C162" s="7"/>
      <c r="D162" s="7"/>
      <c r="E162" s="7"/>
      <c r="F162" s="7"/>
      <c r="G162" s="7"/>
      <c r="H162" s="7"/>
      <c r="I162" s="7"/>
      <c r="J162" s="7"/>
      <c r="K162" s="7"/>
      <c r="L162" s="7"/>
      <c r="M162" s="7"/>
      <c r="N162" s="7"/>
      <c r="O162" s="7"/>
      <c r="P162" s="7"/>
    </row>
    <row r="163" spans="1:17" x14ac:dyDescent="0.35">
      <c r="A163" s="7"/>
      <c r="B163" s="7"/>
      <c r="C163" s="7"/>
      <c r="D163" s="7"/>
      <c r="E163" s="7"/>
      <c r="F163" s="7"/>
      <c r="G163" s="8" t="s">
        <v>73</v>
      </c>
      <c r="H163" s="8"/>
      <c r="I163" s="8"/>
      <c r="J163" s="8"/>
      <c r="K163" s="8"/>
      <c r="L163" s="8" t="s">
        <v>75</v>
      </c>
      <c r="M163" s="8"/>
      <c r="N163" s="8"/>
      <c r="O163" s="8"/>
      <c r="P163" s="7"/>
    </row>
    <row r="164" spans="1:17" x14ac:dyDescent="0.35">
      <c r="A164" s="7"/>
      <c r="B164" s="7"/>
      <c r="C164" s="7"/>
      <c r="D164" s="7"/>
      <c r="E164" s="7"/>
      <c r="F164" s="7"/>
      <c r="G164" s="8" t="s">
        <v>74</v>
      </c>
      <c r="H164" s="8"/>
      <c r="I164" s="8" t="s">
        <v>72</v>
      </c>
      <c r="J164" s="8"/>
      <c r="K164" s="8"/>
      <c r="L164" s="8" t="s">
        <v>74</v>
      </c>
      <c r="M164" s="8"/>
      <c r="N164" s="8" t="s">
        <v>72</v>
      </c>
      <c r="O164" s="8"/>
      <c r="P164" s="7"/>
    </row>
    <row r="165" spans="1:17" x14ac:dyDescent="0.35">
      <c r="A165" s="7" t="s">
        <v>38</v>
      </c>
      <c r="B165" s="7"/>
      <c r="C165" s="7"/>
      <c r="D165" s="7"/>
      <c r="E165" s="7"/>
      <c r="F165" s="7"/>
      <c r="G165" s="7"/>
      <c r="H165" s="7"/>
      <c r="I165" s="7"/>
      <c r="J165" s="7"/>
      <c r="K165" s="7"/>
      <c r="L165" s="7"/>
      <c r="M165" s="7"/>
      <c r="N165" s="7"/>
      <c r="O165" s="7"/>
      <c r="P165" s="7"/>
    </row>
    <row r="166" spans="1:17" s="7" customFormat="1" x14ac:dyDescent="0.35">
      <c r="A166" s="15" t="s">
        <v>101</v>
      </c>
      <c r="G166" s="14">
        <f>10*G36</f>
        <v>40.202802362724242</v>
      </c>
      <c r="H166" s="14"/>
      <c r="I166" s="14">
        <f>10*I36</f>
        <v>17.356879469923005</v>
      </c>
      <c r="J166" s="14"/>
      <c r="K166" s="14"/>
      <c r="L166" s="14">
        <f>10*L36</f>
        <v>171.49013949435474</v>
      </c>
      <c r="N166" s="14">
        <f>10*N36</f>
        <v>53.856144896683332</v>
      </c>
    </row>
    <row r="167" spans="1:17" s="7" customFormat="1" x14ac:dyDescent="0.35">
      <c r="A167" s="15" t="s">
        <v>107</v>
      </c>
      <c r="G167" s="14">
        <f>10*G46</f>
        <v>129.76124038937402</v>
      </c>
      <c r="H167" s="14"/>
      <c r="I167" s="14">
        <f>10*I46</f>
        <v>48.227781252489947</v>
      </c>
      <c r="J167" s="14"/>
      <c r="K167" s="14"/>
      <c r="L167" s="14">
        <f>10*L46</f>
        <v>189.57083069464505</v>
      </c>
      <c r="N167" s="14">
        <f>10*N46</f>
        <v>70.574474495447831</v>
      </c>
    </row>
    <row r="168" spans="1:17" s="7" customFormat="1" x14ac:dyDescent="0.35">
      <c r="A168" s="6" t="s">
        <v>108</v>
      </c>
      <c r="D168" s="14"/>
      <c r="G168" s="14">
        <f>10*G43</f>
        <v>55.076502774389951</v>
      </c>
      <c r="H168" s="14"/>
      <c r="I168" s="14">
        <f>10*I43</f>
        <v>19.054870202797328</v>
      </c>
      <c r="J168" s="14"/>
      <c r="K168" s="14"/>
      <c r="L168" s="14">
        <f>10*L43</f>
        <v>12.693597862097569</v>
      </c>
      <c r="N168" s="14">
        <f>10*N43</f>
        <v>4.4452758595204669</v>
      </c>
    </row>
    <row r="169" spans="1:17" s="7" customFormat="1" x14ac:dyDescent="0.35">
      <c r="A169" s="6" t="s">
        <v>109</v>
      </c>
      <c r="G169" s="14">
        <f>10*G44</f>
        <v>32.633024933663307</v>
      </c>
      <c r="H169" s="14"/>
      <c r="I169" s="14">
        <f>10*I44</f>
        <v>9.3139280034231913</v>
      </c>
      <c r="J169" s="14"/>
      <c r="K169" s="14"/>
      <c r="L169" s="14">
        <f>10*L44</f>
        <v>77.845993601814996</v>
      </c>
      <c r="N169" s="14">
        <f>10*N44</f>
        <v>19.866155284916747</v>
      </c>
    </row>
    <row r="170" spans="1:17" s="7" customFormat="1" x14ac:dyDescent="0.35">
      <c r="A170" s="6" t="s">
        <v>110</v>
      </c>
      <c r="G170" s="14">
        <f>10*G45</f>
        <v>42.051712681320758</v>
      </c>
      <c r="H170" s="14"/>
      <c r="I170" s="14">
        <f>10*I45</f>
        <v>19.858982208479116</v>
      </c>
      <c r="J170" s="14"/>
      <c r="K170" s="14"/>
      <c r="L170" s="14">
        <f>10*L45</f>
        <v>99.03123923073251</v>
      </c>
      <c r="N170" s="14">
        <f>10*N45</f>
        <v>46.263042454827435</v>
      </c>
    </row>
    <row r="171" spans="1:17" x14ac:dyDescent="0.35">
      <c r="A171" s="7" t="s">
        <v>39</v>
      </c>
      <c r="B171" s="7"/>
      <c r="C171" s="7"/>
      <c r="D171" s="7"/>
      <c r="E171" s="7"/>
      <c r="F171" s="7"/>
      <c r="G171" s="14"/>
      <c r="H171" s="14"/>
      <c r="I171" s="14"/>
      <c r="J171" s="14"/>
      <c r="K171" s="14"/>
      <c r="L171" s="14"/>
      <c r="M171" s="7"/>
      <c r="N171" s="7"/>
      <c r="O171" s="7"/>
      <c r="P171" s="7"/>
    </row>
    <row r="172" spans="1:17" x14ac:dyDescent="0.35">
      <c r="A172" s="15" t="s">
        <v>103</v>
      </c>
      <c r="B172" s="7"/>
      <c r="C172" s="7"/>
      <c r="D172" s="7"/>
      <c r="E172" s="7"/>
      <c r="F172" s="22"/>
      <c r="G172" s="14">
        <f>10*G38</f>
        <v>329.87131859472464</v>
      </c>
      <c r="H172" s="14"/>
      <c r="I172" s="14">
        <f>10*I38</f>
        <v>880.71341583956848</v>
      </c>
      <c r="J172" s="14"/>
      <c r="K172" s="14"/>
      <c r="L172" s="14">
        <f>10*L38</f>
        <v>234.29508463739637</v>
      </c>
      <c r="M172" s="7"/>
      <c r="N172" s="14">
        <f>10*N38</f>
        <v>809.00758267445394</v>
      </c>
      <c r="O172" s="7"/>
      <c r="P172" s="65" t="s">
        <v>266</v>
      </c>
      <c r="Q172" s="65"/>
    </row>
    <row r="173" spans="1:17" x14ac:dyDescent="0.35">
      <c r="A173" s="58" t="s">
        <v>262</v>
      </c>
      <c r="B173" s="65"/>
      <c r="C173" s="65"/>
      <c r="D173" s="7"/>
      <c r="E173" s="7"/>
      <c r="F173" s="22"/>
      <c r="G173" s="14"/>
      <c r="H173" s="14"/>
      <c r="I173" s="59">
        <f>I54*I60*I172</f>
        <v>540.05056518417393</v>
      </c>
      <c r="J173" s="14"/>
      <c r="K173" s="14"/>
      <c r="L173" s="14"/>
      <c r="M173" s="7"/>
      <c r="N173" s="59">
        <f>N54*N60*N172</f>
        <v>199.38404576410707</v>
      </c>
      <c r="O173" s="7"/>
      <c r="P173" s="65" t="s">
        <v>267</v>
      </c>
      <c r="Q173" s="65"/>
    </row>
    <row r="174" spans="1:17" x14ac:dyDescent="0.35">
      <c r="A174" s="58" t="s">
        <v>263</v>
      </c>
      <c r="B174" s="65"/>
      <c r="C174" s="65"/>
      <c r="D174" s="7"/>
      <c r="E174" s="7"/>
      <c r="F174" s="22"/>
      <c r="G174" s="14"/>
      <c r="H174" s="14"/>
      <c r="I174" s="59">
        <f>I54*I62*I172</f>
        <v>18.22821336970468</v>
      </c>
      <c r="J174" s="14"/>
      <c r="K174" s="14"/>
      <c r="L174" s="14"/>
      <c r="M174" s="7"/>
      <c r="N174" s="59">
        <f>N54*N62*N172</f>
        <v>164.57398505237236</v>
      </c>
      <c r="O174" s="7"/>
      <c r="P174" s="65" t="s">
        <v>268</v>
      </c>
      <c r="Q174" s="65"/>
    </row>
    <row r="175" spans="1:17" x14ac:dyDescent="0.35">
      <c r="A175" s="7" t="s">
        <v>22</v>
      </c>
      <c r="B175" s="7"/>
      <c r="C175" s="7"/>
      <c r="D175" s="7"/>
      <c r="E175" s="7"/>
      <c r="F175" s="22"/>
      <c r="G175" s="14"/>
      <c r="H175" s="14"/>
      <c r="I175" s="14">
        <f>I172*I52</f>
        <v>322.4346372856898</v>
      </c>
      <c r="J175" s="14"/>
      <c r="K175" s="14"/>
      <c r="L175" s="14"/>
      <c r="M175" s="7"/>
      <c r="N175" s="14">
        <f>N52*N172</f>
        <v>445.04955185797445</v>
      </c>
      <c r="O175" s="7"/>
      <c r="P175" s="65" t="s">
        <v>269</v>
      </c>
      <c r="Q175" s="65"/>
    </row>
    <row r="176" spans="1:17" x14ac:dyDescent="0.35">
      <c r="A176" s="7" t="s">
        <v>33</v>
      </c>
      <c r="B176" s="7"/>
      <c r="C176" s="7"/>
      <c r="D176" s="7"/>
      <c r="E176" s="7"/>
      <c r="F176" s="22"/>
      <c r="G176" s="14">
        <f>10*G37</f>
        <v>500.16463865317701</v>
      </c>
      <c r="H176" s="14"/>
      <c r="I176" s="14">
        <f>10*I37</f>
        <v>53.701924275809183</v>
      </c>
      <c r="J176" s="14"/>
      <c r="K176" s="14"/>
      <c r="L176" s="14">
        <f>10*L37</f>
        <v>404.6439451736041</v>
      </c>
      <c r="M176" s="15"/>
      <c r="N176" s="14">
        <f>10*N37</f>
        <v>66.561797037231813</v>
      </c>
      <c r="O176" s="7"/>
      <c r="P176" s="7"/>
    </row>
    <row r="177" spans="1:37" x14ac:dyDescent="0.35">
      <c r="A177" s="58" t="s">
        <v>262</v>
      </c>
      <c r="B177" s="65"/>
      <c r="C177" s="65"/>
      <c r="D177" s="7"/>
      <c r="E177" s="7"/>
      <c r="F177" s="22"/>
      <c r="G177" s="59">
        <f>G54*G60*G176</f>
        <v>306.79336563778344</v>
      </c>
      <c r="H177" s="14"/>
      <c r="I177" s="14"/>
      <c r="J177" s="14"/>
      <c r="K177" s="14"/>
      <c r="L177" s="59">
        <f>L54*L60*L176</f>
        <v>61.626727890738245</v>
      </c>
      <c r="M177" s="7"/>
      <c r="N177" s="7"/>
      <c r="O177" s="7"/>
      <c r="P177" s="7"/>
    </row>
    <row r="178" spans="1:37" x14ac:dyDescent="0.35">
      <c r="A178" s="58" t="s">
        <v>263</v>
      </c>
      <c r="B178" s="65"/>
      <c r="C178" s="65"/>
      <c r="D178" s="7"/>
      <c r="E178" s="7"/>
      <c r="F178" s="22"/>
      <c r="G178" s="59">
        <f>G54*G62*G176</f>
        <v>11.131076035487007</v>
      </c>
      <c r="H178" s="14"/>
      <c r="I178" s="14"/>
      <c r="J178" s="14"/>
      <c r="K178" s="14"/>
      <c r="L178" s="59">
        <f>L54*L62*L176</f>
        <v>92.79719828130186</v>
      </c>
      <c r="M178" s="7"/>
      <c r="N178" s="7"/>
      <c r="O178" s="7"/>
      <c r="P178" s="7"/>
    </row>
    <row r="179" spans="1:37" x14ac:dyDescent="0.35">
      <c r="A179" s="7" t="s">
        <v>22</v>
      </c>
      <c r="B179" s="7"/>
      <c r="C179" s="7"/>
      <c r="D179" s="7"/>
      <c r="E179" s="7"/>
      <c r="F179" s="22"/>
      <c r="G179" s="14">
        <f>G52*G176</f>
        <v>182.24019697990656</v>
      </c>
      <c r="H179" s="14"/>
      <c r="I179" s="14"/>
      <c r="J179" s="14"/>
      <c r="K179" s="14"/>
      <c r="L179" s="14">
        <f>L52*L176</f>
        <v>250.22001900156397</v>
      </c>
      <c r="M179" s="16"/>
      <c r="N179" s="7"/>
      <c r="O179" s="7"/>
      <c r="P179" s="7"/>
    </row>
    <row r="180" spans="1:37" x14ac:dyDescent="0.35">
      <c r="A180" s="7" t="s">
        <v>40</v>
      </c>
      <c r="B180" s="7"/>
      <c r="C180" s="7"/>
      <c r="D180" s="7"/>
      <c r="E180" s="7"/>
      <c r="F180" s="7"/>
      <c r="G180" s="14">
        <v>1000</v>
      </c>
      <c r="H180" s="7"/>
      <c r="I180" s="14">
        <v>1000</v>
      </c>
      <c r="J180" s="14"/>
      <c r="K180" s="14"/>
      <c r="L180" s="14">
        <v>1000</v>
      </c>
      <c r="M180" s="7"/>
      <c r="N180" s="14">
        <v>1000</v>
      </c>
      <c r="O180" s="15"/>
      <c r="P180" s="7"/>
      <c r="Q180" s="7"/>
      <c r="R180" s="7"/>
      <c r="S180" s="7"/>
      <c r="T180" s="7"/>
      <c r="U180" s="7"/>
      <c r="V180" s="7"/>
    </row>
    <row r="181" spans="1:37" x14ac:dyDescent="0.35">
      <c r="A181" s="7"/>
      <c r="B181" s="7"/>
      <c r="C181" s="7"/>
      <c r="D181" s="7"/>
      <c r="E181" s="7"/>
      <c r="F181" s="7"/>
      <c r="G181" s="14">
        <f>G166+G167+G172+G177+G178+G179</f>
        <v>1000</v>
      </c>
      <c r="H181" s="20" t="s">
        <v>63</v>
      </c>
      <c r="I181" s="20">
        <f>I166+I167+I173+I174+I175+I176</f>
        <v>1000.0000008377906</v>
      </c>
      <c r="J181" s="20"/>
      <c r="K181" s="41"/>
      <c r="L181" s="14">
        <f>L166+L167+L172+L177+L178+L179</f>
        <v>1000.0000000000002</v>
      </c>
      <c r="M181" s="31" t="s">
        <v>63</v>
      </c>
      <c r="N181" s="20">
        <f>N166+N167+N173+N174+N175+N176</f>
        <v>999.99999910381689</v>
      </c>
      <c r="O181" s="7"/>
      <c r="P181" s="7"/>
    </row>
    <row r="182" spans="1:37" x14ac:dyDescent="0.35">
      <c r="A182" s="7"/>
      <c r="B182" s="7"/>
      <c r="C182" s="7"/>
      <c r="D182" s="7"/>
      <c r="E182" s="7"/>
      <c r="F182" s="7"/>
      <c r="G182" s="14"/>
      <c r="H182" s="14"/>
      <c r="I182" s="14"/>
      <c r="J182" s="14"/>
      <c r="K182" s="14"/>
      <c r="L182" s="14"/>
      <c r="M182" s="7"/>
      <c r="N182" s="7"/>
      <c r="O182" s="7"/>
      <c r="P182" s="7"/>
    </row>
    <row r="183" spans="1:37" x14ac:dyDescent="0.35">
      <c r="A183" s="7" t="s">
        <v>46</v>
      </c>
      <c r="B183" s="7"/>
      <c r="C183" s="7"/>
      <c r="D183" s="7"/>
      <c r="E183" s="7"/>
      <c r="F183" s="7"/>
      <c r="G183" s="14"/>
      <c r="H183" s="14"/>
      <c r="I183" s="14"/>
      <c r="J183" s="14"/>
      <c r="K183" s="14"/>
      <c r="L183" s="14"/>
      <c r="M183" s="7"/>
      <c r="N183" s="7"/>
      <c r="O183" s="7"/>
      <c r="P183" s="7"/>
    </row>
    <row r="184" spans="1:37" x14ac:dyDescent="0.35">
      <c r="A184" s="58" t="s">
        <v>264</v>
      </c>
      <c r="B184" s="65"/>
      <c r="C184" s="65"/>
      <c r="D184" s="7"/>
      <c r="E184" s="7"/>
      <c r="F184" s="7"/>
      <c r="G184" s="59">
        <f>G106</f>
        <v>38.303711158223543</v>
      </c>
      <c r="H184" s="14"/>
      <c r="I184" s="59">
        <f>I106</f>
        <v>39.622462898078204</v>
      </c>
      <c r="J184" s="14"/>
      <c r="K184" s="14"/>
      <c r="L184" s="59">
        <f>L106</f>
        <v>5.4234249066615465</v>
      </c>
      <c r="M184" s="7"/>
      <c r="N184" s="59">
        <f>N106</f>
        <v>6.4796144469242973</v>
      </c>
      <c r="O184" s="7"/>
      <c r="P184" s="7"/>
    </row>
    <row r="185" spans="1:37" x14ac:dyDescent="0.35">
      <c r="A185" s="15" t="s">
        <v>150</v>
      </c>
      <c r="B185" s="7"/>
      <c r="C185" s="7"/>
      <c r="D185" s="7"/>
      <c r="E185" s="7"/>
      <c r="F185" s="7"/>
      <c r="G185" s="47">
        <v>100</v>
      </c>
      <c r="H185" s="14"/>
      <c r="I185" s="47">
        <v>100</v>
      </c>
      <c r="J185" s="14"/>
      <c r="K185" s="14"/>
      <c r="L185" s="47">
        <v>50</v>
      </c>
      <c r="M185" s="7"/>
      <c r="N185" s="47">
        <v>50</v>
      </c>
      <c r="O185" s="7"/>
      <c r="P185" s="7"/>
      <c r="Q185" s="7"/>
      <c r="R185" s="7"/>
      <c r="S185" s="7"/>
      <c r="T185" s="7"/>
      <c r="U185" s="7"/>
      <c r="V185" s="7"/>
      <c r="W185" s="7"/>
      <c r="X185" s="7"/>
      <c r="Y185" s="7"/>
      <c r="Z185" s="7"/>
      <c r="AA185" s="7"/>
      <c r="AB185" s="7"/>
      <c r="AC185" s="7"/>
      <c r="AD185" s="7"/>
      <c r="AE185" s="7"/>
      <c r="AF185" s="7"/>
      <c r="AG185" s="7"/>
      <c r="AH185" s="7"/>
      <c r="AI185" s="7"/>
      <c r="AJ185" s="7"/>
      <c r="AK185" s="7"/>
    </row>
    <row r="186" spans="1:37" x14ac:dyDescent="0.35">
      <c r="A186" s="7" t="s">
        <v>26</v>
      </c>
      <c r="B186" s="7"/>
      <c r="C186" s="7"/>
      <c r="D186" s="7"/>
      <c r="E186" s="7"/>
      <c r="F186" s="7"/>
      <c r="G186" s="14">
        <f>G184/G185*100</f>
        <v>38.303711158223543</v>
      </c>
      <c r="H186" s="14"/>
      <c r="I186" s="14">
        <f>I184/I185*100</f>
        <v>39.622462898078204</v>
      </c>
      <c r="J186" s="14"/>
      <c r="K186" s="14"/>
      <c r="L186" s="14">
        <f>L184/L185*100</f>
        <v>10.846849813323093</v>
      </c>
      <c r="M186" s="7"/>
      <c r="N186" s="14">
        <f>N184/N185*100</f>
        <v>12.959228893848596</v>
      </c>
      <c r="O186" s="7"/>
      <c r="P186" s="7"/>
      <c r="Q186" s="7"/>
      <c r="R186" s="7"/>
      <c r="S186" s="7"/>
      <c r="T186" s="7"/>
      <c r="U186" s="7"/>
      <c r="V186" s="7"/>
      <c r="W186" s="7"/>
      <c r="X186" s="7"/>
      <c r="Y186" s="7"/>
      <c r="Z186" s="7"/>
      <c r="AA186" s="7"/>
      <c r="AB186" s="7"/>
      <c r="AC186" s="7"/>
      <c r="AD186" s="7"/>
      <c r="AE186" s="7"/>
      <c r="AF186" s="7"/>
      <c r="AG186" s="7"/>
      <c r="AH186" s="7"/>
      <c r="AI186" s="7"/>
      <c r="AJ186" s="7"/>
      <c r="AK186" s="7"/>
    </row>
    <row r="187" spans="1:37" x14ac:dyDescent="0.35">
      <c r="A187" s="58" t="s">
        <v>265</v>
      </c>
      <c r="B187" s="65"/>
      <c r="C187" s="65"/>
      <c r="D187" s="7"/>
      <c r="E187" s="7"/>
      <c r="F187" s="7"/>
      <c r="G187" s="59">
        <f>G108</f>
        <v>21.370062793782175</v>
      </c>
      <c r="H187" s="14"/>
      <c r="I187" s="59">
        <f>I108</f>
        <v>18.632527708411089</v>
      </c>
      <c r="J187" s="14"/>
      <c r="K187" s="14"/>
      <c r="L187" s="59">
        <f>L108</f>
        <v>4.3019951070361904</v>
      </c>
      <c r="M187" s="7"/>
      <c r="N187" s="59">
        <f>N108</f>
        <v>3.3291349123193079</v>
      </c>
      <c r="O187" s="7"/>
      <c r="P187" s="7"/>
      <c r="Q187" s="7"/>
      <c r="R187" s="7"/>
      <c r="S187" s="7"/>
      <c r="T187" s="7"/>
      <c r="U187" s="7"/>
      <c r="V187" s="7"/>
      <c r="W187" s="7"/>
      <c r="X187" s="7"/>
      <c r="Y187" s="7"/>
      <c r="Z187" s="7"/>
      <c r="AA187" s="7"/>
      <c r="AB187" s="7"/>
      <c r="AC187" s="7"/>
      <c r="AD187" s="7"/>
      <c r="AE187" s="7"/>
      <c r="AF187" s="7"/>
      <c r="AG187" s="7"/>
      <c r="AH187" s="7"/>
      <c r="AI187" s="7"/>
      <c r="AJ187" s="7"/>
      <c r="AK187" s="7"/>
    </row>
    <row r="188" spans="1:37" x14ac:dyDescent="0.35">
      <c r="A188" s="7" t="s">
        <v>20</v>
      </c>
      <c r="B188" s="7"/>
      <c r="C188" s="7"/>
      <c r="D188" s="7"/>
      <c r="E188" s="7"/>
      <c r="F188" s="7"/>
      <c r="G188" s="47">
        <v>100</v>
      </c>
      <c r="H188" s="14"/>
      <c r="I188" s="47">
        <v>100</v>
      </c>
      <c r="J188" s="14"/>
      <c r="K188" s="14"/>
      <c r="L188" s="47">
        <v>60</v>
      </c>
      <c r="M188" s="7"/>
      <c r="N188" s="47">
        <v>60</v>
      </c>
      <c r="O188" s="7"/>
      <c r="P188" s="7"/>
      <c r="Q188" s="7"/>
      <c r="R188" s="7"/>
      <c r="S188" s="7"/>
      <c r="T188" s="7"/>
      <c r="U188" s="7"/>
      <c r="V188" s="7"/>
      <c r="W188" s="7"/>
      <c r="X188" s="7"/>
      <c r="Y188" s="7"/>
      <c r="Z188" s="7"/>
      <c r="AA188" s="7"/>
      <c r="AB188" s="7"/>
      <c r="AC188" s="7"/>
      <c r="AD188" s="7"/>
      <c r="AE188" s="7"/>
      <c r="AF188" s="7"/>
      <c r="AG188" s="7"/>
      <c r="AH188" s="7"/>
      <c r="AI188" s="7"/>
      <c r="AJ188" s="7"/>
      <c r="AK188" s="7"/>
    </row>
    <row r="189" spans="1:37" x14ac:dyDescent="0.35">
      <c r="A189" s="7" t="s">
        <v>23</v>
      </c>
      <c r="B189" s="7"/>
      <c r="C189" s="7"/>
      <c r="D189" s="7"/>
      <c r="E189" s="7"/>
      <c r="F189" s="7"/>
      <c r="G189" s="14">
        <f>100*G86</f>
        <v>26.99388753056235</v>
      </c>
      <c r="H189" s="14"/>
      <c r="I189" s="14">
        <f>100*I86</f>
        <v>13.810513447432763</v>
      </c>
      <c r="J189" s="14"/>
      <c r="K189" s="14"/>
      <c r="L189" s="14">
        <f>100*L86</f>
        <v>47.60986066452304</v>
      </c>
      <c r="M189" s="7"/>
      <c r="N189" s="14">
        <f>100*N86</f>
        <v>29.060021436227224</v>
      </c>
      <c r="O189" s="7"/>
      <c r="P189" s="7"/>
    </row>
    <row r="190" spans="1:37" x14ac:dyDescent="0.35">
      <c r="A190" s="7" t="s">
        <v>25</v>
      </c>
      <c r="B190" s="7"/>
      <c r="C190" s="7"/>
      <c r="D190" s="7"/>
      <c r="E190" s="7"/>
      <c r="F190" s="7"/>
      <c r="G190" s="14">
        <f>G188*G189/100</f>
        <v>26.99388753056235</v>
      </c>
      <c r="H190" s="14"/>
      <c r="I190" s="14">
        <f>I188*I189/100</f>
        <v>13.810513447432763</v>
      </c>
      <c r="J190" s="14"/>
      <c r="K190" s="14"/>
      <c r="L190" s="14">
        <f>L188*L189/100</f>
        <v>28.565916398713824</v>
      </c>
      <c r="M190" s="7"/>
      <c r="N190" s="14">
        <f>N188*N189/100</f>
        <v>17.436012861736334</v>
      </c>
      <c r="O190" s="7"/>
      <c r="P190" s="7"/>
    </row>
    <row r="191" spans="1:37" x14ac:dyDescent="0.35">
      <c r="A191" s="7"/>
      <c r="B191" s="7"/>
      <c r="C191" s="7"/>
      <c r="D191" s="7"/>
      <c r="E191" s="7"/>
      <c r="F191" s="7"/>
      <c r="G191" s="14"/>
      <c r="H191" s="14"/>
      <c r="I191" s="14"/>
      <c r="J191" s="14"/>
      <c r="K191" s="14"/>
      <c r="L191" s="14"/>
      <c r="M191" s="7"/>
      <c r="N191" s="7"/>
      <c r="O191" s="7"/>
      <c r="P191" s="7"/>
    </row>
    <row r="192" spans="1:37" x14ac:dyDescent="0.35">
      <c r="A192" s="15" t="s">
        <v>293</v>
      </c>
      <c r="B192" s="7"/>
      <c r="C192" s="7"/>
      <c r="D192" s="7"/>
      <c r="E192" s="7"/>
      <c r="F192" s="7"/>
      <c r="G192" s="14"/>
      <c r="H192" s="14"/>
      <c r="I192" s="14"/>
      <c r="J192" s="14"/>
      <c r="K192" s="14"/>
      <c r="L192" s="14"/>
      <c r="M192" s="7"/>
      <c r="N192" s="7"/>
      <c r="O192" s="7"/>
      <c r="P192" s="7"/>
    </row>
    <row r="193" spans="1:16" x14ac:dyDescent="0.35">
      <c r="A193" s="15" t="s">
        <v>111</v>
      </c>
      <c r="B193" s="7"/>
      <c r="C193" s="7"/>
      <c r="D193" s="7"/>
      <c r="E193" s="7"/>
      <c r="F193" s="7"/>
      <c r="G193" s="14"/>
      <c r="H193" s="14"/>
      <c r="I193" s="14"/>
      <c r="J193" s="14"/>
      <c r="K193" s="14"/>
      <c r="L193" s="14"/>
      <c r="M193" s="7"/>
      <c r="N193" s="7"/>
      <c r="O193" s="7"/>
      <c r="P193" s="7"/>
    </row>
    <row r="194" spans="1:16" x14ac:dyDescent="0.35">
      <c r="A194" s="7" t="s">
        <v>24</v>
      </c>
      <c r="B194" s="7"/>
      <c r="C194" s="7"/>
      <c r="D194" s="7"/>
      <c r="E194" s="7"/>
      <c r="F194" s="7"/>
      <c r="G194" s="14">
        <f>G195+G196</f>
        <v>8.5303669531862312</v>
      </c>
      <c r="H194" s="14"/>
      <c r="I194" s="14">
        <f>I195+I196</f>
        <v>14.608209656425782</v>
      </c>
      <c r="J194" s="14"/>
      <c r="K194" s="14"/>
      <c r="L194" s="14">
        <f>L195+L196</f>
        <v>32.933800091031202</v>
      </c>
      <c r="M194" s="7"/>
      <c r="N194" s="14">
        <f>N195+N196</f>
        <v>80.205433222694694</v>
      </c>
      <c r="O194" s="7"/>
      <c r="P194" s="7"/>
    </row>
    <row r="195" spans="1:16" x14ac:dyDescent="0.35">
      <c r="A195" s="15" t="s">
        <v>270</v>
      </c>
      <c r="B195" s="7"/>
      <c r="C195" s="7"/>
      <c r="D195" s="7"/>
      <c r="E195" s="7"/>
      <c r="F195" s="7"/>
      <c r="G195" s="14">
        <f>G177/G184</f>
        <v>8.0094945466378658</v>
      </c>
      <c r="H195" s="14"/>
      <c r="I195" s="14">
        <f>I173/I184</f>
        <v>13.629909038551155</v>
      </c>
      <c r="J195" s="14"/>
      <c r="K195" s="14"/>
      <c r="L195" s="14">
        <f>L177/L184</f>
        <v>11.363064659573817</v>
      </c>
      <c r="M195" s="18"/>
      <c r="N195" s="14">
        <f>N173/N184</f>
        <v>30.770973704886011</v>
      </c>
      <c r="O195" s="7"/>
      <c r="P195" s="7"/>
    </row>
    <row r="196" spans="1:16" x14ac:dyDescent="0.35">
      <c r="A196" s="15" t="s">
        <v>271</v>
      </c>
      <c r="B196" s="7"/>
      <c r="C196" s="7"/>
      <c r="D196" s="7"/>
      <c r="E196" s="7"/>
      <c r="F196" s="7"/>
      <c r="G196" s="14">
        <f>G178/G187</f>
        <v>0.52087240654836542</v>
      </c>
      <c r="H196" s="14"/>
      <c r="I196" s="14">
        <f>I174/I187</f>
        <v>0.97830061787462719</v>
      </c>
      <c r="J196" s="14"/>
      <c r="K196" s="14"/>
      <c r="L196" s="14">
        <f>L178/L187</f>
        <v>21.570735431457386</v>
      </c>
      <c r="M196" s="7"/>
      <c r="N196" s="14">
        <f>N174/N187</f>
        <v>49.434459517808676</v>
      </c>
      <c r="O196" s="7"/>
      <c r="P196" s="7"/>
    </row>
    <row r="197" spans="1:16" x14ac:dyDescent="0.35">
      <c r="A197" s="7" t="s">
        <v>27</v>
      </c>
      <c r="B197" s="7"/>
      <c r="C197" s="7"/>
      <c r="D197" s="7"/>
      <c r="E197" s="7"/>
      <c r="F197" s="7"/>
      <c r="G197" s="14">
        <f>(G177/G186)</f>
        <v>8.0094945466378658</v>
      </c>
      <c r="H197" s="14"/>
      <c r="I197" s="14">
        <f>I173/I186</f>
        <v>13.629909038551155</v>
      </c>
      <c r="J197" s="14"/>
      <c r="K197" s="14"/>
      <c r="L197" s="14">
        <f>L177/L186</f>
        <v>5.6815323297869087</v>
      </c>
      <c r="M197" s="7"/>
      <c r="N197" s="14">
        <f>N173/N186</f>
        <v>15.385486852443004</v>
      </c>
      <c r="O197" s="7"/>
      <c r="P197" s="7"/>
    </row>
    <row r="198" spans="1:16" x14ac:dyDescent="0.35">
      <c r="A198" s="7" t="s">
        <v>19</v>
      </c>
      <c r="B198" s="7"/>
      <c r="C198" s="7"/>
      <c r="D198" s="7"/>
      <c r="E198" s="7"/>
      <c r="F198" s="7"/>
      <c r="G198" s="14">
        <f>G179/(G188*G189/100)</f>
        <v>6.7511653063522283</v>
      </c>
      <c r="H198" s="14"/>
      <c r="I198" s="14">
        <f>I175/(I188*I189/100)</f>
        <v>23.347041984570616</v>
      </c>
      <c r="J198" s="14"/>
      <c r="K198" s="14"/>
      <c r="L198" s="14">
        <f>L179/(L188*L189/100)</f>
        <v>8.759390579636019</v>
      </c>
      <c r="M198" s="7"/>
      <c r="N198" s="14">
        <f>N175/(N188*N189/100)</f>
        <v>25.52473179431086</v>
      </c>
      <c r="O198" s="7"/>
      <c r="P198" s="7"/>
    </row>
    <row r="199" spans="1:16" x14ac:dyDescent="0.35">
      <c r="A199" s="15" t="s">
        <v>112</v>
      </c>
      <c r="B199" s="7"/>
      <c r="C199" s="7"/>
      <c r="D199" s="7"/>
      <c r="E199" s="7"/>
      <c r="F199" s="7"/>
      <c r="G199" s="14">
        <f>G179/G189</f>
        <v>6.7511653063522283</v>
      </c>
      <c r="H199" s="14"/>
      <c r="I199" s="14">
        <f>I175/I189</f>
        <v>23.347041984570616</v>
      </c>
      <c r="J199" s="14"/>
      <c r="K199" s="14"/>
      <c r="L199" s="14">
        <f>L179/L189</f>
        <v>5.2556343477816121</v>
      </c>
      <c r="M199" s="7"/>
      <c r="N199" s="14">
        <f>N175/N189</f>
        <v>15.314839076586514</v>
      </c>
      <c r="O199" s="7"/>
      <c r="P199" s="7"/>
    </row>
    <row r="200" spans="1:16" x14ac:dyDescent="0.35">
      <c r="A200" s="7"/>
      <c r="B200" s="7"/>
      <c r="C200" s="7"/>
      <c r="D200" s="7"/>
      <c r="E200" s="7"/>
      <c r="F200" s="7"/>
      <c r="G200" s="7"/>
      <c r="H200" s="7"/>
      <c r="I200" s="7"/>
      <c r="J200" s="7"/>
      <c r="K200" s="7"/>
      <c r="L200" s="7"/>
      <c r="M200" s="7"/>
      <c r="N200" s="7"/>
      <c r="O200" s="7"/>
      <c r="P200" s="7"/>
    </row>
    <row r="201" spans="1:16" x14ac:dyDescent="0.35">
      <c r="A201" s="7" t="s">
        <v>174</v>
      </c>
      <c r="B201" s="7"/>
      <c r="C201" s="7"/>
      <c r="D201" s="7"/>
      <c r="E201" s="7"/>
      <c r="F201" s="7"/>
      <c r="G201" s="7"/>
      <c r="H201" s="7"/>
      <c r="I201" s="7"/>
      <c r="J201" s="7"/>
      <c r="K201" s="7"/>
      <c r="L201" s="7"/>
      <c r="M201" s="7"/>
      <c r="N201" s="7"/>
      <c r="O201" s="7"/>
      <c r="P201" s="7"/>
    </row>
    <row r="202" spans="1:16" x14ac:dyDescent="0.35">
      <c r="A202" s="7" t="s">
        <v>11</v>
      </c>
      <c r="B202" s="7"/>
      <c r="C202" s="7"/>
      <c r="D202" s="7"/>
      <c r="E202" s="7"/>
      <c r="F202" s="7"/>
      <c r="G202" s="7"/>
      <c r="H202" s="7"/>
      <c r="I202" s="7"/>
      <c r="J202" s="7"/>
      <c r="K202" s="7"/>
      <c r="L202" s="7"/>
      <c r="M202" s="7"/>
      <c r="N202" s="7"/>
      <c r="O202" s="7"/>
      <c r="P202" s="7"/>
    </row>
    <row r="203" spans="1:16" s="80" customFormat="1" x14ac:dyDescent="0.35">
      <c r="A203" s="81" t="s">
        <v>4</v>
      </c>
      <c r="B203" s="81"/>
      <c r="C203" s="81"/>
      <c r="D203" s="81"/>
      <c r="E203" s="84">
        <v>0.1</v>
      </c>
      <c r="F203" s="81"/>
      <c r="G203" s="81">
        <f>E203</f>
        <v>0.1</v>
      </c>
      <c r="H203" s="81"/>
      <c r="I203" s="81">
        <f>E203</f>
        <v>0.1</v>
      </c>
      <c r="J203" s="81"/>
      <c r="K203" s="81"/>
      <c r="L203" s="81">
        <f>E203</f>
        <v>0.1</v>
      </c>
      <c r="M203" s="81"/>
      <c r="N203" s="81">
        <f>E203</f>
        <v>0.1</v>
      </c>
      <c r="O203" s="81"/>
      <c r="P203" s="81"/>
    </row>
    <row r="204" spans="1:16" s="80" customFormat="1" x14ac:dyDescent="0.35">
      <c r="A204" s="81" t="s">
        <v>151</v>
      </c>
      <c r="B204" s="81"/>
      <c r="C204" s="81"/>
      <c r="D204" s="81"/>
      <c r="E204" s="82">
        <v>0.5</v>
      </c>
      <c r="F204" s="81"/>
      <c r="G204" s="81">
        <f>E204</f>
        <v>0.5</v>
      </c>
      <c r="H204" s="81"/>
      <c r="I204" s="81">
        <f>E204</f>
        <v>0.5</v>
      </c>
      <c r="J204" s="81"/>
      <c r="K204" s="81"/>
      <c r="L204" s="81">
        <f>E204</f>
        <v>0.5</v>
      </c>
      <c r="M204" s="81"/>
      <c r="N204" s="81">
        <f>E204</f>
        <v>0.5</v>
      </c>
      <c r="O204" s="81"/>
      <c r="P204" s="81"/>
    </row>
    <row r="205" spans="1:16" x14ac:dyDescent="0.35">
      <c r="A205" s="7"/>
      <c r="B205" s="7"/>
      <c r="C205" s="7"/>
      <c r="D205" s="7"/>
      <c r="E205" s="7"/>
      <c r="F205" s="7"/>
      <c r="G205" s="7"/>
      <c r="H205" s="7"/>
      <c r="I205" s="7"/>
      <c r="J205" s="7"/>
      <c r="K205" s="7"/>
      <c r="L205" s="7"/>
      <c r="M205" s="7"/>
      <c r="N205" s="7"/>
      <c r="O205" s="7"/>
      <c r="P205" s="7"/>
    </row>
    <row r="206" spans="1:16" x14ac:dyDescent="0.35">
      <c r="A206" s="7" t="s">
        <v>16</v>
      </c>
      <c r="B206" s="7"/>
      <c r="C206" s="7"/>
      <c r="D206" s="7"/>
      <c r="E206" s="7"/>
      <c r="F206" s="7"/>
      <c r="G206" s="7"/>
      <c r="H206" s="7"/>
      <c r="I206" s="7"/>
      <c r="J206" s="7"/>
      <c r="K206" s="7"/>
      <c r="L206" s="7"/>
      <c r="M206" s="7"/>
      <c r="N206" s="7"/>
      <c r="O206" s="7"/>
      <c r="P206" s="7"/>
    </row>
    <row r="207" spans="1:16" x14ac:dyDescent="0.35">
      <c r="A207" s="7" t="s">
        <v>5</v>
      </c>
      <c r="B207" s="7"/>
      <c r="C207" s="7"/>
      <c r="D207" s="7"/>
      <c r="E207" s="7"/>
      <c r="F207" s="7"/>
      <c r="G207" s="16">
        <f>(1/G203)-1</f>
        <v>9</v>
      </c>
      <c r="H207" s="16"/>
      <c r="I207" s="16">
        <f>(1/I203)-1</f>
        <v>9</v>
      </c>
      <c r="J207" s="16"/>
      <c r="K207" s="16"/>
      <c r="L207" s="16">
        <f>(1/L203)-1</f>
        <v>9</v>
      </c>
      <c r="M207" s="7"/>
      <c r="N207" s="16">
        <f>(1/N203)-1</f>
        <v>9</v>
      </c>
      <c r="O207" s="7"/>
      <c r="P207" s="7"/>
    </row>
    <row r="208" spans="1:16" x14ac:dyDescent="0.35">
      <c r="A208" s="7" t="s">
        <v>7</v>
      </c>
      <c r="B208" s="7"/>
      <c r="C208" s="7"/>
      <c r="D208" s="7"/>
      <c r="E208" s="7"/>
      <c r="F208" s="7"/>
      <c r="G208" s="16">
        <f>(1/G204)-1</f>
        <v>1</v>
      </c>
      <c r="H208" s="16"/>
      <c r="I208" s="16">
        <f>(1/I204)-1</f>
        <v>1</v>
      </c>
      <c r="J208" s="16"/>
      <c r="K208" s="16"/>
      <c r="L208" s="16">
        <f>(1/L204)-1</f>
        <v>1</v>
      </c>
      <c r="M208" s="7"/>
      <c r="N208" s="16">
        <f>(1/N204)-1</f>
        <v>1</v>
      </c>
      <c r="O208" s="7"/>
      <c r="P208" s="7"/>
    </row>
    <row r="209" spans="1:20" x14ac:dyDescent="0.35">
      <c r="A209" s="7"/>
      <c r="B209" s="7"/>
      <c r="C209" s="7"/>
      <c r="D209" s="7"/>
      <c r="E209" s="7"/>
      <c r="F209" s="7"/>
      <c r="G209" s="18"/>
      <c r="H209" s="18"/>
      <c r="I209" s="18"/>
      <c r="J209" s="18"/>
      <c r="K209" s="18"/>
      <c r="L209" s="18"/>
      <c r="M209" s="7"/>
      <c r="N209" s="7"/>
      <c r="O209" s="7"/>
      <c r="P209" s="7"/>
    </row>
    <row r="210" spans="1:20" x14ac:dyDescent="0.35">
      <c r="A210" s="7" t="s">
        <v>9</v>
      </c>
      <c r="B210" s="7"/>
      <c r="C210" s="7"/>
      <c r="D210" s="7"/>
      <c r="E210" s="7"/>
      <c r="F210" s="7"/>
      <c r="G210" s="18"/>
      <c r="H210" s="18"/>
      <c r="I210" s="18"/>
      <c r="J210" s="18"/>
      <c r="K210" s="18"/>
      <c r="L210" s="18"/>
      <c r="M210" s="7"/>
      <c r="N210" s="7"/>
      <c r="O210" s="7"/>
      <c r="P210" s="7"/>
    </row>
    <row r="211" spans="1:20" x14ac:dyDescent="0.35">
      <c r="A211" s="7" t="s">
        <v>6</v>
      </c>
      <c r="B211" s="7"/>
      <c r="C211" s="7"/>
      <c r="D211" s="7"/>
      <c r="E211" s="7"/>
      <c r="F211" s="7"/>
      <c r="G211" s="21">
        <f>((G179/G177*(G198/G197)^G207))/(1+((G179/G177*(G198/G197)^G207)))</f>
        <v>0.11313995236188906</v>
      </c>
      <c r="H211" s="21"/>
      <c r="I211" s="21">
        <f>((I175/I173*(I198/I197)^I207))/(1+((I175/I173*(I198/I197)^I207)))</f>
        <v>0.98697881807532117</v>
      </c>
      <c r="J211" s="21"/>
      <c r="K211" s="21"/>
      <c r="L211" s="21">
        <f>((L179/L177*(L198/L197)^L207))/(1+((L179/L177*(L198/L197)^L207)))</f>
        <v>0.9950202984977522</v>
      </c>
      <c r="M211" s="7"/>
      <c r="N211" s="21">
        <f>((N175/N173*(N198/N197)^N207))/(1+((N175/N173*(N198/N197)^N207)))</f>
        <v>0.99531625075725405</v>
      </c>
      <c r="O211" s="7"/>
      <c r="P211" s="7"/>
    </row>
    <row r="212" spans="1:20" x14ac:dyDescent="0.35">
      <c r="A212" s="15" t="s">
        <v>152</v>
      </c>
      <c r="B212" s="7"/>
      <c r="C212" s="7"/>
      <c r="D212" s="7"/>
      <c r="E212" s="7"/>
      <c r="F212" s="7"/>
      <c r="G212" s="18">
        <f>(G178/(G177+G179)*(G196/(G197+G198))^G208)/(1+(G178/(G177+G179)*(G196/(G197+G198))^G208))</f>
        <v>8.0255605647581139E-4</v>
      </c>
      <c r="H212" s="18"/>
      <c r="I212" s="18">
        <f>(I174/(I173+I175)*(I196/(I197+I198))^I208)/(1+(I174/(I173+I175)*(I196/(I197+I198))^I208))</f>
        <v>5.5884440822768968E-4</v>
      </c>
      <c r="J212" s="18"/>
      <c r="K212" s="18"/>
      <c r="L212" s="18">
        <f>(L178/(L177+L179)*(L196/(L197+L198))^L208)/(1+(L178/(L177+L179)*(L196/(L197+L198))^L208))</f>
        <v>0.30771495267770177</v>
      </c>
      <c r="M212" s="7"/>
      <c r="N212" s="18">
        <f>(N174/(N173+N175)*(N196/(N197+N198))^N208)/(1+(N174/(N173+N175)*(N196/(N197+N198))^N208))</f>
        <v>0.235818353872532</v>
      </c>
      <c r="O212" s="7"/>
      <c r="P212" s="7"/>
    </row>
    <row r="213" spans="1:20" x14ac:dyDescent="0.35">
      <c r="A213" s="7"/>
      <c r="B213" s="7"/>
      <c r="C213" s="7"/>
      <c r="D213" s="7"/>
      <c r="E213" s="7"/>
      <c r="F213" s="7"/>
      <c r="G213" s="18"/>
      <c r="H213" s="18"/>
      <c r="I213" s="18"/>
      <c r="J213" s="18"/>
      <c r="K213" s="18"/>
      <c r="L213" s="18"/>
      <c r="M213" s="7"/>
      <c r="N213" s="7"/>
      <c r="O213" s="7"/>
      <c r="P213" s="7"/>
    </row>
    <row r="214" spans="1:20" x14ac:dyDescent="0.35">
      <c r="A214" s="7" t="s">
        <v>10</v>
      </c>
      <c r="B214" s="7"/>
      <c r="C214" s="7"/>
      <c r="D214" s="7"/>
      <c r="E214" s="7"/>
      <c r="F214" s="7"/>
      <c r="G214" s="18"/>
      <c r="H214" s="18"/>
      <c r="I214" s="18"/>
      <c r="J214" s="18"/>
      <c r="K214" s="18"/>
      <c r="L214" s="18"/>
      <c r="M214" s="7"/>
      <c r="N214" s="18"/>
      <c r="O214" s="7"/>
      <c r="P214" s="7"/>
    </row>
    <row r="215" spans="1:20" x14ac:dyDescent="0.35">
      <c r="A215" s="7" t="s">
        <v>5</v>
      </c>
      <c r="B215" s="7"/>
      <c r="C215" s="7"/>
      <c r="D215" s="7"/>
      <c r="E215" s="7"/>
      <c r="F215" s="7"/>
      <c r="G215" s="18">
        <f>(G197+G198)/(((G211*(G198^(-1*G207)))+((1-G211)*(G197^(-1*G207))))^(-1/G207))</f>
        <v>1.9151640138395589</v>
      </c>
      <c r="H215" s="18"/>
      <c r="I215" s="18">
        <f>(I197+I198)/(((I211*(I198^(-1*I207)))+((1-I211)*(I197^(-1*I207))))^(-1/I207))</f>
        <v>1.7641912164301545</v>
      </c>
      <c r="J215" s="18"/>
      <c r="K215" s="18"/>
      <c r="L215" s="18">
        <f>(L197+L198)/(((L211*(L198^(-1*L207)))+((1-L211)*(L197^(-1*L207))))^(-1/L207))</f>
        <v>1.6885134091327887</v>
      </c>
      <c r="M215" s="7"/>
      <c r="N215" s="18">
        <f>(N197+N198)/(((N211*(N198^(-1*N207)))+((1-N211)*(N197^(-1*N207))))^(-1/N207))</f>
        <v>1.6691961719830568</v>
      </c>
      <c r="O215" s="7"/>
      <c r="P215" s="7"/>
    </row>
    <row r="216" spans="1:20" x14ac:dyDescent="0.35">
      <c r="A216" s="7" t="s">
        <v>8</v>
      </c>
      <c r="B216" s="7"/>
      <c r="C216" s="7"/>
      <c r="D216" s="7"/>
      <c r="E216" s="7"/>
      <c r="F216" s="7"/>
      <c r="G216" s="18">
        <f>1/(((G212*(G196^(-1*G208)))+((1-G212)*((G197+G198)^(-1*G208))))^(-1/G208))</f>
        <v>6.9234069566596307E-2</v>
      </c>
      <c r="H216" s="18"/>
      <c r="I216" s="18">
        <f>1/(((I212*(I196^(-1*I208)))+((1-I212)*((I197+I198)^(-1*I208))))^(-1/I208))</f>
        <v>2.7600000526487003E-2</v>
      </c>
      <c r="J216" s="18"/>
      <c r="K216" s="18"/>
      <c r="L216" s="18">
        <f>1/(((L212*(L196^(-1*L208)))+((1-L212)*((L197+L198)^(-1*L208))))^(-1/L208))</f>
        <v>6.2204503801998351E-2</v>
      </c>
      <c r="M216" s="7"/>
      <c r="N216" s="18">
        <f>1/(((N212*(N196^(-1*N208)))+((1-N212)*((N197+N198)^(-1*N208))))^(-1/N208))</f>
        <v>2.3449804154653781E-2</v>
      </c>
      <c r="O216" s="7"/>
      <c r="P216" s="7"/>
    </row>
    <row r="217" spans="1:20" x14ac:dyDescent="0.35">
      <c r="A217" s="7"/>
      <c r="B217" s="7"/>
      <c r="C217" s="7"/>
      <c r="D217" s="7"/>
      <c r="E217" s="7"/>
      <c r="F217" s="7"/>
      <c r="G217" s="18"/>
      <c r="H217" s="18"/>
      <c r="I217" s="18"/>
      <c r="J217" s="18"/>
      <c r="K217" s="18"/>
      <c r="L217" s="18"/>
      <c r="M217" s="7"/>
      <c r="N217" s="18"/>
      <c r="O217" s="7"/>
      <c r="P217" s="7"/>
    </row>
    <row r="218" spans="1:20" x14ac:dyDescent="0.35">
      <c r="A218" s="7" t="s">
        <v>249</v>
      </c>
      <c r="B218" s="7"/>
      <c r="C218" s="7"/>
      <c r="D218" s="7"/>
      <c r="E218" s="36">
        <v>1</v>
      </c>
      <c r="F218" s="7"/>
      <c r="G218" s="18"/>
      <c r="H218" s="18"/>
      <c r="I218" s="18"/>
      <c r="J218" s="18"/>
      <c r="K218" s="18"/>
      <c r="L218" s="18"/>
      <c r="M218" s="7"/>
      <c r="N218" s="18"/>
      <c r="O218" s="7"/>
      <c r="P218" s="15"/>
      <c r="Q218" s="7"/>
      <c r="R218" s="7"/>
      <c r="S218" s="7"/>
      <c r="T218" s="7"/>
    </row>
    <row r="219" spans="1:20" x14ac:dyDescent="0.35">
      <c r="A219" s="7" t="s">
        <v>5</v>
      </c>
      <c r="B219" s="7"/>
      <c r="C219" s="7"/>
      <c r="D219" s="7"/>
      <c r="F219" s="7"/>
      <c r="G219" s="18">
        <f>E218</f>
        <v>1</v>
      </c>
      <c r="H219" s="18"/>
      <c r="I219" s="18">
        <f>E218</f>
        <v>1</v>
      </c>
      <c r="J219" s="18"/>
      <c r="K219" s="18"/>
      <c r="L219" s="18">
        <f>E218</f>
        <v>1</v>
      </c>
      <c r="M219" s="7"/>
      <c r="N219" s="18">
        <f>E218</f>
        <v>1</v>
      </c>
      <c r="O219" s="7"/>
    </row>
    <row r="220" spans="1:20" x14ac:dyDescent="0.35">
      <c r="A220" s="7" t="s">
        <v>250</v>
      </c>
      <c r="B220" s="7"/>
      <c r="C220" s="7"/>
      <c r="D220" s="7"/>
      <c r="E220" s="7"/>
      <c r="F220" s="7"/>
      <c r="G220" s="18">
        <f>E218</f>
        <v>1</v>
      </c>
      <c r="H220" s="18"/>
      <c r="I220" s="18">
        <f>E218</f>
        <v>1</v>
      </c>
      <c r="J220" s="18"/>
      <c r="K220" s="18"/>
      <c r="L220" s="18">
        <f>E218</f>
        <v>1</v>
      </c>
      <c r="M220" s="7"/>
      <c r="N220" s="18">
        <f>E218</f>
        <v>1</v>
      </c>
      <c r="O220" s="7"/>
      <c r="P220" s="15"/>
      <c r="Q220" s="7"/>
      <c r="R220" s="7"/>
      <c r="S220" s="7"/>
      <c r="T220" s="7"/>
    </row>
    <row r="221" spans="1:20" x14ac:dyDescent="0.35">
      <c r="A221" s="7" t="s">
        <v>42</v>
      </c>
      <c r="B221" s="7"/>
      <c r="C221" s="7"/>
      <c r="D221" s="7"/>
      <c r="E221" s="7"/>
      <c r="F221" s="7"/>
      <c r="G221" s="7"/>
      <c r="H221" s="7"/>
      <c r="I221" s="7"/>
      <c r="J221" s="7"/>
      <c r="K221" s="7"/>
      <c r="L221" s="7"/>
      <c r="M221" s="7"/>
      <c r="N221" s="7"/>
      <c r="O221" s="7"/>
      <c r="P221" s="7"/>
    </row>
    <row r="222" spans="1:20" x14ac:dyDescent="0.35">
      <c r="A222" s="7" t="s">
        <v>55</v>
      </c>
      <c r="B222" s="7"/>
      <c r="C222" s="7"/>
      <c r="D222" s="7"/>
      <c r="E222" s="7"/>
      <c r="F222" s="7"/>
      <c r="G222" s="7"/>
      <c r="H222" s="7"/>
      <c r="I222" s="7"/>
      <c r="J222" s="7"/>
      <c r="K222" s="7"/>
      <c r="L222" s="7"/>
      <c r="M222" s="7"/>
      <c r="N222" s="7"/>
      <c r="O222" s="7"/>
      <c r="P222" s="7"/>
    </row>
    <row r="223" spans="1:20" x14ac:dyDescent="0.35">
      <c r="A223" s="7"/>
      <c r="B223" s="7"/>
      <c r="C223" s="7"/>
      <c r="D223" s="7"/>
      <c r="E223" s="7"/>
      <c r="F223" s="7"/>
      <c r="G223" s="8" t="s">
        <v>104</v>
      </c>
      <c r="H223" s="8"/>
      <c r="I223" s="8"/>
      <c r="J223" s="8"/>
      <c r="K223" s="8"/>
      <c r="L223" s="8" t="s">
        <v>105</v>
      </c>
      <c r="M223" s="8"/>
      <c r="N223" s="8"/>
      <c r="O223" s="8"/>
      <c r="P223" s="7"/>
    </row>
    <row r="224" spans="1:20" x14ac:dyDescent="0.35">
      <c r="A224" s="7"/>
      <c r="B224" s="7"/>
      <c r="C224" s="7"/>
      <c r="D224" s="7"/>
      <c r="E224" s="7"/>
      <c r="F224" s="7"/>
      <c r="G224" s="8" t="s">
        <v>74</v>
      </c>
      <c r="H224" s="8"/>
      <c r="I224" s="8" t="s">
        <v>72</v>
      </c>
      <c r="J224" s="8"/>
      <c r="K224" s="8"/>
      <c r="L224" s="8" t="s">
        <v>74</v>
      </c>
      <c r="M224" s="8"/>
      <c r="N224" s="8" t="s">
        <v>72</v>
      </c>
      <c r="O224" s="8"/>
      <c r="P224" s="7"/>
    </row>
    <row r="225" spans="1:31" x14ac:dyDescent="0.35">
      <c r="A225" s="7" t="s">
        <v>17</v>
      </c>
      <c r="B225" s="7"/>
      <c r="C225" s="7"/>
      <c r="D225" s="7"/>
      <c r="E225" s="7"/>
      <c r="F225" s="7"/>
      <c r="G225" s="16">
        <f>(1/(L215/L219))*(((G190/(L211^(-1/L207)))^(L207/(L207+1))+((G186/((1-L211)^(-1/L207)))^(L207/(L207+1))))^((L207+1)/L207))</f>
        <v>30.82836061556862</v>
      </c>
      <c r="H225" s="16"/>
      <c r="I225" s="16">
        <f>(1/(N215/N219))*(((I190/(N211^(-1/N207)))^(N207/(N207+1))+((I186/((1-N211)^(-1/N207)))^(N207/(N207+1))))^((N207+1)/N207))</f>
        <v>22.999662041579196</v>
      </c>
      <c r="J225" s="16"/>
      <c r="K225" s="16"/>
      <c r="L225" s="16">
        <f>(1/(G215*G219))*((((L190/(G211^(-1/G207)))^(G207/(G207+1)))+((L186/((1-G211)^(-1/G207)))^(G207/(G207+1))))^((G207+1)/G207))</f>
        <v>18.561677482729404</v>
      </c>
      <c r="M225" s="7"/>
      <c r="N225" s="16">
        <f>(1/(I215*I219))*((((N190/(I211^(-1/I207)))^(I207/(I207+1)))+((N186/((1-I211)^(-1/I207)))^(I207/(I207+1))))^((I207+1)/I207))</f>
        <v>15.447139771830182</v>
      </c>
      <c r="O225" s="7"/>
      <c r="P225" s="15"/>
      <c r="Q225" s="7"/>
      <c r="R225" s="7"/>
      <c r="S225" s="7"/>
      <c r="T225" s="7"/>
      <c r="U225" s="7"/>
      <c r="V225" s="7"/>
      <c r="W225" s="7"/>
      <c r="X225" s="7"/>
      <c r="Y225" s="7"/>
      <c r="Z225" s="7"/>
      <c r="AA225" s="7"/>
      <c r="AB225" s="7"/>
      <c r="AC225" s="7"/>
      <c r="AD225" s="7"/>
      <c r="AE225" s="7"/>
    </row>
    <row r="226" spans="1:31" x14ac:dyDescent="0.35">
      <c r="A226" s="15" t="s">
        <v>113</v>
      </c>
      <c r="B226" s="7"/>
      <c r="C226" s="7"/>
      <c r="D226" s="7"/>
      <c r="E226" s="7"/>
      <c r="F226" s="7"/>
      <c r="G226" s="16">
        <f>(1/(L216/L220))*((((G187/(L212^(-1/L208)))^(L208/(L208+1)))+((G225/((1-L212)^(-1/L208)))^(L208/(L208+1))))^((L208+1)/L208))</f>
        <v>829.70141030008483</v>
      </c>
      <c r="H226" s="16"/>
      <c r="I226" s="16">
        <f>(1/(N216/N220))*((((I187/(N212^(-1/N208)))^(N208/(N208+1)))+((I225/((1-N212)^(-1/N208)))^(N208/(N208+1))))^((N208+1)/N208))</f>
        <v>1686.3917146311273</v>
      </c>
      <c r="J226" s="16"/>
      <c r="K226" s="16"/>
      <c r="L226" s="16">
        <f>(1/(G216*G220))*((((L187/(G212^(-1/G208)))^(G208/(G208+1)))+((L225/((1-G212)^(-1/G208)))^(G208/(G208+1))))^((G208+1)/G208))</f>
        <v>275.24503576053377</v>
      </c>
      <c r="M226" s="7"/>
      <c r="N226" s="16">
        <f>(1/(I216*I220))*((((N187/(I212^(-1/I208)))^(I208/(I208+1)))+((N225/((1-I212)^(-1/I208)))^(I208/(I208+1))))^((I208+1)/I208))</f>
        <v>571.71462906518434</v>
      </c>
      <c r="O226" s="7"/>
      <c r="P226" s="15"/>
      <c r="Q226" s="7"/>
      <c r="R226" s="7"/>
      <c r="S226" s="7"/>
      <c r="T226" s="7"/>
      <c r="U226" s="7"/>
      <c r="V226" s="7"/>
      <c r="W226" s="7"/>
      <c r="X226" s="7"/>
      <c r="Y226" s="7"/>
      <c r="Z226" s="7"/>
      <c r="AA226" s="7"/>
      <c r="AB226" s="7"/>
      <c r="AC226" s="7"/>
      <c r="AD226" s="7"/>
      <c r="AE226" s="7"/>
    </row>
    <row r="227" spans="1:31" x14ac:dyDescent="0.35">
      <c r="A227" s="7"/>
      <c r="B227" s="7"/>
      <c r="C227" s="7"/>
      <c r="D227" s="7"/>
      <c r="E227" s="7"/>
      <c r="F227" s="7"/>
      <c r="G227" s="17"/>
      <c r="H227" s="17"/>
      <c r="I227" s="17"/>
      <c r="J227" s="17"/>
      <c r="K227" s="17"/>
      <c r="L227" s="17"/>
      <c r="M227" s="7"/>
      <c r="N227" s="7"/>
      <c r="O227" s="7"/>
      <c r="P227" s="7"/>
      <c r="Q227" s="7"/>
      <c r="R227" s="7"/>
      <c r="S227" s="7"/>
      <c r="T227" s="7"/>
      <c r="U227" s="7"/>
      <c r="V227" s="7"/>
      <c r="W227" s="7"/>
      <c r="X227" s="7"/>
      <c r="Y227" s="7"/>
      <c r="Z227" s="7"/>
      <c r="AA227" s="7"/>
      <c r="AB227" s="7"/>
      <c r="AC227" s="7"/>
      <c r="AD227" s="7"/>
      <c r="AE227" s="7"/>
    </row>
    <row r="228" spans="1:31" x14ac:dyDescent="0.35">
      <c r="A228" s="7" t="s">
        <v>292</v>
      </c>
      <c r="B228" s="7"/>
      <c r="C228" s="7"/>
      <c r="D228" s="7"/>
      <c r="E228" s="7"/>
      <c r="F228" s="7"/>
      <c r="G228" s="14">
        <f>((1+L272)*L166+(1-L272)*L167+L172+G226)/1000</f>
        <v>1.4232493960064521</v>
      </c>
      <c r="H228" s="14"/>
      <c r="I228" s="14">
        <f>((1+N272)*N166+(1-N272)*N167+N176+I226)/1000</f>
        <v>1.875712298100614</v>
      </c>
      <c r="J228" s="14"/>
      <c r="K228" s="14"/>
      <c r="L228" s="14">
        <f>((1+L272)*G166+(1-L272)*G167+G172+L226)/1000</f>
        <v>0.76612455330469176</v>
      </c>
      <c r="M228" s="14"/>
      <c r="N228" s="14">
        <f>((1+N272)*I166+(1-N272)*I167+I176+N226)/1000</f>
        <v>0.68791412388514983</v>
      </c>
      <c r="O228" s="7"/>
      <c r="P228" s="15"/>
      <c r="Q228" s="7"/>
      <c r="R228" s="7"/>
      <c r="S228" s="7"/>
      <c r="T228" s="7"/>
      <c r="U228" s="7"/>
      <c r="V228" s="7"/>
      <c r="W228" s="7"/>
      <c r="X228" s="7"/>
      <c r="Y228" s="7"/>
      <c r="Z228" s="7"/>
      <c r="AA228" s="7"/>
      <c r="AB228" s="7"/>
      <c r="AC228" s="7"/>
      <c r="AD228" s="7"/>
      <c r="AE228" s="7"/>
    </row>
    <row r="229" spans="1:31" x14ac:dyDescent="0.35">
      <c r="A229" s="7" t="s">
        <v>291</v>
      </c>
      <c r="B229" s="7"/>
      <c r="C229" s="7"/>
      <c r="D229" s="7"/>
      <c r="E229" s="7"/>
      <c r="F229" s="7"/>
      <c r="G229" s="14">
        <f>G228/(1+L272)*(1+L274)</f>
        <v>1.3456176107697366</v>
      </c>
      <c r="H229" s="14"/>
      <c r="I229" s="14">
        <f>I228/(1+N272)*(1+N274)</f>
        <v>1.7734007182042169</v>
      </c>
      <c r="J229" s="14"/>
      <c r="K229" s="14"/>
      <c r="L229" s="14">
        <f>L228*(1+L272)*(1+L273)</f>
        <v>0.99442967018948991</v>
      </c>
      <c r="M229" s="14"/>
      <c r="N229" s="14">
        <f>N228*(1+N272)*(1+N273)</f>
        <v>0.89291253280292449</v>
      </c>
      <c r="O229" s="7"/>
      <c r="P229" s="15"/>
      <c r="Q229" s="7"/>
      <c r="R229" s="7"/>
      <c r="S229" s="7"/>
      <c r="T229" s="7"/>
      <c r="U229" s="7"/>
      <c r="V229" s="7"/>
      <c r="W229" s="7"/>
      <c r="X229" s="7"/>
      <c r="Y229" s="7"/>
      <c r="Z229" s="7"/>
      <c r="AA229" s="7"/>
      <c r="AB229" s="7"/>
      <c r="AC229" s="7"/>
      <c r="AD229" s="7"/>
      <c r="AE229" s="7"/>
    </row>
    <row r="230" spans="1:31" x14ac:dyDescent="0.35">
      <c r="A230" s="7"/>
      <c r="B230" s="7"/>
      <c r="C230" s="7"/>
      <c r="D230" s="7"/>
      <c r="E230" s="7"/>
      <c r="F230" s="7"/>
      <c r="G230" s="7"/>
      <c r="H230" s="7"/>
      <c r="I230" s="7"/>
      <c r="J230" s="7"/>
      <c r="K230" s="7"/>
      <c r="L230" s="7"/>
      <c r="M230" s="7"/>
      <c r="N230" s="7"/>
      <c r="O230" s="7"/>
      <c r="P230" s="7"/>
    </row>
    <row r="231" spans="1:31" x14ac:dyDescent="0.35">
      <c r="A231" s="7" t="s">
        <v>51</v>
      </c>
      <c r="B231" s="7"/>
      <c r="C231" s="7"/>
      <c r="D231" s="7"/>
      <c r="E231" s="7"/>
      <c r="F231" s="7"/>
      <c r="G231" s="7"/>
      <c r="H231" s="7"/>
      <c r="I231" s="7"/>
      <c r="J231" s="7"/>
      <c r="K231" s="7"/>
      <c r="L231" s="7"/>
      <c r="M231" s="7"/>
      <c r="N231" s="7"/>
      <c r="O231" s="7"/>
      <c r="P231" s="7"/>
    </row>
    <row r="232" spans="1:31" x14ac:dyDescent="0.35">
      <c r="A232" s="7"/>
      <c r="B232" s="7"/>
      <c r="C232" s="7"/>
      <c r="D232" s="7"/>
      <c r="E232" s="7"/>
      <c r="F232" s="7"/>
      <c r="G232" s="32" t="s">
        <v>41</v>
      </c>
      <c r="H232" s="7"/>
      <c r="I232" s="32" t="s">
        <v>41</v>
      </c>
      <c r="J232" s="7"/>
      <c r="K232" s="7"/>
      <c r="L232" s="32" t="s">
        <v>41</v>
      </c>
      <c r="M232" s="7"/>
      <c r="N232" s="7"/>
      <c r="O232" s="7"/>
      <c r="P232" s="7"/>
    </row>
    <row r="233" spans="1:31" x14ac:dyDescent="0.35">
      <c r="A233" s="7" t="s">
        <v>38</v>
      </c>
      <c r="B233" s="7"/>
      <c r="C233" s="7"/>
      <c r="D233" s="7"/>
      <c r="E233" s="7"/>
      <c r="F233" s="7"/>
      <c r="G233" s="7"/>
      <c r="H233" s="7"/>
      <c r="I233" s="7"/>
      <c r="J233" s="7"/>
      <c r="K233" s="7"/>
      <c r="L233" s="7"/>
      <c r="M233" s="7"/>
      <c r="N233" s="7"/>
      <c r="O233" s="7"/>
      <c r="P233" s="7"/>
    </row>
    <row r="234" spans="1:31" x14ac:dyDescent="0.35">
      <c r="A234" s="15" t="s">
        <v>101</v>
      </c>
      <c r="B234" s="7"/>
      <c r="C234" s="7"/>
      <c r="D234" s="7"/>
      <c r="E234" s="7"/>
      <c r="F234" s="14">
        <f>(1+L272)*L166</f>
        <v>188.63915344379024</v>
      </c>
      <c r="G234" s="14">
        <f>(1+L272)*L166/(G228*1000)*100</f>
        <v>13.25411793415123</v>
      </c>
      <c r="H234" s="14">
        <f>(1+N272)*N166</f>
        <v>59.241759386351667</v>
      </c>
      <c r="I234" s="14">
        <f>(1+N272)*N166/(I228*1000)*100</f>
        <v>3.1583606636444794</v>
      </c>
      <c r="J234" s="14"/>
      <c r="K234" s="14">
        <f>(1+L272)*G166</f>
        <v>44.223082598996669</v>
      </c>
      <c r="L234" s="14">
        <f>(1+L272)*G166/(L228*1000)*100</f>
        <v>5.7723097906521366</v>
      </c>
      <c r="M234" s="14">
        <f>(1+N272)*I166</f>
        <v>19.092567416915308</v>
      </c>
      <c r="N234" s="14">
        <f>(1+N272)*I166/(N228*1000)*100</f>
        <v>2.775428902242294</v>
      </c>
      <c r="O234" s="7"/>
      <c r="P234" s="15"/>
      <c r="Q234" s="7"/>
      <c r="R234" s="7"/>
      <c r="S234" s="7"/>
      <c r="T234" s="7"/>
      <c r="U234" s="7"/>
      <c r="V234" s="7"/>
      <c r="W234" s="7"/>
      <c r="X234" s="7"/>
    </row>
    <row r="235" spans="1:31" x14ac:dyDescent="0.35">
      <c r="A235" s="15" t="s">
        <v>102</v>
      </c>
      <c r="B235" s="7"/>
      <c r="C235" s="7"/>
      <c r="D235" s="7"/>
      <c r="E235" s="7"/>
      <c r="F235" s="14">
        <f>((1-L272)*L167)</f>
        <v>170.61374762518057</v>
      </c>
      <c r="G235" s="14">
        <f>((1-L272)*L167)/(G228*1000)*100</f>
        <v>11.987621291385189</v>
      </c>
      <c r="H235" s="14">
        <f>((1-N272)*N167)</f>
        <v>63.517027045903049</v>
      </c>
      <c r="I235" s="14">
        <f>((1-N272)*N167)/(I228*1000)*100</f>
        <v>3.3862883508425963</v>
      </c>
      <c r="J235" s="14"/>
      <c r="K235" s="14">
        <f>((1-L272)*G167)</f>
        <v>116.78511635043662</v>
      </c>
      <c r="L235" s="14">
        <f>((1-L272)*G167)/(L228*1000)*100</f>
        <v>15.243620093714785</v>
      </c>
      <c r="M235" s="14">
        <f>((1-N272)*I167)</f>
        <v>43.405003127240953</v>
      </c>
      <c r="N235" s="14">
        <f>((1-N272)*I167)/(N228*1000)*100</f>
        <v>6.3096543042467905</v>
      </c>
      <c r="O235" s="7"/>
      <c r="P235" s="7"/>
    </row>
    <row r="236" spans="1:31" x14ac:dyDescent="0.35">
      <c r="A236" s="7" t="s">
        <v>39</v>
      </c>
      <c r="B236" s="7"/>
      <c r="C236" s="7"/>
      <c r="D236" s="7"/>
      <c r="E236" s="7"/>
      <c r="F236" s="14"/>
      <c r="G236" s="14"/>
      <c r="H236" s="14"/>
      <c r="I236" s="14"/>
      <c r="J236" s="14"/>
      <c r="K236" s="14"/>
      <c r="L236" s="14"/>
      <c r="M236" s="14"/>
      <c r="N236" s="14"/>
      <c r="O236" s="7"/>
      <c r="P236" s="7"/>
    </row>
    <row r="237" spans="1:31" s="15" customFormat="1" x14ac:dyDescent="0.35">
      <c r="A237" s="15" t="s">
        <v>114</v>
      </c>
      <c r="F237" s="55">
        <f>L172</f>
        <v>234.29508463739637</v>
      </c>
      <c r="G237" s="55">
        <f>L172/(G228*1000)*100</f>
        <v>16.461983774229139</v>
      </c>
      <c r="H237" s="55">
        <f>N176</f>
        <v>66.561797037231813</v>
      </c>
      <c r="I237" s="55">
        <f>N176/(I228*1000)*100</f>
        <v>3.5486144172874332</v>
      </c>
      <c r="J237" s="55"/>
      <c r="K237" s="55">
        <f>G172</f>
        <v>329.87131859472464</v>
      </c>
      <c r="L237" s="55">
        <f>G172/(L228*1000)*100</f>
        <v>43.057139621986906</v>
      </c>
      <c r="M237" s="55">
        <f>I176</f>
        <v>53.701924275809183</v>
      </c>
      <c r="N237" s="55">
        <f>I176/(N228*1000)*100</f>
        <v>7.8064866545427911</v>
      </c>
      <c r="O237" s="55"/>
    </row>
    <row r="238" spans="1:31" x14ac:dyDescent="0.35">
      <c r="A238" s="15" t="s">
        <v>115</v>
      </c>
      <c r="B238" s="7"/>
      <c r="C238" s="7"/>
      <c r="D238" s="7"/>
      <c r="E238" s="7"/>
      <c r="F238" s="14">
        <f>G226</f>
        <v>829.70141030008483</v>
      </c>
      <c r="G238" s="14">
        <f>G226/(G228*1000)*100</f>
        <v>58.296277000234433</v>
      </c>
      <c r="H238" s="14">
        <f>I226</f>
        <v>1686.3917146311273</v>
      </c>
      <c r="I238" s="14">
        <f>I226/(I228*1000)*100</f>
        <v>89.906736568225483</v>
      </c>
      <c r="J238" s="14"/>
      <c r="K238" s="14">
        <f>L226</f>
        <v>275.24503576053377</v>
      </c>
      <c r="L238" s="14">
        <f>L226/(L228*1000)*100</f>
        <v>35.926930493646161</v>
      </c>
      <c r="M238" s="14">
        <f>N226</f>
        <v>571.71462906518434</v>
      </c>
      <c r="N238" s="14">
        <f>N226/(N228*1000)*100</f>
        <v>83.108430138968117</v>
      </c>
      <c r="O238" s="7"/>
      <c r="P238" s="7"/>
    </row>
    <row r="239" spans="1:31" x14ac:dyDescent="0.35">
      <c r="A239" s="15" t="s">
        <v>153</v>
      </c>
      <c r="B239" s="7"/>
      <c r="C239" s="7"/>
      <c r="D239" s="7"/>
      <c r="E239" s="7"/>
      <c r="F239" s="14">
        <f>G239*G228*10</f>
        <v>238.22939046798408</v>
      </c>
      <c r="G239" s="14">
        <f>G250*G184/(G228*1000)*100</f>
        <v>16.73841500558094</v>
      </c>
      <c r="H239" s="14">
        <f>I239*I228*10</f>
        <v>676.50246233730422</v>
      </c>
      <c r="I239" s="14">
        <f>I250*I184/(I228*1000)*100</f>
        <v>36.066429964890936</v>
      </c>
      <c r="J239" s="7"/>
      <c r="K239" s="14">
        <f>L250*L184</f>
        <v>92.18324321481758</v>
      </c>
      <c r="L239" s="14">
        <f>L250*L184/(L228*1000)*100</f>
        <v>12.032409458381608</v>
      </c>
      <c r="M239" s="14">
        <f>N250*N184</f>
        <v>187.65912491851105</v>
      </c>
      <c r="N239" s="14">
        <f>N250*N184/(N228*1000)*100</f>
        <v>27.279440616608351</v>
      </c>
      <c r="O239" s="7"/>
      <c r="P239" s="7"/>
    </row>
    <row r="240" spans="1:31" x14ac:dyDescent="0.35">
      <c r="A240" s="15" t="s">
        <v>154</v>
      </c>
      <c r="B240" s="7"/>
      <c r="C240" s="7"/>
      <c r="D240" s="7"/>
      <c r="E240" s="7"/>
      <c r="F240" s="14">
        <f>G240*G228*10</f>
        <v>296.16054347532429</v>
      </c>
      <c r="G240" s="14">
        <f>G251*G187/(G228*1000)*100</f>
        <v>20.808759470148523</v>
      </c>
      <c r="H240" s="14">
        <f>I240*I228*10</f>
        <v>562.12682365347393</v>
      </c>
      <c r="I240" s="14">
        <f>I251*I187/(I228*1000)*100</f>
        <v>29.968712377836169</v>
      </c>
      <c r="J240" s="14"/>
      <c r="K240" s="14">
        <f>L251*L187</f>
        <v>3.7048656326089113</v>
      </c>
      <c r="L240" s="14">
        <f>L251*L187/(L228*1000)*100</f>
        <v>0.48358528866199474</v>
      </c>
      <c r="M240" s="14">
        <f>N251*N187</f>
        <v>6.2079221186056346</v>
      </c>
      <c r="N240" s="14">
        <f>N251*N187/(N228*1000)*100</f>
        <v>0.90242690229196021</v>
      </c>
      <c r="O240" s="7"/>
      <c r="P240" s="7"/>
    </row>
    <row r="241" spans="1:18" x14ac:dyDescent="0.35">
      <c r="A241" s="7" t="s">
        <v>12</v>
      </c>
      <c r="B241" s="7"/>
      <c r="C241" s="7"/>
      <c r="D241" s="7"/>
      <c r="E241" s="7"/>
      <c r="F241" s="14">
        <f>G241*G228*10</f>
        <v>295.3114763567765</v>
      </c>
      <c r="G241" s="14">
        <f>G238-G240-G239</f>
        <v>20.74910252450497</v>
      </c>
      <c r="H241" s="14">
        <f>I241*I228*10</f>
        <v>447.76242864034907</v>
      </c>
      <c r="I241" s="14">
        <f>I238-I240-I239</f>
        <v>23.871594225498377</v>
      </c>
      <c r="J241" s="14"/>
      <c r="K241" s="14">
        <f>L241*L228*10</f>
        <v>179.35692691310726</v>
      </c>
      <c r="L241" s="14">
        <f>L238-L240-L239</f>
        <v>23.410935746602561</v>
      </c>
      <c r="M241" s="14">
        <f>N241*N228*10</f>
        <v>377.84758202806756</v>
      </c>
      <c r="N241" s="14">
        <f>N238-N240-N239</f>
        <v>54.926562620067799</v>
      </c>
      <c r="O241" s="7"/>
      <c r="P241" s="7"/>
    </row>
    <row r="242" spans="1:18" x14ac:dyDescent="0.35">
      <c r="A242" s="7" t="s">
        <v>40</v>
      </c>
      <c r="B242" s="7"/>
      <c r="C242" s="7"/>
      <c r="D242" s="7"/>
      <c r="E242" s="7"/>
      <c r="F242" s="14">
        <f>SUM(F234:F238)</f>
        <v>1423.2493960064521</v>
      </c>
      <c r="G242" s="14">
        <f>SUM(G234:G238)</f>
        <v>100</v>
      </c>
      <c r="H242" s="14">
        <f>SUM(H234:H238)</f>
        <v>1875.7122981006139</v>
      </c>
      <c r="I242" s="14">
        <f>SUM(I234:I238)</f>
        <v>100</v>
      </c>
      <c r="J242" s="14"/>
      <c r="K242" s="14">
        <f>SUM(K234:K238)</f>
        <v>766.12455330469174</v>
      </c>
      <c r="L242" s="14">
        <f>SUM(L234:L238)</f>
        <v>100</v>
      </c>
      <c r="M242" s="14">
        <f>SUM(M234:M238)</f>
        <v>687.91412388514982</v>
      </c>
      <c r="N242" s="14">
        <f>SUM(N234:N238)</f>
        <v>100</v>
      </c>
      <c r="O242" s="7"/>
      <c r="P242" s="7"/>
    </row>
    <row r="243" spans="1:18" x14ac:dyDescent="0.35">
      <c r="A243" s="7"/>
      <c r="B243" s="7"/>
      <c r="C243" s="7"/>
      <c r="D243" s="7"/>
      <c r="E243" s="7"/>
      <c r="F243" s="14"/>
      <c r="G243" s="14"/>
      <c r="H243" s="14"/>
      <c r="I243" s="14"/>
      <c r="J243" s="14"/>
      <c r="K243" s="14"/>
      <c r="L243" s="14"/>
      <c r="M243" s="7"/>
      <c r="N243" s="7"/>
      <c r="O243" s="7"/>
      <c r="P243" s="7"/>
    </row>
    <row r="244" spans="1:18" x14ac:dyDescent="0.35">
      <c r="A244" s="7" t="s">
        <v>13</v>
      </c>
      <c r="B244" s="7"/>
      <c r="C244" s="7"/>
      <c r="D244" s="7"/>
      <c r="E244" s="7"/>
      <c r="F244" s="14"/>
      <c r="G244" s="14"/>
      <c r="H244" s="14"/>
      <c r="I244" s="14"/>
      <c r="J244" s="14"/>
      <c r="K244" s="14"/>
      <c r="L244" s="14"/>
      <c r="M244" s="7"/>
      <c r="N244" s="7"/>
      <c r="O244" s="7"/>
      <c r="P244" s="7"/>
    </row>
    <row r="245" spans="1:18" x14ac:dyDescent="0.35">
      <c r="A245" s="7" t="s">
        <v>3</v>
      </c>
      <c r="B245" s="7"/>
      <c r="C245" s="7"/>
      <c r="D245" s="7"/>
      <c r="E245" s="7"/>
      <c r="F245" s="14"/>
      <c r="G245" s="18">
        <f>((G190/G186)*((1-L211)/L211))^(1/(1+L207))</f>
        <v>0.56851194626848833</v>
      </c>
      <c r="H245" s="14"/>
      <c r="I245" s="18">
        <f>((I190/I186)*((1-N211)/N211))^(1/(1+N207))</f>
        <v>0.52661119804785206</v>
      </c>
      <c r="J245" s="14"/>
      <c r="K245" s="14"/>
      <c r="L245" s="14">
        <f>(L190/L186*(1-G211)/G211)^(1/(1+G207))</f>
        <v>1.3535626540685666</v>
      </c>
      <c r="M245" s="7"/>
      <c r="N245" s="14">
        <f>(N190/N186*(1-I211)/I211)^(1/(1+I207))</f>
        <v>0.66822244550905507</v>
      </c>
      <c r="O245" s="7"/>
      <c r="P245" s="15"/>
      <c r="Q245" s="7"/>
      <c r="R245" s="7"/>
    </row>
    <row r="246" spans="1:18" x14ac:dyDescent="0.35">
      <c r="A246" s="15" t="s">
        <v>155</v>
      </c>
      <c r="B246" s="7"/>
      <c r="C246" s="7"/>
      <c r="D246" s="7"/>
      <c r="E246" s="7"/>
      <c r="F246" s="14"/>
      <c r="G246" s="18">
        <f>(G187/G225*(1-L212)/L212)^(1/(1+L208))</f>
        <v>1.2488085384178977</v>
      </c>
      <c r="H246" s="14"/>
      <c r="I246" s="18">
        <f>(I187/I225*(1-N212)/N212)^(1/(1+N208))</f>
        <v>1.6202598124095502</v>
      </c>
      <c r="J246" s="14"/>
      <c r="K246" s="14"/>
      <c r="L246" s="14">
        <f>(L187/L225*(1-G212)/G212)^(1/(1+G208))</f>
        <v>16.986907184397278</v>
      </c>
      <c r="M246" s="7"/>
      <c r="N246" s="14">
        <f>(N187/N225*(1-I212)/I212)^(1/(1+I208))</f>
        <v>19.632464424642929</v>
      </c>
      <c r="O246" s="7"/>
      <c r="P246" s="15"/>
      <c r="Q246" s="7"/>
      <c r="R246" s="7"/>
    </row>
    <row r="247" spans="1:18" x14ac:dyDescent="0.35">
      <c r="A247" s="7"/>
      <c r="B247" s="7"/>
      <c r="C247" s="7"/>
      <c r="D247" s="7"/>
      <c r="E247" s="7"/>
      <c r="F247" s="14"/>
      <c r="G247" s="14"/>
      <c r="H247" s="14"/>
      <c r="I247" s="14"/>
      <c r="J247" s="14"/>
      <c r="K247" s="14"/>
      <c r="L247" s="14"/>
      <c r="M247" s="7"/>
      <c r="N247" s="14"/>
      <c r="O247" s="7"/>
      <c r="P247" s="7"/>
    </row>
    <row r="248" spans="1:18" x14ac:dyDescent="0.35">
      <c r="A248" s="7" t="s">
        <v>14</v>
      </c>
      <c r="B248" s="7"/>
      <c r="C248" s="7"/>
      <c r="D248" s="7"/>
      <c r="E248" s="7"/>
      <c r="F248" s="14"/>
      <c r="G248" s="14"/>
      <c r="H248" s="14"/>
      <c r="I248" s="14"/>
      <c r="J248" s="14"/>
      <c r="K248" s="14"/>
      <c r="L248" s="14"/>
      <c r="M248" s="7"/>
      <c r="N248" s="14"/>
      <c r="O248" s="7"/>
      <c r="P248" s="7"/>
    </row>
    <row r="249" spans="1:18" x14ac:dyDescent="0.35">
      <c r="A249" s="7" t="s">
        <v>1</v>
      </c>
      <c r="B249" s="7"/>
      <c r="C249" s="7"/>
      <c r="D249" s="7"/>
      <c r="E249" s="7"/>
      <c r="F249" s="14"/>
      <c r="G249" s="14">
        <f>G250+G251</f>
        <v>20.078150976293308</v>
      </c>
      <c r="H249" s="14"/>
      <c r="I249" s="14">
        <f>I250+I251</f>
        <v>47.242822987824624</v>
      </c>
      <c r="J249" s="14"/>
      <c r="K249" s="14"/>
      <c r="L249" s="14">
        <f>L250+L251</f>
        <v>17.858434953063689</v>
      </c>
      <c r="M249" s="7"/>
      <c r="N249" s="14">
        <f>N250+N251</f>
        <v>30.826189982126166</v>
      </c>
      <c r="O249" s="7"/>
      <c r="P249" s="7"/>
    </row>
    <row r="250" spans="1:18" x14ac:dyDescent="0.35">
      <c r="A250" s="15" t="s">
        <v>156</v>
      </c>
      <c r="B250" s="7"/>
      <c r="C250" s="7"/>
      <c r="D250" s="7"/>
      <c r="E250" s="7"/>
      <c r="F250" s="14"/>
      <c r="G250" s="14">
        <f>G252/G185*100</f>
        <v>6.2194858739382974</v>
      </c>
      <c r="H250" s="14"/>
      <c r="I250" s="14">
        <f>I252/I185*100</f>
        <v>17.073710538324875</v>
      </c>
      <c r="J250" s="14"/>
      <c r="K250" s="14"/>
      <c r="L250" s="14">
        <f>L252/L185*100</f>
        <v>16.997237871144797</v>
      </c>
      <c r="M250" s="7"/>
      <c r="N250" s="14">
        <f>N252/N185*100</f>
        <v>28.961464675971254</v>
      </c>
      <c r="O250" s="7"/>
      <c r="P250" s="7"/>
    </row>
    <row r="251" spans="1:18" x14ac:dyDescent="0.35">
      <c r="A251" s="15" t="s">
        <v>157</v>
      </c>
      <c r="B251" s="7"/>
      <c r="C251" s="7"/>
      <c r="D251" s="7"/>
      <c r="E251" s="7"/>
      <c r="F251" s="14"/>
      <c r="G251" s="14">
        <f>G226/(G187+G225*G246)</f>
        <v>13.858665102355012</v>
      </c>
      <c r="H251" s="14"/>
      <c r="I251" s="14">
        <f>I226/(I187+I225*I246)</f>
        <v>30.169112449499746</v>
      </c>
      <c r="J251" s="14"/>
      <c r="K251" s="14"/>
      <c r="L251" s="14">
        <f>L226/(L187+L225*L246)</f>
        <v>0.86119708191889033</v>
      </c>
      <c r="M251" s="7"/>
      <c r="N251" s="14">
        <f>N226/(N187+N225*N246)</f>
        <v>1.8647253061549141</v>
      </c>
      <c r="O251" s="7"/>
      <c r="P251" s="7"/>
    </row>
    <row r="252" spans="1:18" x14ac:dyDescent="0.35">
      <c r="A252" s="7" t="s">
        <v>2</v>
      </c>
      <c r="B252" s="7"/>
      <c r="C252" s="7"/>
      <c r="D252" s="7"/>
      <c r="E252" s="7"/>
      <c r="F252" s="14"/>
      <c r="G252" s="14">
        <f>G253*G245</f>
        <v>6.2194858739382974</v>
      </c>
      <c r="H252" s="14"/>
      <c r="I252" s="14">
        <f>I253*I245</f>
        <v>17.073710538324875</v>
      </c>
      <c r="J252" s="14"/>
      <c r="K252" s="14"/>
      <c r="L252" s="14">
        <f>L253*L245</f>
        <v>8.4986189355723987</v>
      </c>
      <c r="M252" s="7"/>
      <c r="N252" s="14">
        <f>N253*N245</f>
        <v>14.480732337985629</v>
      </c>
      <c r="O252" s="7"/>
      <c r="P252" s="7"/>
    </row>
    <row r="253" spans="1:18" x14ac:dyDescent="0.35">
      <c r="A253" s="7" t="s">
        <v>0</v>
      </c>
      <c r="B253" s="7"/>
      <c r="C253" s="7"/>
      <c r="D253" s="7"/>
      <c r="E253" s="7"/>
      <c r="F253" s="14"/>
      <c r="G253" s="14">
        <f>G225/(G190+G186*G245)*(G251*G246)</f>
        <v>10.939938755484043</v>
      </c>
      <c r="H253" s="14"/>
      <c r="I253" s="14">
        <f>I225/(I190+I186*I245)*(I251*I246)</f>
        <v>32.421852405754237</v>
      </c>
      <c r="J253" s="14"/>
      <c r="K253" s="14"/>
      <c r="L253" s="14">
        <f>L225/(L190+L186*L245)*(L251*L246)</f>
        <v>6.2787037674444361</v>
      </c>
      <c r="M253" s="7"/>
      <c r="N253" s="14">
        <f>N225/(N190+N186*N245)*(N251*N246)</f>
        <v>21.670526686594815</v>
      </c>
      <c r="O253" s="7"/>
      <c r="P253" s="7"/>
    </row>
    <row r="254" spans="1:18" x14ac:dyDescent="0.35">
      <c r="A254" s="7"/>
      <c r="B254" s="7"/>
      <c r="C254" s="7"/>
      <c r="D254" s="7"/>
      <c r="E254" s="7"/>
      <c r="F254" s="7"/>
      <c r="G254" s="7"/>
      <c r="H254" s="7"/>
      <c r="I254" s="7"/>
      <c r="J254" s="7"/>
      <c r="K254" s="7"/>
      <c r="L254" s="7"/>
      <c r="M254" s="7"/>
      <c r="N254" s="7"/>
      <c r="O254" s="7"/>
      <c r="P254" s="7"/>
    </row>
    <row r="255" spans="1:18" x14ac:dyDescent="0.35">
      <c r="A255" s="15" t="s">
        <v>338</v>
      </c>
      <c r="B255" s="81"/>
      <c r="C255" s="81"/>
      <c r="D255" s="7"/>
      <c r="E255" s="7"/>
      <c r="F255" s="7"/>
      <c r="G255" s="14">
        <f>(G$194/G$176)/(G$249/G$226)</f>
        <v>0.70477881702631651</v>
      </c>
      <c r="H255" s="7"/>
      <c r="I255" s="14">
        <f>(I$194/I$172)/(I$249/I$226)</f>
        <v>0.59208628346830228</v>
      </c>
      <c r="J255" s="7"/>
      <c r="K255" s="7"/>
      <c r="L255" s="14">
        <f>(L194/L176)/(L249/L226)</f>
        <v>1.2544255680949314</v>
      </c>
      <c r="M255" s="7"/>
      <c r="N255" s="14">
        <f>(N194/N172)/(N249/N226)</f>
        <v>1.8386990481138554</v>
      </c>
      <c r="O255" s="7"/>
      <c r="P255" s="7"/>
    </row>
    <row r="256" spans="1:18" x14ac:dyDescent="0.35">
      <c r="A256" s="15" t="s">
        <v>339</v>
      </c>
      <c r="B256" s="81"/>
      <c r="C256" s="81"/>
      <c r="D256" s="7"/>
      <c r="E256" s="7"/>
      <c r="F256" s="7"/>
      <c r="G256" s="14">
        <f>(G$196/G$176)/(G$251/G$226)</f>
        <v>6.2347464297303569E-2</v>
      </c>
      <c r="H256" s="7"/>
      <c r="I256" s="14">
        <f>(I$196/I$172)/(I$251/I$226)</f>
        <v>6.2091713066538448E-2</v>
      </c>
      <c r="J256" s="7"/>
      <c r="K256" s="7"/>
      <c r="L256" s="14">
        <f>(L$196/L$176)/(L$251/L$226)</f>
        <v>17.037616999256059</v>
      </c>
      <c r="M256" s="7"/>
      <c r="N256" s="14">
        <f>(N$196/N$172)/(N$251/N$226)</f>
        <v>18.734479797564507</v>
      </c>
      <c r="O256" s="7"/>
      <c r="P256" s="7"/>
    </row>
    <row r="257" spans="1:46" x14ac:dyDescent="0.35">
      <c r="A257" s="15" t="s">
        <v>340</v>
      </c>
      <c r="B257" s="81"/>
      <c r="C257" s="81"/>
      <c r="D257" s="7"/>
      <c r="E257" s="7"/>
      <c r="F257" s="7"/>
      <c r="G257" s="14">
        <f>G$194/(G$249/G$228)</f>
        <v>0.60467916732823879</v>
      </c>
      <c r="H257" s="7"/>
      <c r="I257" s="14">
        <f>I$194/(I$249/I$228)</f>
        <v>0.5799991781365752</v>
      </c>
      <c r="J257" s="7"/>
      <c r="K257" s="7"/>
      <c r="L257" s="14">
        <f>L194/(L249/L228)</f>
        <v>1.4128557709385809</v>
      </c>
      <c r="M257" s="7"/>
      <c r="N257" s="14">
        <f>N194/(N249/N228)</f>
        <v>1.7898562994067868</v>
      </c>
      <c r="O257" s="7"/>
      <c r="P257" s="7"/>
    </row>
    <row r="258" spans="1:46" x14ac:dyDescent="0.35">
      <c r="A258" s="15" t="s">
        <v>341</v>
      </c>
      <c r="B258" s="81"/>
      <c r="C258" s="81"/>
      <c r="D258" s="7"/>
      <c r="E258" s="7"/>
      <c r="F258" s="7"/>
      <c r="G258" s="14">
        <f>(G194/G198)/(G249/G253)</f>
        <v>0.68846227370514101</v>
      </c>
      <c r="H258" s="7"/>
      <c r="I258" s="14">
        <f>(I194/I198)/(I249/I253)</f>
        <v>0.42940501517308177</v>
      </c>
      <c r="J258" s="7"/>
      <c r="K258" s="7"/>
      <c r="L258" s="14">
        <f>(L194/L198)/(L249/L253)</f>
        <v>1.3218876652892031</v>
      </c>
      <c r="M258" s="7"/>
      <c r="N258" s="14">
        <f>(N194/N198)/(N249/N253)</f>
        <v>2.2089822065850075</v>
      </c>
      <c r="O258" s="7"/>
      <c r="P258" s="7"/>
    </row>
    <row r="259" spans="1:46" x14ac:dyDescent="0.35">
      <c r="A259" s="81"/>
      <c r="B259" s="81"/>
      <c r="C259" s="81"/>
      <c r="D259" s="7"/>
      <c r="E259" s="7"/>
      <c r="F259" s="7"/>
      <c r="G259" s="7"/>
      <c r="H259" s="7"/>
      <c r="I259" s="7"/>
      <c r="J259" s="7"/>
      <c r="K259" s="7"/>
      <c r="L259" s="7"/>
      <c r="M259" s="7"/>
      <c r="N259" s="7"/>
      <c r="O259" s="7"/>
      <c r="P259" s="7"/>
    </row>
    <row r="260" spans="1:46" x14ac:dyDescent="0.35">
      <c r="A260" s="81" t="s">
        <v>15</v>
      </c>
      <c r="B260" s="81"/>
      <c r="C260" s="81"/>
      <c r="D260" s="7"/>
      <c r="E260" s="7"/>
      <c r="F260" s="7"/>
      <c r="G260" s="7"/>
      <c r="H260" s="7"/>
      <c r="I260" s="7"/>
      <c r="J260" s="7"/>
      <c r="K260" s="7"/>
      <c r="L260" s="7"/>
      <c r="M260" s="7"/>
      <c r="N260" s="7"/>
      <c r="O260" s="7"/>
      <c r="P260" s="7"/>
    </row>
    <row r="261" spans="1:46" x14ac:dyDescent="0.35">
      <c r="A261" s="81" t="s">
        <v>158</v>
      </c>
      <c r="B261" s="81"/>
      <c r="C261" s="81"/>
      <c r="D261" s="7"/>
      <c r="E261" s="7"/>
      <c r="F261" s="7"/>
      <c r="G261" s="14">
        <f>(G251/G253)/(G196/G198)</f>
        <v>16.419272111320339</v>
      </c>
      <c r="H261" s="7"/>
      <c r="I261" s="14">
        <f>(I251/I253)/(I196/I198)</f>
        <v>22.206711265070254</v>
      </c>
      <c r="J261" s="7"/>
      <c r="K261" s="7"/>
      <c r="L261" s="14">
        <f>1/((L251/L253)/(L196/L198))</f>
        <v>17.953887683779932</v>
      </c>
      <c r="M261" s="7"/>
      <c r="N261" s="14">
        <f>1/((N251/N253)/(N196/N198))</f>
        <v>22.507289904184312</v>
      </c>
      <c r="O261" s="7"/>
      <c r="P261" s="7"/>
    </row>
    <row r="262" spans="1:46" x14ac:dyDescent="0.35">
      <c r="A262" s="81" t="s">
        <v>159</v>
      </c>
      <c r="B262" s="81"/>
      <c r="C262" s="81"/>
      <c r="D262" s="7"/>
      <c r="E262" s="7"/>
      <c r="F262" s="7"/>
      <c r="G262" s="14">
        <f>1/((G196/G197)/(G251/G252))</f>
        <v>34.264206064841289</v>
      </c>
      <c r="H262" s="7"/>
      <c r="I262" s="14">
        <f>1/((I196/I197)/(I251/I252))</f>
        <v>24.618140683848225</v>
      </c>
      <c r="J262" s="7"/>
      <c r="K262" s="7"/>
      <c r="L262" s="14">
        <f>(L196/L197)/(L251/L252)</f>
        <v>37.466685678344767</v>
      </c>
      <c r="M262" s="7"/>
      <c r="N262" s="14">
        <f>(N196/N197)/(N251/N252)</f>
        <v>24.951359193151237</v>
      </c>
      <c r="O262" s="7"/>
      <c r="P262" s="7"/>
    </row>
    <row r="263" spans="1:46" x14ac:dyDescent="0.35">
      <c r="A263" s="81"/>
      <c r="B263" s="81"/>
      <c r="C263" s="81"/>
      <c r="D263" s="7"/>
      <c r="E263" s="7"/>
      <c r="F263" s="7"/>
      <c r="G263" s="7"/>
      <c r="H263" s="7"/>
      <c r="I263" s="7"/>
      <c r="J263" s="7"/>
      <c r="K263" s="7"/>
      <c r="L263" s="7"/>
      <c r="M263" s="7"/>
      <c r="N263" s="7"/>
      <c r="O263" s="7"/>
      <c r="P263" s="7"/>
    </row>
    <row r="264" spans="1:46" x14ac:dyDescent="0.35">
      <c r="A264" s="81" t="s">
        <v>48</v>
      </c>
      <c r="B264" s="81"/>
      <c r="C264" s="81"/>
      <c r="D264" s="7"/>
      <c r="E264" s="7"/>
      <c r="F264" s="7"/>
      <c r="G264" s="7"/>
      <c r="H264" s="7"/>
      <c r="I264" s="7"/>
      <c r="J264" s="7"/>
      <c r="K264" s="7"/>
      <c r="L264" s="7"/>
      <c r="M264" s="7"/>
      <c r="N264" s="7"/>
      <c r="O264" s="7"/>
    </row>
    <row r="265" spans="1:46" x14ac:dyDescent="0.35">
      <c r="A265" s="81"/>
      <c r="B265" s="81"/>
      <c r="C265" s="81"/>
      <c r="D265" s="7"/>
      <c r="E265" s="7"/>
      <c r="F265" s="7"/>
      <c r="G265" s="7"/>
      <c r="H265" s="7"/>
      <c r="I265" s="7"/>
      <c r="J265" s="7"/>
      <c r="K265" s="7"/>
      <c r="L265" s="7"/>
      <c r="M265" s="7"/>
      <c r="N265" s="7"/>
      <c r="O265" s="7"/>
    </row>
    <row r="266" spans="1:46" x14ac:dyDescent="0.35">
      <c r="A266" s="81" t="s">
        <v>43</v>
      </c>
      <c r="B266" s="81"/>
      <c r="C266" s="81"/>
      <c r="D266" s="7"/>
      <c r="E266" s="7"/>
      <c r="F266" s="7"/>
      <c r="G266" s="7"/>
      <c r="H266" s="7"/>
      <c r="I266" s="7"/>
      <c r="J266" s="7"/>
      <c r="K266" s="7"/>
      <c r="L266" s="42" t="s">
        <v>74</v>
      </c>
      <c r="M266" s="7"/>
      <c r="N266" s="8" t="s">
        <v>72</v>
      </c>
      <c r="O266" s="7"/>
    </row>
    <row r="267" spans="1:46" x14ac:dyDescent="0.35">
      <c r="A267" s="15" t="s">
        <v>337</v>
      </c>
      <c r="B267" s="81"/>
      <c r="C267" s="81"/>
      <c r="D267" s="7"/>
      <c r="E267" s="7"/>
      <c r="F267" s="7"/>
      <c r="G267" s="7"/>
      <c r="H267" s="7"/>
      <c r="I267" s="19"/>
      <c r="J267" s="19"/>
      <c r="K267" s="19"/>
      <c r="L267" s="35">
        <v>1</v>
      </c>
      <c r="M267" s="71"/>
      <c r="N267" s="35">
        <v>0.5</v>
      </c>
      <c r="O267" s="7"/>
      <c r="P267" s="15"/>
      <c r="Q267" s="7"/>
      <c r="R267" s="7"/>
      <c r="S267" s="7"/>
      <c r="T267" s="7"/>
      <c r="U267" s="7"/>
      <c r="V267" s="7"/>
      <c r="W267" s="7"/>
      <c r="X267" s="7"/>
      <c r="Y267" s="7"/>
      <c r="Z267" s="7"/>
    </row>
    <row r="268" spans="1:46" s="80" customFormat="1" x14ac:dyDescent="0.35">
      <c r="A268" s="81" t="s">
        <v>116</v>
      </c>
      <c r="B268" s="81"/>
      <c r="C268" s="81"/>
      <c r="D268" s="81"/>
      <c r="E268" s="81"/>
      <c r="F268" s="81"/>
      <c r="G268" s="81"/>
      <c r="H268" s="81"/>
      <c r="I268" s="81"/>
      <c r="J268" s="89">
        <v>0.5</v>
      </c>
      <c r="K268" s="81"/>
      <c r="L268" s="88">
        <f>J268</f>
        <v>0.5</v>
      </c>
      <c r="M268" s="121"/>
      <c r="N268" s="88">
        <f>J268</f>
        <v>0.5</v>
      </c>
      <c r="O268" s="81"/>
      <c r="P268" s="81"/>
      <c r="Q268" s="81"/>
      <c r="R268" s="81"/>
      <c r="S268" s="81"/>
      <c r="T268" s="81"/>
      <c r="U268" s="81"/>
      <c r="V268" s="81"/>
      <c r="W268" s="81"/>
      <c r="X268" s="81"/>
      <c r="Y268" s="81"/>
      <c r="Z268" s="81"/>
    </row>
    <row r="269" spans="1:46" s="80" customFormat="1" x14ac:dyDescent="0.35">
      <c r="A269" s="15" t="s">
        <v>315</v>
      </c>
      <c r="B269" s="81"/>
      <c r="C269" s="81"/>
      <c r="D269" s="81"/>
      <c r="E269" s="81"/>
      <c r="F269" s="81"/>
      <c r="G269" s="81"/>
      <c r="H269" s="81"/>
      <c r="I269" s="81"/>
      <c r="J269" s="89">
        <v>0</v>
      </c>
      <c r="K269" s="81"/>
      <c r="L269" s="88">
        <f>J269</f>
        <v>0</v>
      </c>
      <c r="M269" s="121"/>
      <c r="N269" s="88">
        <f>J269</f>
        <v>0</v>
      </c>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1"/>
      <c r="AR269" s="81"/>
      <c r="AS269" s="81"/>
      <c r="AT269" s="81"/>
    </row>
    <row r="270" spans="1:46" x14ac:dyDescent="0.35">
      <c r="A270" s="81" t="s">
        <v>251</v>
      </c>
      <c r="B270" s="81"/>
      <c r="C270" s="81"/>
      <c r="D270" s="7"/>
      <c r="E270" s="7"/>
      <c r="F270" s="7"/>
      <c r="G270" s="7"/>
      <c r="H270" s="7"/>
      <c r="I270" s="7"/>
      <c r="J270" s="7"/>
      <c r="K270" s="7"/>
      <c r="L270" s="36">
        <v>0.67</v>
      </c>
      <c r="M270" s="71"/>
      <c r="N270" s="14">
        <f>1-L270</f>
        <v>0.32999999999999996</v>
      </c>
      <c r="O270" s="7"/>
      <c r="P270" s="15"/>
      <c r="Q270" s="7"/>
      <c r="R270" s="7"/>
      <c r="S270" s="7"/>
      <c r="T270" s="7"/>
      <c r="U270" s="7"/>
      <c r="V270" s="7"/>
      <c r="W270" s="7"/>
      <c r="X270" s="7"/>
      <c r="Y270" s="7"/>
      <c r="Z270" s="7"/>
    </row>
    <row r="271" spans="1:46" x14ac:dyDescent="0.35">
      <c r="A271" s="81" t="s">
        <v>252</v>
      </c>
      <c r="B271" s="81"/>
      <c r="C271" s="81"/>
      <c r="D271" s="7"/>
      <c r="E271" s="7"/>
      <c r="F271" s="7"/>
      <c r="G271" s="7"/>
      <c r="H271" s="7"/>
      <c r="I271" s="7"/>
      <c r="J271" s="7"/>
      <c r="K271" s="7"/>
      <c r="L271" s="69">
        <v>7.1999999999999995E-2</v>
      </c>
      <c r="M271" s="71"/>
      <c r="N271" s="69">
        <v>5.1999999999999998E-2</v>
      </c>
      <c r="O271" s="7"/>
      <c r="P271" s="7"/>
      <c r="Q271" s="7"/>
      <c r="R271" s="7"/>
      <c r="S271" s="7"/>
      <c r="T271" s="7"/>
      <c r="U271" s="7"/>
      <c r="V271" s="7"/>
      <c r="W271" s="7"/>
      <c r="X271" s="7"/>
      <c r="Y271" s="7"/>
      <c r="Z271" s="7"/>
    </row>
    <row r="272" spans="1:46" x14ac:dyDescent="0.35">
      <c r="A272" s="81" t="s">
        <v>290</v>
      </c>
      <c r="B272" s="81"/>
      <c r="C272" s="81"/>
      <c r="D272" s="7"/>
      <c r="E272" s="7"/>
      <c r="F272" s="7"/>
      <c r="G272" s="7"/>
      <c r="H272" s="7"/>
      <c r="I272" s="7"/>
      <c r="J272" s="7"/>
      <c r="K272" s="7"/>
      <c r="L272" s="37">
        <v>0.1</v>
      </c>
      <c r="M272" s="71"/>
      <c r="N272" s="37">
        <v>0.1</v>
      </c>
      <c r="O272" s="7"/>
      <c r="P272" s="15"/>
      <c r="Q272" s="7"/>
      <c r="R272" s="7"/>
      <c r="S272" s="7"/>
      <c r="T272" s="7"/>
      <c r="U272" s="7"/>
      <c r="V272" s="7"/>
      <c r="W272" s="7"/>
      <c r="X272" s="7"/>
      <c r="Y272" s="7"/>
      <c r="Z272" s="7"/>
    </row>
    <row r="273" spans="1:26" x14ac:dyDescent="0.35">
      <c r="A273" s="81" t="s">
        <v>253</v>
      </c>
      <c r="B273" s="81"/>
      <c r="C273" s="81"/>
      <c r="D273" s="7"/>
      <c r="E273" s="7"/>
      <c r="F273" s="7"/>
      <c r="G273" s="7"/>
      <c r="H273" s="7"/>
      <c r="I273" s="7"/>
      <c r="J273" s="7"/>
      <c r="K273" s="7"/>
      <c r="L273" s="36">
        <v>0.18</v>
      </c>
      <c r="M273" s="71"/>
      <c r="N273" s="36">
        <v>0.18</v>
      </c>
      <c r="O273" s="7"/>
      <c r="P273" s="15"/>
      <c r="Q273" s="7"/>
      <c r="R273" s="7"/>
      <c r="S273" s="7"/>
      <c r="T273" s="7"/>
      <c r="U273" s="7"/>
      <c r="V273" s="7"/>
      <c r="W273" s="7"/>
      <c r="X273" s="7"/>
      <c r="Y273" s="7"/>
      <c r="Z273" s="7"/>
    </row>
    <row r="274" spans="1:26" x14ac:dyDescent="0.35">
      <c r="A274" s="81" t="s">
        <v>254</v>
      </c>
      <c r="B274" s="81"/>
      <c r="C274" s="81"/>
      <c r="D274" s="7"/>
      <c r="E274" s="7"/>
      <c r="F274" s="7"/>
      <c r="G274" s="7"/>
      <c r="H274" s="7"/>
      <c r="I274" s="7"/>
      <c r="J274" s="7"/>
      <c r="K274" s="7"/>
      <c r="L274" s="37">
        <v>0.04</v>
      </c>
      <c r="M274" s="71"/>
      <c r="N274" s="37">
        <v>0.04</v>
      </c>
      <c r="O274" s="7"/>
      <c r="P274" s="7"/>
      <c r="Q274" s="7"/>
      <c r="R274" s="7"/>
      <c r="S274" s="7"/>
      <c r="T274" s="7"/>
      <c r="U274" s="7"/>
      <c r="V274" s="7"/>
      <c r="W274" s="7"/>
      <c r="X274" s="7"/>
      <c r="Y274" s="7"/>
      <c r="Z274" s="7"/>
    </row>
    <row r="275" spans="1:26" s="80" customFormat="1" x14ac:dyDescent="0.35">
      <c r="A275" s="81" t="s">
        <v>248</v>
      </c>
      <c r="B275" s="81"/>
      <c r="C275" s="81"/>
      <c r="D275" s="81"/>
      <c r="E275" s="81"/>
      <c r="F275" s="81"/>
      <c r="G275" s="81"/>
      <c r="H275" s="81"/>
      <c r="I275" s="81"/>
      <c r="J275" s="123">
        <v>0.5</v>
      </c>
      <c r="K275" s="81"/>
      <c r="L275" s="88">
        <f>J275</f>
        <v>0.5</v>
      </c>
      <c r="M275" s="81"/>
      <c r="N275" s="88">
        <f>J275</f>
        <v>0.5</v>
      </c>
      <c r="O275" s="81"/>
      <c r="P275" s="81"/>
      <c r="Q275" s="81"/>
      <c r="R275" s="81"/>
      <c r="S275" s="81"/>
      <c r="T275" s="81"/>
      <c r="U275" s="81"/>
      <c r="V275" s="81"/>
      <c r="W275" s="81"/>
      <c r="X275" s="81"/>
      <c r="Y275" s="81"/>
      <c r="Z275" s="81"/>
    </row>
    <row r="276" spans="1:26" x14ac:dyDescent="0.35">
      <c r="A276" s="81"/>
      <c r="B276" s="15"/>
      <c r="C276" s="81"/>
      <c r="D276" s="7"/>
      <c r="E276" s="7"/>
      <c r="F276" s="7"/>
      <c r="G276" s="7"/>
      <c r="H276" s="7"/>
      <c r="I276" s="7"/>
      <c r="J276" s="7"/>
      <c r="K276" s="7"/>
      <c r="L276" s="16"/>
      <c r="M276" s="7"/>
      <c r="N276" s="16"/>
      <c r="O276" s="7"/>
      <c r="P276" s="7"/>
      <c r="Q276" s="7"/>
      <c r="R276" s="7"/>
      <c r="S276" s="7"/>
      <c r="T276" s="7"/>
      <c r="U276" s="7"/>
      <c r="V276" s="7"/>
      <c r="W276" s="7"/>
      <c r="X276" s="7"/>
      <c r="Y276" s="7"/>
      <c r="Z276" s="7"/>
    </row>
    <row r="277" spans="1:26" x14ac:dyDescent="0.3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x14ac:dyDescent="0.35">
      <c r="A278" s="15" t="s">
        <v>163</v>
      </c>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x14ac:dyDescent="0.3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x14ac:dyDescent="0.35">
      <c r="A280" s="7" t="s">
        <v>18</v>
      </c>
      <c r="B280" s="7"/>
      <c r="C280" s="7"/>
      <c r="D280" s="7"/>
      <c r="E280" s="7"/>
      <c r="F280" s="7"/>
      <c r="G280" s="7"/>
      <c r="H280" s="7"/>
      <c r="I280" s="8" t="s">
        <v>62</v>
      </c>
      <c r="J280" s="7"/>
      <c r="K280" s="7"/>
      <c r="L280" s="42" t="s">
        <v>74</v>
      </c>
      <c r="M280" s="7"/>
      <c r="N280" s="8" t="s">
        <v>72</v>
      </c>
      <c r="O280" s="15"/>
      <c r="P280" s="15"/>
      <c r="Q280" s="7"/>
      <c r="R280" s="7"/>
      <c r="S280" s="7"/>
      <c r="T280" s="7"/>
      <c r="U280" s="7"/>
      <c r="V280" s="7"/>
      <c r="W280" s="7"/>
      <c r="X280" s="7"/>
      <c r="Y280" s="7"/>
      <c r="Z280" s="7"/>
    </row>
    <row r="281" spans="1:26" x14ac:dyDescent="0.35">
      <c r="A281" s="7"/>
      <c r="B281" s="15" t="s">
        <v>117</v>
      </c>
      <c r="C281" s="7"/>
      <c r="D281" s="7"/>
      <c r="E281" s="7"/>
      <c r="F281" s="7"/>
      <c r="G281" s="7"/>
      <c r="H281" s="7"/>
      <c r="I281" s="19">
        <f t="shared" ref="I281:I286" ca="1" si="0">L281+N281</f>
        <v>3040.742991951342</v>
      </c>
      <c r="J281" s="19"/>
      <c r="K281" s="19"/>
      <c r="L281" s="19">
        <f>O294</f>
        <v>2153.3555899999997</v>
      </c>
      <c r="M281" s="19"/>
      <c r="N281" s="19">
        <f ca="1">O296</f>
        <v>887.38740195134221</v>
      </c>
      <c r="O281" s="7"/>
      <c r="P281" s="15"/>
      <c r="Q281" s="7"/>
      <c r="R281" s="7"/>
      <c r="S281" s="7"/>
      <c r="T281" s="7"/>
      <c r="U281" s="7"/>
      <c r="V281" s="7"/>
      <c r="W281" s="7"/>
      <c r="X281" s="7"/>
      <c r="Y281" s="7"/>
      <c r="Z281" s="7"/>
    </row>
    <row r="282" spans="1:26" x14ac:dyDescent="0.35">
      <c r="A282" s="7"/>
      <c r="B282" s="15" t="s">
        <v>246</v>
      </c>
      <c r="C282" s="7"/>
      <c r="D282" s="7"/>
      <c r="E282" s="7"/>
      <c r="F282" s="7"/>
      <c r="G282" s="7"/>
      <c r="H282" s="7"/>
      <c r="I282" s="19">
        <f t="shared" ca="1" si="0"/>
        <v>-232.68482024329074</v>
      </c>
      <c r="J282" s="24" t="s">
        <v>245</v>
      </c>
      <c r="K282" s="19"/>
      <c r="L282" s="19">
        <f ca="1">G305*L36/100+G306*G43/100*(1-L272)</f>
        <v>-231.23165852077017</v>
      </c>
      <c r="M282" s="19"/>
      <c r="N282" s="19">
        <f ca="1">I305*N36/100+I306*I43/100*(1-N272)</f>
        <v>-1.4531617225205729</v>
      </c>
      <c r="O282" s="7"/>
      <c r="P282" s="15"/>
      <c r="Q282" s="7"/>
      <c r="R282" s="7"/>
      <c r="S282" s="7"/>
      <c r="T282" s="7"/>
      <c r="U282" s="7"/>
      <c r="V282" s="7"/>
      <c r="W282" s="7"/>
      <c r="X282" s="7"/>
      <c r="Y282" s="7"/>
      <c r="Z282" s="7"/>
    </row>
    <row r="283" spans="1:26" x14ac:dyDescent="0.35">
      <c r="A283" s="7"/>
      <c r="B283" s="15" t="s">
        <v>118</v>
      </c>
      <c r="C283" s="7"/>
      <c r="D283" s="7"/>
      <c r="E283" s="7"/>
      <c r="F283" s="7"/>
      <c r="G283" s="7"/>
      <c r="H283" s="7"/>
      <c r="I283" s="19">
        <f t="shared" ca="1" si="0"/>
        <v>-23.082726019357086</v>
      </c>
      <c r="J283" s="24" t="s">
        <v>247</v>
      </c>
      <c r="K283" s="19"/>
      <c r="L283" s="19">
        <f ca="1">L305*L43/100+L306*G43/100</f>
        <v>-18.638503889094842</v>
      </c>
      <c r="M283" s="19"/>
      <c r="N283" s="19">
        <f ca="1">N305*N43/100+N306*I43/100</f>
        <v>-4.4442221302622444</v>
      </c>
      <c r="P283" s="15"/>
      <c r="Q283" s="15"/>
      <c r="R283" s="7"/>
      <c r="S283" s="7"/>
      <c r="T283" s="7"/>
      <c r="U283" s="7"/>
      <c r="V283" s="7"/>
      <c r="W283" s="7"/>
      <c r="X283" s="7"/>
      <c r="Y283" s="7"/>
      <c r="Z283" s="7"/>
    </row>
    <row r="284" spans="1:26" x14ac:dyDescent="0.35">
      <c r="A284" s="7"/>
      <c r="B284" s="15" t="s">
        <v>119</v>
      </c>
      <c r="C284" s="7"/>
      <c r="D284" s="7"/>
      <c r="E284" s="7"/>
      <c r="F284" s="7"/>
      <c r="G284" s="7"/>
      <c r="H284" s="7"/>
      <c r="I284" s="19">
        <f t="shared" ca="1" si="0"/>
        <v>187.58037068375484</v>
      </c>
      <c r="J284" s="24" t="s">
        <v>247</v>
      </c>
      <c r="K284" s="19"/>
      <c r="L284" s="19">
        <f ca="1">L305*L44/100</f>
        <v>165.13391255036299</v>
      </c>
      <c r="M284" s="19"/>
      <c r="N284" s="19">
        <f ca="1">N305*N44/100</f>
        <v>22.446458133391847</v>
      </c>
      <c r="P284" s="15"/>
      <c r="Q284" s="15"/>
      <c r="R284" s="7"/>
      <c r="S284" s="7"/>
      <c r="T284" s="7"/>
      <c r="U284" s="7"/>
      <c r="V284" s="7"/>
      <c r="W284" s="7"/>
      <c r="X284" s="7"/>
      <c r="Y284" s="7"/>
      <c r="Z284" s="7"/>
    </row>
    <row r="285" spans="1:26" x14ac:dyDescent="0.35">
      <c r="A285" s="7"/>
      <c r="B285" s="15" t="s">
        <v>120</v>
      </c>
      <c r="C285" s="7"/>
      <c r="D285" s="7"/>
      <c r="E285" s="7"/>
      <c r="F285" s="7"/>
      <c r="G285" s="7"/>
      <c r="H285" s="7"/>
      <c r="I285" s="19">
        <f t="shared" ca="1" si="0"/>
        <v>262.34584618687711</v>
      </c>
      <c r="J285" s="24" t="s">
        <v>247</v>
      </c>
      <c r="K285" s="19"/>
      <c r="L285" s="19">
        <f ca="1">L305*L45/100</f>
        <v>210.07395810926582</v>
      </c>
      <c r="M285" s="19"/>
      <c r="N285" s="19">
        <f ca="1">N305*N45/100</f>
        <v>52.271888077611266</v>
      </c>
      <c r="P285" s="15"/>
      <c r="Q285" s="15"/>
      <c r="R285" s="7"/>
      <c r="S285" s="7"/>
      <c r="T285" s="7"/>
      <c r="U285" s="7"/>
      <c r="V285" s="7"/>
      <c r="W285" s="7"/>
      <c r="X285" s="7"/>
      <c r="Y285" s="7"/>
      <c r="Z285" s="7"/>
    </row>
    <row r="286" spans="1:26" x14ac:dyDescent="0.35">
      <c r="A286" s="7"/>
      <c r="B286" s="15" t="s">
        <v>121</v>
      </c>
      <c r="C286" s="7"/>
      <c r="D286" s="7"/>
      <c r="E286" s="7"/>
      <c r="F286" s="7"/>
      <c r="G286" s="7"/>
      <c r="H286" s="7"/>
      <c r="I286" s="19">
        <f t="shared" ca="1" si="0"/>
        <v>2381.2146808567763</v>
      </c>
      <c r="J286" s="19"/>
      <c r="K286" s="19"/>
      <c r="L286" s="19">
        <f ca="1">L281+L282-SUM(L283:L285)</f>
        <v>1565.5545647086956</v>
      </c>
      <c r="M286" s="19"/>
      <c r="N286" s="19">
        <f ca="1">N281+N282-SUM(N283:N285)</f>
        <v>815.66011614808076</v>
      </c>
      <c r="O286" s="7"/>
      <c r="P286" s="15"/>
      <c r="Q286" s="7"/>
      <c r="R286" s="7"/>
      <c r="S286" s="7"/>
      <c r="T286" s="7"/>
      <c r="U286" s="7"/>
      <c r="V286" s="7"/>
      <c r="W286" s="7"/>
      <c r="X286" s="7"/>
      <c r="Y286" s="7"/>
      <c r="Z286" s="7"/>
    </row>
    <row r="287" spans="1:26" x14ac:dyDescent="0.35">
      <c r="A287" s="7"/>
      <c r="B287" s="15"/>
      <c r="C287" s="15" t="s">
        <v>123</v>
      </c>
      <c r="D287" s="7"/>
      <c r="E287" s="7"/>
      <c r="F287" s="7"/>
      <c r="G287" s="7"/>
      <c r="H287" s="7"/>
      <c r="I287" s="44">
        <v>0</v>
      </c>
      <c r="J287" s="19"/>
      <c r="K287" s="19"/>
      <c r="L287" s="19"/>
      <c r="M287" s="19"/>
      <c r="N287" s="19"/>
      <c r="O287" s="7"/>
      <c r="P287" s="15"/>
      <c r="Q287" s="7"/>
      <c r="R287" s="7"/>
      <c r="S287" s="7"/>
      <c r="T287" s="7"/>
      <c r="U287" s="7"/>
      <c r="V287" s="7"/>
      <c r="W287" s="7"/>
      <c r="X287" s="7"/>
    </row>
    <row r="288" spans="1:26" x14ac:dyDescent="0.35">
      <c r="A288" s="7"/>
      <c r="B288" s="15"/>
      <c r="C288" s="15" t="s">
        <v>122</v>
      </c>
      <c r="D288" s="7"/>
      <c r="E288" s="7"/>
      <c r="F288" s="7"/>
      <c r="G288" s="7"/>
      <c r="H288" s="7"/>
      <c r="I288" s="19">
        <f ca="1">I286-I287</f>
        <v>2381.2146808567763</v>
      </c>
      <c r="J288" s="19"/>
      <c r="K288" s="19"/>
      <c r="L288" s="19">
        <f ca="1">I288*L270</f>
        <v>1595.4138361740402</v>
      </c>
      <c r="M288" s="19"/>
      <c r="N288" s="19">
        <f ca="1">I288*N270</f>
        <v>785.80084468273606</v>
      </c>
      <c r="O288" s="7"/>
      <c r="P288" s="24"/>
      <c r="Q288" s="7"/>
      <c r="R288" s="7"/>
      <c r="S288" s="7"/>
      <c r="T288" s="7"/>
      <c r="U288" s="7"/>
      <c r="V288" s="7"/>
      <c r="W288" s="7"/>
      <c r="X288" s="7"/>
    </row>
    <row r="289" spans="1:34" x14ac:dyDescent="0.35">
      <c r="A289" s="7"/>
      <c r="B289" s="7"/>
      <c r="C289" s="7"/>
      <c r="D289" s="7"/>
      <c r="E289" s="7"/>
      <c r="F289" s="7"/>
      <c r="G289" s="7"/>
      <c r="H289" s="7"/>
      <c r="I289" s="7"/>
      <c r="J289" s="7"/>
      <c r="K289" s="7"/>
      <c r="L289" s="7"/>
      <c r="M289" s="7"/>
      <c r="N289" s="7"/>
      <c r="O289" s="7"/>
      <c r="S289" s="15"/>
      <c r="T289" s="7"/>
      <c r="U289" s="7"/>
      <c r="V289" s="7"/>
      <c r="W289" s="7"/>
      <c r="X289" s="7"/>
      <c r="Y289" s="7"/>
      <c r="Z289" s="7"/>
    </row>
    <row r="290" spans="1:34" x14ac:dyDescent="0.35">
      <c r="A290" s="15" t="s">
        <v>160</v>
      </c>
      <c r="B290" s="7"/>
      <c r="C290" s="7"/>
      <c r="D290" s="7"/>
      <c r="E290" s="7"/>
      <c r="F290" s="7"/>
      <c r="G290" s="15"/>
      <c r="H290" s="7"/>
      <c r="I290" s="7"/>
      <c r="J290" s="7"/>
      <c r="K290" s="7"/>
      <c r="L290" s="7"/>
      <c r="M290" s="7"/>
      <c r="N290" s="7"/>
      <c r="O290" s="7"/>
      <c r="P290" s="7"/>
      <c r="Q290" s="7"/>
      <c r="S290" s="15"/>
      <c r="T290" s="7"/>
      <c r="U290" s="7"/>
      <c r="V290" s="7"/>
      <c r="W290" s="7"/>
      <c r="X290" s="7"/>
      <c r="Y290" s="7"/>
      <c r="Z290" s="7"/>
    </row>
    <row r="291" spans="1:34" x14ac:dyDescent="0.35">
      <c r="A291" s="7"/>
      <c r="B291" s="7"/>
      <c r="C291" s="7"/>
      <c r="D291" s="7"/>
      <c r="E291" s="38" t="s">
        <v>161</v>
      </c>
      <c r="F291" s="7"/>
      <c r="G291" s="7"/>
      <c r="H291" s="7"/>
      <c r="I291" s="45" t="s">
        <v>162</v>
      </c>
      <c r="J291" s="6"/>
      <c r="K291" s="7"/>
      <c r="L291" s="7"/>
      <c r="M291" s="7"/>
      <c r="N291" s="7"/>
      <c r="O291" s="46" t="s">
        <v>124</v>
      </c>
      <c r="S291" s="15"/>
      <c r="T291" s="7"/>
      <c r="U291" s="7"/>
      <c r="V291" s="7"/>
      <c r="W291" s="7"/>
      <c r="X291" s="7"/>
      <c r="Y291" s="7"/>
      <c r="Z291" s="7"/>
    </row>
    <row r="292" spans="1:34" x14ac:dyDescent="0.35">
      <c r="A292" s="7"/>
      <c r="D292" s="7"/>
      <c r="E292" s="7" t="s">
        <v>56</v>
      </c>
      <c r="F292" s="7" t="s">
        <v>57</v>
      </c>
      <c r="G292" s="7" t="s">
        <v>49</v>
      </c>
      <c r="H292" s="7"/>
      <c r="K292" s="7" t="s">
        <v>56</v>
      </c>
      <c r="L292" s="7" t="s">
        <v>57</v>
      </c>
      <c r="M292" s="7" t="s">
        <v>49</v>
      </c>
      <c r="N292" s="27"/>
      <c r="O292" s="7" t="s">
        <v>56</v>
      </c>
      <c r="P292" s="7" t="s">
        <v>57</v>
      </c>
      <c r="Q292" s="7" t="s">
        <v>49</v>
      </c>
      <c r="R292" s="15"/>
      <c r="S292" s="7"/>
      <c r="T292" s="7"/>
      <c r="U292" s="7"/>
      <c r="V292" s="7"/>
      <c r="W292" s="7"/>
      <c r="X292" s="7"/>
      <c r="Y292" s="7"/>
      <c r="Z292" s="7"/>
      <c r="AA292" s="7"/>
      <c r="AB292" s="7"/>
      <c r="AC292" s="7"/>
      <c r="AD292" s="7"/>
      <c r="AE292" s="7"/>
      <c r="AF292" s="7"/>
    </row>
    <row r="293" spans="1:34" x14ac:dyDescent="0.35">
      <c r="A293" s="7"/>
      <c r="B293" s="15" t="s">
        <v>70</v>
      </c>
      <c r="C293" s="7"/>
      <c r="D293" s="7"/>
      <c r="E293" s="19">
        <f ca="1">K293-O293</f>
        <v>1124.6057902432908</v>
      </c>
      <c r="F293" s="19">
        <f ca="1">L293-P293</f>
        <v>211.3100060193571</v>
      </c>
      <c r="G293" s="19">
        <f ca="1">E293-F293</f>
        <v>913.29578422393365</v>
      </c>
      <c r="H293" s="7"/>
      <c r="I293" s="6" t="s">
        <v>70</v>
      </c>
      <c r="J293" s="6"/>
      <c r="K293" s="43">
        <f>E25</f>
        <v>891.92097000000001</v>
      </c>
      <c r="L293" s="43">
        <f>C25</f>
        <v>188.22728000000001</v>
      </c>
      <c r="M293" s="19">
        <f>K293-L293</f>
        <v>703.69369000000006</v>
      </c>
      <c r="N293" s="27"/>
      <c r="O293" s="25">
        <f ca="1">I282</f>
        <v>-232.68482024329074</v>
      </c>
      <c r="P293" s="25">
        <f ca="1">I283</f>
        <v>-23.082726019357086</v>
      </c>
      <c r="Q293" s="23">
        <f ca="1">M293-G293</f>
        <v>-209.60209422393359</v>
      </c>
      <c r="R293" s="7"/>
      <c r="S293" s="7"/>
      <c r="T293" s="7"/>
      <c r="U293" s="7"/>
      <c r="V293" s="7"/>
      <c r="W293" s="7"/>
      <c r="X293" s="7"/>
      <c r="Y293" s="7"/>
      <c r="Z293" s="7"/>
      <c r="AA293" s="7"/>
      <c r="AB293" s="7"/>
      <c r="AC293" s="7"/>
      <c r="AD293" s="7"/>
      <c r="AE293" s="7"/>
      <c r="AF293" s="7"/>
    </row>
    <row r="294" spans="1:34" x14ac:dyDescent="0.35">
      <c r="A294" s="7"/>
      <c r="B294" s="15" t="s">
        <v>127</v>
      </c>
      <c r="C294" s="7"/>
      <c r="D294" s="7"/>
      <c r="E294" s="19">
        <v>0</v>
      </c>
      <c r="F294" s="19">
        <f ca="1">L294-P294</f>
        <v>507.72652314220545</v>
      </c>
      <c r="G294" s="19">
        <f ca="1">E294-F294</f>
        <v>-507.72652314220545</v>
      </c>
      <c r="H294" s="7"/>
      <c r="I294" s="6" t="s">
        <v>71</v>
      </c>
      <c r="J294" s="6"/>
      <c r="K294" s="43">
        <f>E26</f>
        <v>2153.3555899999997</v>
      </c>
      <c r="L294" s="43">
        <f>C26</f>
        <v>2290.7207300000005</v>
      </c>
      <c r="M294" s="19">
        <f>K294-L294</f>
        <v>-137.36514000000079</v>
      </c>
      <c r="N294" s="27"/>
      <c r="O294" s="25">
        <f>K294-E294</f>
        <v>2153.3555899999997</v>
      </c>
      <c r="P294" s="25">
        <f ca="1">L288+I284</f>
        <v>1782.994206857795</v>
      </c>
      <c r="Q294" s="23">
        <f ca="1">M294-G294</f>
        <v>370.36138314220466</v>
      </c>
      <c r="R294" s="7"/>
      <c r="S294" s="7"/>
      <c r="T294" s="7"/>
      <c r="U294" s="7"/>
      <c r="V294" s="7"/>
      <c r="W294" s="7"/>
      <c r="X294" s="7"/>
      <c r="Y294" s="7"/>
      <c r="Z294" s="7"/>
      <c r="AA294" s="7"/>
      <c r="AB294" s="7"/>
      <c r="AC294" s="7"/>
      <c r="AD294" s="7"/>
      <c r="AE294" s="7"/>
      <c r="AF294" s="7"/>
    </row>
    <row r="295" spans="1:34" x14ac:dyDescent="0.35">
      <c r="A295" s="7"/>
      <c r="B295" s="7" t="s">
        <v>28</v>
      </c>
      <c r="C295" s="7"/>
      <c r="D295" s="7"/>
      <c r="E295" s="19">
        <f>E294</f>
        <v>0</v>
      </c>
      <c r="F295" s="19">
        <f ca="1">G293*L270*L269</f>
        <v>0</v>
      </c>
      <c r="G295" s="24"/>
      <c r="H295" s="15"/>
      <c r="I295" s="15"/>
      <c r="J295" s="7"/>
      <c r="K295" s="25">
        <f>K294</f>
        <v>2153.3555899999997</v>
      </c>
      <c r="L295" s="7">
        <v>0</v>
      </c>
      <c r="M295" s="19"/>
      <c r="N295" s="7"/>
      <c r="O295" s="25">
        <f>K295-E295</f>
        <v>2153.3555899999997</v>
      </c>
      <c r="P295" s="25">
        <f ca="1">L295-F295</f>
        <v>0</v>
      </c>
      <c r="R295" s="7"/>
      <c r="S295" s="7"/>
      <c r="T295" s="7"/>
      <c r="U295" s="7"/>
      <c r="V295" s="7"/>
      <c r="W295" s="7"/>
      <c r="X295" s="7"/>
      <c r="Y295" s="7"/>
      <c r="Z295" s="7"/>
      <c r="AA295" s="7"/>
      <c r="AB295" s="7"/>
      <c r="AC295" s="7"/>
      <c r="AD295" s="7"/>
      <c r="AE295" s="7"/>
      <c r="AF295" s="7"/>
    </row>
    <row r="296" spans="1:34" x14ac:dyDescent="0.35">
      <c r="A296" s="7"/>
      <c r="B296" s="15" t="s">
        <v>128</v>
      </c>
      <c r="C296" s="7"/>
      <c r="D296" s="7"/>
      <c r="E296" s="19">
        <f ca="1">E293*2*L272</f>
        <v>224.92115804865819</v>
      </c>
      <c r="F296" s="19">
        <f ca="1">L296-P296</f>
        <v>147.81337913038692</v>
      </c>
      <c r="G296" s="19">
        <f ca="1">E296-F296</f>
        <v>77.107778918271265</v>
      </c>
      <c r="H296" s="7"/>
      <c r="I296" s="6" t="s">
        <v>72</v>
      </c>
      <c r="J296" s="6"/>
      <c r="K296" s="43">
        <f>E27</f>
        <v>1112.3085600000004</v>
      </c>
      <c r="L296" s="43">
        <f>C27</f>
        <v>1195.9600700000001</v>
      </c>
      <c r="M296" s="19">
        <f>K296-L296</f>
        <v>-83.651509999999689</v>
      </c>
      <c r="N296" s="27"/>
      <c r="O296" s="25">
        <f ca="1">K296-E296</f>
        <v>887.38740195134221</v>
      </c>
      <c r="P296" s="25">
        <f ca="1">N288+I285</f>
        <v>1048.1466908696132</v>
      </c>
      <c r="Q296" s="23">
        <f ca="1">M296-G296</f>
        <v>-160.75928891827095</v>
      </c>
      <c r="R296" s="15"/>
      <c r="S296" s="7"/>
      <c r="T296" s="7"/>
      <c r="U296" s="7"/>
      <c r="V296" s="7"/>
      <c r="W296" s="7"/>
      <c r="X296" s="7"/>
      <c r="Y296" s="7"/>
      <c r="Z296" s="7"/>
      <c r="AA296" s="7"/>
      <c r="AB296" s="7"/>
      <c r="AC296" s="7"/>
      <c r="AD296" s="7"/>
      <c r="AE296" s="7"/>
      <c r="AF296" s="7"/>
      <c r="AG296" s="7"/>
      <c r="AH296" s="7"/>
    </row>
    <row r="297" spans="1:34" x14ac:dyDescent="0.35">
      <c r="A297" s="7"/>
      <c r="B297" s="7" t="s">
        <v>28</v>
      </c>
      <c r="C297" s="7"/>
      <c r="D297" s="7"/>
      <c r="E297" s="19">
        <f ca="1">E296</f>
        <v>224.92115804865819</v>
      </c>
      <c r="F297" s="19">
        <f ca="1">G293*N270*N269</f>
        <v>0</v>
      </c>
      <c r="G297" s="19"/>
      <c r="H297" s="7"/>
      <c r="I297" s="6"/>
      <c r="J297" s="6"/>
      <c r="K297" s="43">
        <f>K296</f>
        <v>1112.3085600000004</v>
      </c>
      <c r="L297" s="43">
        <v>0</v>
      </c>
      <c r="M297" s="19"/>
      <c r="N297" s="27"/>
      <c r="O297" s="25">
        <f ca="1">K297-E297</f>
        <v>887.38740195134221</v>
      </c>
      <c r="P297" s="25">
        <f ca="1">L297-F297</f>
        <v>0</v>
      </c>
      <c r="Q297" s="23"/>
    </row>
    <row r="298" spans="1:34" x14ac:dyDescent="0.35">
      <c r="A298" s="7"/>
      <c r="B298" s="15" t="s">
        <v>62</v>
      </c>
      <c r="C298" s="7"/>
      <c r="D298" s="7"/>
      <c r="E298" s="19">
        <f ca="1">E293+E294+E296</f>
        <v>1349.5269482919489</v>
      </c>
      <c r="F298" s="19">
        <f ca="1">F293+F294+F296</f>
        <v>866.84990829194953</v>
      </c>
      <c r="G298" s="19">
        <f ca="1">G293+G294+G296</f>
        <v>482.67703999999947</v>
      </c>
      <c r="H298" s="15"/>
      <c r="I298" s="6" t="s">
        <v>62</v>
      </c>
      <c r="J298" s="6"/>
      <c r="K298" s="43">
        <f>E28</f>
        <v>4157.5851399999992</v>
      </c>
      <c r="L298" s="43">
        <f>C28</f>
        <v>3674.9081299999998</v>
      </c>
      <c r="M298" s="19">
        <f>K298-L298</f>
        <v>482.67700999999943</v>
      </c>
      <c r="N298" s="27"/>
      <c r="O298" s="25">
        <f ca="1">K298-E298</f>
        <v>2808.0581917080503</v>
      </c>
      <c r="P298" s="23">
        <f ca="1">L298-F298</f>
        <v>2808.05822170805</v>
      </c>
      <c r="Q298" s="23">
        <f ca="1">M298-G298</f>
        <v>-3.0000000037944119E-5</v>
      </c>
    </row>
    <row r="299" spans="1:34" x14ac:dyDescent="0.35">
      <c r="A299" s="7"/>
      <c r="B299" s="7"/>
      <c r="C299" s="7"/>
      <c r="D299" s="7"/>
      <c r="E299" s="7"/>
      <c r="F299" s="7"/>
      <c r="G299" s="7"/>
      <c r="H299" s="7"/>
      <c r="I299" s="7"/>
      <c r="J299" s="7"/>
      <c r="K299" s="7"/>
      <c r="L299" s="7"/>
      <c r="M299" s="7"/>
      <c r="N299" s="7"/>
      <c r="O299" s="7"/>
    </row>
    <row r="300" spans="1:34" x14ac:dyDescent="0.35">
      <c r="A300" s="7" t="s">
        <v>50</v>
      </c>
      <c r="B300" s="7"/>
      <c r="C300" s="7"/>
      <c r="D300" s="7"/>
      <c r="E300" s="7"/>
      <c r="F300" s="7"/>
      <c r="G300" s="7"/>
      <c r="H300" s="7"/>
      <c r="I300" s="15"/>
      <c r="J300" s="7"/>
      <c r="K300" s="7"/>
      <c r="L300" s="7"/>
      <c r="M300" s="7"/>
      <c r="N300" s="7"/>
      <c r="O300" s="7"/>
    </row>
    <row r="301" spans="1:34" x14ac:dyDescent="0.35">
      <c r="A301" s="7"/>
      <c r="B301" s="7"/>
      <c r="C301" s="7"/>
      <c r="D301" s="7"/>
      <c r="E301" s="7"/>
      <c r="F301" s="7"/>
      <c r="G301" s="7"/>
      <c r="H301" s="7"/>
      <c r="I301" s="7"/>
      <c r="J301" s="7"/>
      <c r="K301" s="7"/>
      <c r="L301" s="7"/>
      <c r="M301" s="7"/>
      <c r="N301" s="7"/>
      <c r="O301" s="7"/>
    </row>
    <row r="302" spans="1:34" x14ac:dyDescent="0.35">
      <c r="A302" s="15" t="s">
        <v>125</v>
      </c>
      <c r="B302" s="7"/>
      <c r="C302" s="7"/>
      <c r="D302" s="7"/>
      <c r="E302" s="7"/>
      <c r="F302" s="7"/>
      <c r="G302" s="7" t="s">
        <v>53</v>
      </c>
      <c r="H302" s="7"/>
      <c r="I302" s="7" t="s">
        <v>53</v>
      </c>
      <c r="J302" s="7"/>
      <c r="K302" s="7"/>
      <c r="L302" s="7" t="s">
        <v>54</v>
      </c>
      <c r="M302" s="7"/>
      <c r="N302" s="7" t="s">
        <v>54</v>
      </c>
      <c r="O302" s="7"/>
    </row>
    <row r="303" spans="1:34" x14ac:dyDescent="0.35">
      <c r="A303" s="7"/>
      <c r="B303" s="7"/>
      <c r="C303" s="7"/>
      <c r="D303" s="7"/>
      <c r="E303" s="7"/>
      <c r="F303" s="7"/>
      <c r="G303" s="7" t="s">
        <v>52</v>
      </c>
      <c r="H303" s="7"/>
      <c r="I303" s="7" t="s">
        <v>52</v>
      </c>
      <c r="J303" s="7"/>
      <c r="K303" s="7"/>
      <c r="L303" s="7" t="s">
        <v>52</v>
      </c>
      <c r="M303" s="7"/>
      <c r="N303" s="7" t="s">
        <v>52</v>
      </c>
      <c r="O303" s="7"/>
    </row>
    <row r="304" spans="1:34" x14ac:dyDescent="0.35">
      <c r="A304" s="7"/>
      <c r="B304" s="7"/>
      <c r="C304" s="7"/>
      <c r="D304" s="7"/>
      <c r="E304" s="7"/>
      <c r="F304" s="7"/>
      <c r="G304" s="15" t="s">
        <v>59</v>
      </c>
      <c r="H304" s="7"/>
      <c r="I304" s="15" t="s">
        <v>72</v>
      </c>
      <c r="J304" s="7"/>
      <c r="K304" s="7"/>
      <c r="L304" s="15" t="s">
        <v>59</v>
      </c>
      <c r="M304" s="7"/>
      <c r="N304" s="15" t="s">
        <v>72</v>
      </c>
      <c r="O304" s="7"/>
    </row>
    <row r="305" spans="1:29" x14ac:dyDescent="0.35">
      <c r="A305" s="15" t="s">
        <v>131</v>
      </c>
      <c r="B305" s="7"/>
      <c r="C305" s="7"/>
      <c r="D305" s="7"/>
      <c r="E305" s="7"/>
      <c r="F305" s="7"/>
      <c r="G305" s="16">
        <f ca="1">(-F295/G228-L267*O295*(EXP(-L268*LN(G228/((1+L272)*(1+L274))))))*(1-L271)</f>
        <v>-1791.5801271129624</v>
      </c>
      <c r="H305" s="16"/>
      <c r="I305" s="16">
        <f ca="1">(-F297/I228-N267*O297*(EXP(-N268*LN(I228/((1+N272)*(1+N274))))))*(1-N271)</f>
        <v>-328.48950581666747</v>
      </c>
      <c r="J305" s="16"/>
      <c r="K305" s="7"/>
      <c r="L305" s="16">
        <f ca="1">((F295/G228*EXP(-L268*LN(1/(G228*(1+L272)*(1+L273)))))+O295+N305*N37/L37+N306*I37/G37)*(1-L271)</f>
        <v>2121.2898045213319</v>
      </c>
      <c r="M305" s="14"/>
      <c r="N305" s="16">
        <f ca="1">((F297/I228*EXP(-N268*LN(1/(I228*(1+N272)*(1+N273)))))+O297+L305*L38/N38+L306*G38/I38)*(1-N271)</f>
        <v>1129.8843591761402</v>
      </c>
      <c r="O305" s="14"/>
      <c r="P305" s="204"/>
      <c r="Q305" s="7"/>
      <c r="R305" s="7"/>
      <c r="S305" s="7"/>
      <c r="T305" s="7"/>
      <c r="U305" s="7"/>
      <c r="V305" s="7"/>
      <c r="W305" s="7"/>
      <c r="X305" s="7"/>
      <c r="Y305" s="7"/>
      <c r="Z305" s="7"/>
      <c r="AA305" s="7"/>
      <c r="AB305" s="7"/>
      <c r="AC305" s="7"/>
    </row>
    <row r="306" spans="1:29" x14ac:dyDescent="0.35">
      <c r="A306" s="15" t="s">
        <v>132</v>
      </c>
      <c r="B306" s="7"/>
      <c r="C306" s="7"/>
      <c r="D306" s="7"/>
      <c r="E306" s="7"/>
      <c r="F306" s="7"/>
      <c r="G306" s="16">
        <f ca="1">((1-L272)*P294+I306*I37/G37+I305*N37/L37)*(1-L271)</f>
        <v>1533.355394858512</v>
      </c>
      <c r="H306" s="16"/>
      <c r="I306" s="16">
        <f ca="1">((1-N272)*P296+G306*G38/I38+G305*L38/N38)*(1-N271)</f>
        <v>946.85718588031284</v>
      </c>
      <c r="J306" s="16"/>
      <c r="K306" s="7"/>
      <c r="L306" s="16">
        <f ca="1">-L275*P294*(1-L271)</f>
        <v>-827.30931198201688</v>
      </c>
      <c r="M306" s="7"/>
      <c r="N306" s="16">
        <f ca="1">-N275*P296*(1-N271)</f>
        <v>-496.82153147219663</v>
      </c>
      <c r="P306" s="205"/>
      <c r="Q306" s="7"/>
      <c r="R306" s="7"/>
      <c r="S306" s="7"/>
      <c r="T306" s="7"/>
      <c r="U306" s="7"/>
      <c r="V306" s="7"/>
      <c r="W306" s="7"/>
      <c r="X306" s="7"/>
      <c r="Y306" s="7"/>
      <c r="Z306" s="7"/>
      <c r="AA306" s="7"/>
      <c r="AB306" s="7"/>
      <c r="AC306" s="7"/>
    </row>
    <row r="307" spans="1:29" x14ac:dyDescent="0.35">
      <c r="A307" s="7" t="s">
        <v>35</v>
      </c>
      <c r="B307" s="7"/>
      <c r="C307" s="7"/>
      <c r="D307" s="7"/>
      <c r="E307" s="7"/>
      <c r="F307" s="7"/>
      <c r="G307" s="16">
        <f ca="1">G305*G228+G306</f>
        <v>-1016.5099389521745</v>
      </c>
      <c r="H307" s="7"/>
      <c r="I307" s="16">
        <f ca="1">I305*I228+I306</f>
        <v>330.70538002299645</v>
      </c>
      <c r="J307" s="7"/>
      <c r="K307" s="7"/>
      <c r="L307" s="16">
        <f ca="1">L305+L306*L228</f>
        <v>1487.4678274342973</v>
      </c>
      <c r="M307" s="7"/>
      <c r="N307" s="16">
        <f ca="1">N305+N306*N228</f>
        <v>788.11381062616556</v>
      </c>
      <c r="O307" s="7"/>
    </row>
    <row r="308" spans="1:29" x14ac:dyDescent="0.35">
      <c r="A308" s="7"/>
      <c r="B308" s="7"/>
      <c r="C308" s="7"/>
      <c r="D308" s="7"/>
      <c r="E308" s="7"/>
      <c r="F308" s="7"/>
      <c r="G308" s="7"/>
      <c r="H308" s="7"/>
      <c r="I308" s="7"/>
      <c r="J308" s="7"/>
      <c r="K308" s="7"/>
      <c r="L308" s="7"/>
      <c r="M308" s="7"/>
      <c r="N308" s="7"/>
      <c r="O308" s="7"/>
    </row>
    <row r="309" spans="1:29" x14ac:dyDescent="0.35">
      <c r="A309" s="15" t="s">
        <v>126</v>
      </c>
      <c r="B309" s="7"/>
      <c r="C309" s="7"/>
      <c r="D309" s="7"/>
      <c r="E309" s="7"/>
      <c r="F309" s="7"/>
      <c r="G309" s="7"/>
      <c r="H309" s="7"/>
      <c r="I309" s="7"/>
      <c r="J309" s="7"/>
      <c r="K309" s="7"/>
      <c r="L309" s="7"/>
      <c r="M309" s="7"/>
      <c r="N309" s="7"/>
      <c r="O309" s="7"/>
    </row>
    <row r="310" spans="1:29" x14ac:dyDescent="0.35">
      <c r="A310" s="7" t="s">
        <v>32</v>
      </c>
      <c r="B310" s="7"/>
      <c r="C310" s="7"/>
      <c r="D310" s="7"/>
      <c r="E310" s="7"/>
      <c r="F310" s="16"/>
      <c r="G310" s="16">
        <f ca="1">(G305*G226+G306*G176)/1000</f>
        <v>-719.54641113492289</v>
      </c>
      <c r="H310" s="16"/>
      <c r="I310" s="16">
        <f ca="1">(I305*I226+I306*I172)/1000</f>
        <v>279.94784553638999</v>
      </c>
      <c r="J310" s="16"/>
      <c r="K310" s="7"/>
      <c r="L310" s="16">
        <f ca="1">(L305*L176+L306*L226)/1000</f>
        <v>630.65429419654231</v>
      </c>
      <c r="M310" s="7"/>
      <c r="N310" s="16">
        <f ca="1">(N305*N172+N306*N226)/1000</f>
        <v>630.04487654153991</v>
      </c>
      <c r="O310" s="15"/>
      <c r="P310" s="7"/>
      <c r="Q310" s="7"/>
    </row>
    <row r="311" spans="1:29" x14ac:dyDescent="0.35">
      <c r="A311" s="7"/>
      <c r="B311" s="7"/>
      <c r="C311" s="7"/>
      <c r="D311" s="7"/>
      <c r="E311" s="7"/>
      <c r="F311" s="7"/>
      <c r="G311" s="7"/>
      <c r="H311" s="7"/>
      <c r="I311" s="7"/>
      <c r="J311" s="7"/>
      <c r="K311" s="7"/>
      <c r="L311" s="7"/>
      <c r="M311" s="7"/>
      <c r="N311" s="7"/>
      <c r="O311" s="7"/>
    </row>
    <row r="312" spans="1:29" x14ac:dyDescent="0.35">
      <c r="A312" s="7"/>
      <c r="B312" s="7"/>
      <c r="C312" s="7"/>
      <c r="D312" s="7"/>
      <c r="E312" s="7"/>
      <c r="F312" s="7"/>
      <c r="G312" s="7"/>
      <c r="H312" s="7"/>
      <c r="I312" s="7"/>
      <c r="J312" s="7"/>
      <c r="K312" s="7"/>
      <c r="L312" s="7"/>
      <c r="M312" s="7"/>
      <c r="N312" s="7"/>
      <c r="O312" s="7"/>
    </row>
    <row r="313" spans="1:29" x14ac:dyDescent="0.35">
      <c r="A313" s="29" t="s">
        <v>143</v>
      </c>
      <c r="B313" s="27"/>
      <c r="C313" s="27"/>
      <c r="D313" s="27"/>
      <c r="E313" s="27"/>
      <c r="F313" s="27"/>
      <c r="G313" s="27"/>
      <c r="H313" s="27"/>
      <c r="I313" s="27"/>
      <c r="J313" s="27"/>
      <c r="K313" s="27"/>
      <c r="L313" s="27"/>
      <c r="M313" s="27"/>
      <c r="N313" s="27"/>
      <c r="O313" s="27"/>
      <c r="P313" s="27"/>
      <c r="Q313" s="27"/>
      <c r="R313" s="7"/>
      <c r="S313" s="7"/>
      <c r="T313" s="7"/>
    </row>
    <row r="314" spans="1:29" x14ac:dyDescent="0.35">
      <c r="A314" s="27"/>
      <c r="B314" s="27"/>
      <c r="C314" s="27"/>
      <c r="D314" s="27"/>
      <c r="E314" s="27"/>
      <c r="F314" s="27"/>
      <c r="G314" s="27"/>
      <c r="H314" s="27"/>
      <c r="I314" s="27"/>
      <c r="J314" s="27"/>
      <c r="K314" s="27"/>
      <c r="L314" s="27"/>
      <c r="M314" s="27"/>
      <c r="N314" s="27"/>
      <c r="O314" s="27"/>
      <c r="P314" s="27"/>
      <c r="Q314" s="27"/>
      <c r="R314" s="7"/>
      <c r="S314" s="7"/>
      <c r="T314" s="7"/>
    </row>
    <row r="315" spans="1:29" x14ac:dyDescent="0.35">
      <c r="A315" s="27"/>
      <c r="B315" s="27"/>
      <c r="C315" s="27"/>
      <c r="D315" s="27"/>
      <c r="E315" s="27"/>
      <c r="F315" s="28" t="s">
        <v>59</v>
      </c>
      <c r="G315" s="27"/>
      <c r="H315" s="27"/>
      <c r="I315" s="28" t="s">
        <v>72</v>
      </c>
      <c r="J315" s="27"/>
      <c r="K315" s="27"/>
      <c r="L315" s="27"/>
      <c r="M315" s="28" t="s">
        <v>59</v>
      </c>
      <c r="N315" s="27"/>
      <c r="O315" s="27"/>
      <c r="P315" s="28" t="s">
        <v>72</v>
      </c>
      <c r="Q315" s="27"/>
      <c r="R315" s="7"/>
      <c r="S315" s="7"/>
      <c r="T315" s="7"/>
    </row>
    <row r="316" spans="1:29" x14ac:dyDescent="0.35">
      <c r="A316" s="27"/>
      <c r="B316" s="27"/>
      <c r="C316" s="27"/>
      <c r="D316" s="27"/>
      <c r="E316" s="27" t="s">
        <v>21</v>
      </c>
      <c r="F316" s="27"/>
      <c r="G316" s="27"/>
      <c r="H316" s="27" t="s">
        <v>21</v>
      </c>
      <c r="I316" s="27"/>
      <c r="J316" s="27"/>
      <c r="K316" s="27"/>
      <c r="L316" s="27" t="s">
        <v>31</v>
      </c>
      <c r="M316" s="27"/>
      <c r="N316" s="27"/>
      <c r="O316" s="27" t="s">
        <v>31</v>
      </c>
      <c r="P316" s="27"/>
      <c r="Q316" s="27"/>
      <c r="R316" s="7"/>
      <c r="S316" s="7"/>
      <c r="T316" s="7"/>
    </row>
    <row r="317" spans="1:29" x14ac:dyDescent="0.35">
      <c r="A317" s="27" t="s">
        <v>44</v>
      </c>
      <c r="B317" s="27"/>
      <c r="C317" s="27"/>
      <c r="D317" s="27"/>
      <c r="E317" s="27" t="s">
        <v>61</v>
      </c>
      <c r="F317" s="27" t="s">
        <v>58</v>
      </c>
      <c r="G317" s="27" t="s">
        <v>60</v>
      </c>
      <c r="H317" s="27" t="s">
        <v>61</v>
      </c>
      <c r="I317" s="27" t="s">
        <v>58</v>
      </c>
      <c r="J317" s="27" t="s">
        <v>60</v>
      </c>
      <c r="K317" s="27"/>
      <c r="L317" s="27" t="s">
        <v>61</v>
      </c>
      <c r="M317" s="27" t="s">
        <v>58</v>
      </c>
      <c r="N317" s="27" t="s">
        <v>60</v>
      </c>
      <c r="O317" s="27" t="s">
        <v>61</v>
      </c>
      <c r="P317" s="27" t="s">
        <v>58</v>
      </c>
      <c r="Q317" s="27" t="s">
        <v>60</v>
      </c>
      <c r="R317" s="7"/>
      <c r="S317" s="7"/>
      <c r="T317" s="7"/>
    </row>
    <row r="318" spans="1:29" x14ac:dyDescent="0.35">
      <c r="A318" s="27" t="s">
        <v>34</v>
      </c>
      <c r="B318" s="27"/>
      <c r="C318" s="27"/>
      <c r="D318" s="27"/>
      <c r="E318" s="27">
        <f ca="1">G306*G197/1000</f>
        <v>12.281401673177003</v>
      </c>
      <c r="F318" s="27">
        <f ca="1">G305*G252/1000</f>
        <v>-11.14270729260765</v>
      </c>
      <c r="G318" s="27">
        <f ca="1">(G305*G252+G306*G197)/1000</f>
        <v>1.1386943805693537</v>
      </c>
      <c r="H318" s="27">
        <f ca="1">I306*I197/1000</f>
        <v>12.905577316047188</v>
      </c>
      <c r="I318" s="27">
        <f ca="1">I305*I252/1000</f>
        <v>-5.6085347371911656</v>
      </c>
      <c r="J318" s="27">
        <f ca="1">(I305*I252+I306*I197)/1000</f>
        <v>7.2970425788560211</v>
      </c>
      <c r="K318" s="27"/>
      <c r="L318" s="27">
        <f ca="1">L306*L252/1000</f>
        <v>-7.0309865843857411</v>
      </c>
      <c r="M318" s="27">
        <f ca="1">L305*L197/1000</f>
        <v>12.052176605235299</v>
      </c>
      <c r="N318" s="27">
        <f ca="1">(L305*L197+L306*L252)/1000</f>
        <v>5.0211900208495583</v>
      </c>
      <c r="O318" s="27">
        <f ca="1">N306*N252/1000</f>
        <v>-7.1943396169969818</v>
      </c>
      <c r="P318" s="27">
        <f ca="1">N305*N197/1000</f>
        <v>17.383820952885493</v>
      </c>
      <c r="Q318" s="27">
        <f ca="1">(N305*N197+N306*N252)/1000</f>
        <v>10.189481335888511</v>
      </c>
      <c r="R318" s="7"/>
      <c r="S318" s="7"/>
      <c r="T318" s="7"/>
      <c r="U318" s="7"/>
    </row>
    <row r="319" spans="1:29" x14ac:dyDescent="0.35">
      <c r="A319" s="29" t="s">
        <v>244</v>
      </c>
      <c r="B319" s="27"/>
      <c r="C319" s="27"/>
      <c r="D319" s="27"/>
      <c r="E319" s="27">
        <f ca="1">G306*G196/1000</f>
        <v>0.7986825146138723</v>
      </c>
      <c r="F319" s="27">
        <f ca="1">G305*G251/1000</f>
        <v>-24.828908985693168</v>
      </c>
      <c r="G319" s="27">
        <f ca="1">(G305*G251+G306*G196)/1000</f>
        <v>-24.030226471079295</v>
      </c>
      <c r="H319" s="27">
        <f ca="1">I306*I196/1000</f>
        <v>0.92631096998574081</v>
      </c>
      <c r="I319" s="27">
        <f ca="1">I305*I251/1000</f>
        <v>-9.9102368394636411</v>
      </c>
      <c r="J319" s="27">
        <f ca="1">(I305*I251+I306*I196)/1000</f>
        <v>-8.9839258694779005</v>
      </c>
      <c r="K319" s="27"/>
      <c r="L319" s="27">
        <f ca="1">L306*L251/1000</f>
        <v>-0.71247636532323777</v>
      </c>
      <c r="M319" s="27">
        <f ca="1">L305*L196/1000</f>
        <v>45.757781146777603</v>
      </c>
      <c r="N319" s="27">
        <f ca="1">(L305*L196+L306*L251)/1000</f>
        <v>45.045304781454369</v>
      </c>
      <c r="O319" s="27">
        <f ca="1">N306*N251/1000</f>
        <v>-0.92643568237884522</v>
      </c>
      <c r="P319" s="27">
        <f ca="1">N305*N196/1000</f>
        <v>55.855222613498093</v>
      </c>
      <c r="Q319" s="27">
        <f ca="1">(N305*N196+N306*N251)/1000</f>
        <v>54.928786931119248</v>
      </c>
      <c r="R319" s="7"/>
      <c r="S319" s="7"/>
      <c r="T319" s="7"/>
      <c r="U319" s="7"/>
    </row>
    <row r="320" spans="1:29" x14ac:dyDescent="0.35">
      <c r="A320" s="27" t="s">
        <v>29</v>
      </c>
      <c r="B320" s="27"/>
      <c r="C320" s="27"/>
      <c r="D320" s="27"/>
      <c r="E320" s="27">
        <f ca="1">G306*G198/10</f>
        <v>1035.1935744076809</v>
      </c>
      <c r="F320" s="27">
        <f ca="1">G305*G253/10</f>
        <v>-1959.9776866158124</v>
      </c>
      <c r="G320" s="27">
        <f ca="1">G305/10*G253+G306/10*G198</f>
        <v>-924.78411220813155</v>
      </c>
      <c r="H320" s="27">
        <f ca="1">I306*I198/10</f>
        <v>2210.6314472140048</v>
      </c>
      <c r="I320" s="27">
        <f ca="1">I305*I253/10</f>
        <v>-1065.023827442714</v>
      </c>
      <c r="J320" s="27">
        <f ca="1">I305/10*I253+I306/10*I198</f>
        <v>1145.6076197712907</v>
      </c>
      <c r="K320" s="27"/>
      <c r="L320" s="27">
        <f ca="1">L306*L253/10*L188/100</f>
        <v>-311.66580563900118</v>
      </c>
      <c r="M320" s="27">
        <f ca="1">L305*L198/10*L188/100</f>
        <v>1114.8723558241252</v>
      </c>
      <c r="N320" s="27">
        <f ca="1">(L305*L198+L306*L253)/10*L188/100</f>
        <v>803.20655018512389</v>
      </c>
      <c r="O320" s="27">
        <f ca="1">N306*N253/10*N188/100</f>
        <v>-645.98305537458862</v>
      </c>
      <c r="P320" s="27">
        <f ca="1">N305*N198/10*N188/100</f>
        <v>1730.3997135934665</v>
      </c>
      <c r="Q320" s="27">
        <f ca="1">(N305*N198+N306*N253)/10*N188/100</f>
        <v>1084.4166582188777</v>
      </c>
      <c r="R320" s="7"/>
      <c r="S320" s="7"/>
      <c r="T320" s="7"/>
      <c r="U320" s="7"/>
    </row>
    <row r="321" spans="1:27" x14ac:dyDescent="0.35">
      <c r="A321" s="27"/>
      <c r="B321" s="27"/>
      <c r="C321" s="27"/>
      <c r="D321" s="27"/>
      <c r="E321" s="27"/>
      <c r="F321" s="27"/>
      <c r="G321" s="27"/>
      <c r="H321" s="27"/>
      <c r="I321" s="27"/>
      <c r="J321" s="27"/>
      <c r="K321" s="27"/>
      <c r="L321" s="27"/>
      <c r="M321" s="27"/>
      <c r="N321" s="27"/>
      <c r="O321" s="27"/>
      <c r="P321" s="27"/>
      <c r="Q321" s="27"/>
      <c r="R321" s="7"/>
      <c r="S321" s="7"/>
      <c r="T321" s="7"/>
      <c r="U321" s="7"/>
    </row>
    <row r="322" spans="1:27" x14ac:dyDescent="0.35">
      <c r="A322" s="29" t="s">
        <v>130</v>
      </c>
      <c r="B322" s="25"/>
      <c r="C322" s="25"/>
      <c r="D322" s="25"/>
      <c r="E322" s="25"/>
      <c r="F322" s="25"/>
      <c r="G322" s="25">
        <f>G98</f>
        <v>1903.4354964816262</v>
      </c>
      <c r="H322" s="26"/>
      <c r="I322" s="25"/>
      <c r="J322" s="25">
        <f>I98</f>
        <v>1744.8264268960127</v>
      </c>
      <c r="K322" s="25"/>
      <c r="L322" s="25"/>
      <c r="M322" s="25"/>
      <c r="N322" s="25">
        <f>L98</f>
        <v>2282.6452304394425</v>
      </c>
      <c r="O322" s="25"/>
      <c r="P322" s="25"/>
      <c r="Q322" s="25">
        <f>N98</f>
        <v>2125.7963558413712</v>
      </c>
      <c r="R322" s="25"/>
      <c r="S322" s="7"/>
      <c r="T322" s="7"/>
      <c r="U322" s="7"/>
    </row>
    <row r="323" spans="1:27" x14ac:dyDescent="0.35">
      <c r="A323" s="27"/>
      <c r="B323" s="27"/>
      <c r="C323" s="27"/>
      <c r="D323" s="27"/>
      <c r="E323" s="27"/>
      <c r="F323" s="27"/>
      <c r="G323" s="27"/>
      <c r="H323" s="27"/>
      <c r="I323" s="27"/>
      <c r="J323" s="27"/>
      <c r="K323" s="33" t="s">
        <v>142</v>
      </c>
      <c r="L323" s="27"/>
      <c r="M323" s="27"/>
      <c r="N323" s="27"/>
      <c r="O323" s="27"/>
      <c r="P323" s="27"/>
      <c r="Q323" s="27"/>
      <c r="R323" s="33" t="s">
        <v>142</v>
      </c>
      <c r="S323" s="7"/>
      <c r="T323" s="7"/>
    </row>
    <row r="324" spans="1:27" x14ac:dyDescent="0.35">
      <c r="A324" s="29" t="s">
        <v>258</v>
      </c>
      <c r="B324" s="27"/>
      <c r="C324" s="27"/>
      <c r="D324" s="27"/>
      <c r="E324" s="27">
        <f ca="1">E318*1000/G322*100/G185</f>
        <v>6.452228980639668</v>
      </c>
      <c r="F324" s="27">
        <f ca="1">F318*1000/G322*100/G185</f>
        <v>-5.8539978440058515</v>
      </c>
      <c r="G324" s="27">
        <f ca="1">G318*1000/G322*100/G185</f>
        <v>0.59823113663381522</v>
      </c>
      <c r="H324" s="27">
        <f ca="1">H318*1000/J322*100/I185</f>
        <v>7.3964820323164027</v>
      </c>
      <c r="I324" s="27">
        <f ca="1">I318*1000/J322*100/I185</f>
        <v>-3.2143797518980493</v>
      </c>
      <c r="J324" s="27">
        <f ca="1">J318*1000/J322*100/I185</f>
        <v>4.182102280418353</v>
      </c>
      <c r="K324" s="27">
        <f ca="1">G324+J324</f>
        <v>4.7803334170521685</v>
      </c>
      <c r="L324" s="27">
        <f ca="1">L318*1000/N322*100/L185</f>
        <v>-6.1603848820889038</v>
      </c>
      <c r="M324" s="27">
        <f ca="1">M318*1000/N322*100/L185</f>
        <v>10.559833341175914</v>
      </c>
      <c r="N324" s="27">
        <f ca="1">N318*1000/N322*100/L185</f>
        <v>4.3994484590870089</v>
      </c>
      <c r="O324" s="27">
        <f ca="1">O318*1000/Q322*100/N185</f>
        <v>-6.7686065951030638</v>
      </c>
      <c r="P324" s="27">
        <f ca="1">P318*1000/Q322*100/N185</f>
        <v>16.355114077712425</v>
      </c>
      <c r="Q324" s="27">
        <f ca="1">Q318*1000/Q322*100/N185</f>
        <v>9.5865074826093633</v>
      </c>
      <c r="R324" s="27">
        <f ca="1">N324+Q324</f>
        <v>13.985955941696371</v>
      </c>
      <c r="S324" s="7"/>
      <c r="T324" s="7"/>
    </row>
    <row r="325" spans="1:27" x14ac:dyDescent="0.35">
      <c r="A325" s="29" t="s">
        <v>259</v>
      </c>
      <c r="B325" s="27"/>
      <c r="C325" s="27"/>
      <c r="D325" s="27"/>
      <c r="E325" s="27">
        <f ca="1">E319*1000/G322</f>
        <v>0.41960051501098083</v>
      </c>
      <c r="F325" s="27">
        <f ca="1">F319*1000/G322</f>
        <v>-13.044260775627938</v>
      </c>
      <c r="G325" s="27">
        <f ca="1">G319*1000/$G$322</f>
        <v>-12.624660260616958</v>
      </c>
      <c r="H325" s="27">
        <f ca="1">H319*1000/J322</f>
        <v>0.53089003909323906</v>
      </c>
      <c r="I325" s="27">
        <f ca="1">I319*1000/J322</f>
        <v>-5.6797837806099825</v>
      </c>
      <c r="J325" s="27">
        <f ca="1">J319*1000/J322</f>
        <v>-5.1488937415167424</v>
      </c>
      <c r="K325" s="27">
        <f ca="1">G325+J325</f>
        <v>-17.7735540021337</v>
      </c>
      <c r="L325" s="27">
        <f ca="1">L319*1000/N322</f>
        <v>-0.31212750707917747</v>
      </c>
      <c r="M325" s="27">
        <f ca="1">M319*1000/N322</f>
        <v>20.045945176495326</v>
      </c>
      <c r="N325" s="27">
        <f ca="1">N319*1000/N322</f>
        <v>19.733817669416151</v>
      </c>
      <c r="O325" s="27">
        <f ca="1">O319*1000/Q322</f>
        <v>-0.43580641195152026</v>
      </c>
      <c r="P325" s="27">
        <f ca="1">P319*1000/Q322</f>
        <v>26.274963949400082</v>
      </c>
      <c r="Q325" s="27">
        <f ca="1">Q319*1000/Q322</f>
        <v>25.83915753744856</v>
      </c>
      <c r="R325" s="27">
        <f ca="1">N325+Q325</f>
        <v>45.572975206864712</v>
      </c>
      <c r="S325" s="7"/>
      <c r="T325" s="7"/>
    </row>
    <row r="326" spans="1:27" x14ac:dyDescent="0.35">
      <c r="A326" s="27" t="s">
        <v>37</v>
      </c>
      <c r="B326" s="27"/>
      <c r="C326" s="27"/>
      <c r="D326" s="27"/>
      <c r="E326" s="27">
        <f t="shared" ref="E326:J326" ca="1" si="1">E324+E325</f>
        <v>6.8718294956506485</v>
      </c>
      <c r="F326" s="27">
        <f t="shared" ca="1" si="1"/>
        <v>-18.89825861963379</v>
      </c>
      <c r="G326" s="27">
        <f t="shared" ca="1" si="1"/>
        <v>-12.026429123983142</v>
      </c>
      <c r="H326" s="27">
        <f t="shared" ca="1" si="1"/>
        <v>7.9273720714096418</v>
      </c>
      <c r="I326" s="27">
        <f t="shared" ca="1" si="1"/>
        <v>-8.8941635325080313</v>
      </c>
      <c r="J326" s="27">
        <f t="shared" ca="1" si="1"/>
        <v>-0.96679146109838943</v>
      </c>
      <c r="K326" s="27">
        <f ca="1">G326+J326</f>
        <v>-12.993220585081531</v>
      </c>
      <c r="L326" s="27">
        <f t="shared" ref="L326:Q326" ca="1" si="2">L324+L325</f>
        <v>-6.4725123891680809</v>
      </c>
      <c r="M326" s="27">
        <f t="shared" ca="1" si="2"/>
        <v>30.60577851767124</v>
      </c>
      <c r="N326" s="27">
        <f t="shared" ca="1" si="2"/>
        <v>24.133266128503159</v>
      </c>
      <c r="O326" s="27">
        <f t="shared" ca="1" si="2"/>
        <v>-7.2044130070545842</v>
      </c>
      <c r="P326" s="27">
        <f t="shared" ca="1" si="2"/>
        <v>42.630078027112503</v>
      </c>
      <c r="Q326" s="27">
        <f t="shared" ca="1" si="2"/>
        <v>35.42566502005792</v>
      </c>
      <c r="R326" s="27">
        <f ca="1">N326+Q326</f>
        <v>59.558931148561079</v>
      </c>
      <c r="S326" s="7"/>
      <c r="T326" s="7"/>
    </row>
    <row r="327" spans="1:27" x14ac:dyDescent="0.35">
      <c r="A327" s="27" t="s">
        <v>30</v>
      </c>
      <c r="B327" s="27"/>
      <c r="C327" s="27"/>
      <c r="D327" s="27"/>
      <c r="E327" s="27">
        <f t="shared" ref="E327:J327" ca="1" si="3">E320*$G$188/100</f>
        <v>1035.1935744076809</v>
      </c>
      <c r="F327" s="27">
        <f t="shared" ca="1" si="3"/>
        <v>-1959.9776866158124</v>
      </c>
      <c r="G327" s="27">
        <f t="shared" ca="1" si="3"/>
        <v>-924.78411220813155</v>
      </c>
      <c r="H327" s="27">
        <f t="shared" ca="1" si="3"/>
        <v>2210.6314472140048</v>
      </c>
      <c r="I327" s="27">
        <f t="shared" ca="1" si="3"/>
        <v>-1065.023827442714</v>
      </c>
      <c r="J327" s="27">
        <f t="shared" ca="1" si="3"/>
        <v>1145.6076197712907</v>
      </c>
      <c r="K327" s="27"/>
      <c r="L327" s="27">
        <f ca="1">L320*$L$188/100</f>
        <v>-186.9994833834007</v>
      </c>
      <c r="M327" s="27">
        <f ca="1">M320*$L$188/100</f>
        <v>668.92341349447508</v>
      </c>
      <c r="N327" s="27">
        <f ca="1">N320*$L$188/100</f>
        <v>481.9239301110743</v>
      </c>
      <c r="O327" s="27">
        <f ca="1">O320*N188/100</f>
        <v>-387.58983322475319</v>
      </c>
      <c r="P327" s="27">
        <f ca="1">P320*N188/100</f>
        <v>1038.23982815608</v>
      </c>
      <c r="Q327" s="27">
        <f ca="1">Q320*N188/100</f>
        <v>650.64999493132666</v>
      </c>
      <c r="R327" s="7"/>
      <c r="S327" s="7"/>
      <c r="T327" s="7"/>
    </row>
    <row r="328" spans="1:27" x14ac:dyDescent="0.35">
      <c r="A328" s="27"/>
      <c r="B328" s="27"/>
      <c r="C328" s="27"/>
      <c r="D328" s="27"/>
      <c r="E328" s="27"/>
      <c r="F328" s="27"/>
      <c r="G328" s="27"/>
      <c r="H328" s="27"/>
      <c r="I328" s="27"/>
      <c r="J328" s="27"/>
      <c r="K328" s="27"/>
      <c r="L328" s="27"/>
      <c r="M328" s="27"/>
      <c r="N328" s="27"/>
      <c r="O328" s="27"/>
      <c r="P328" s="27"/>
      <c r="Q328" s="27"/>
      <c r="R328" s="7"/>
      <c r="S328" s="7"/>
      <c r="T328" s="7"/>
    </row>
    <row r="329" spans="1:27" s="81" customFormat="1" x14ac:dyDescent="0.35">
      <c r="A329" s="81" t="s">
        <v>289</v>
      </c>
    </row>
    <row r="330" spans="1:27" s="81" customFormat="1" x14ac:dyDescent="0.35">
      <c r="A330" s="81" t="s">
        <v>36</v>
      </c>
      <c r="G330" s="100">
        <f ca="1">G326/F10*100</f>
        <v>-15.78271538580465</v>
      </c>
      <c r="J330" s="100">
        <f ca="1">J326/F11*100</f>
        <v>-0.21076770462140604</v>
      </c>
      <c r="N330" s="100">
        <f ca="1">N326/O10*100</f>
        <v>7.0627059199599538</v>
      </c>
      <c r="Q330" s="100">
        <f ca="1">Q326/O11*100</f>
        <v>3.018289598709885</v>
      </c>
    </row>
    <row r="331" spans="1:27" x14ac:dyDescent="0.35">
      <c r="A331" s="7"/>
      <c r="B331" s="7"/>
      <c r="C331" s="7"/>
      <c r="D331" s="7"/>
      <c r="E331" s="7"/>
      <c r="F331" s="7"/>
      <c r="G331" s="7"/>
      <c r="H331" s="7"/>
      <c r="I331" s="7"/>
      <c r="J331" s="7"/>
      <c r="K331" s="7"/>
      <c r="L331" s="15" t="s">
        <v>310</v>
      </c>
      <c r="M331" s="81"/>
      <c r="N331" s="81"/>
      <c r="O331" s="81"/>
      <c r="P331" s="81"/>
      <c r="Q331" s="81"/>
      <c r="R331" s="81"/>
      <c r="S331" s="7"/>
      <c r="T331" s="7"/>
    </row>
    <row r="332" spans="1:27" x14ac:dyDescent="0.35">
      <c r="A332" s="15" t="s">
        <v>309</v>
      </c>
      <c r="B332" s="7"/>
      <c r="C332" s="7"/>
      <c r="D332" s="7"/>
      <c r="E332" s="7"/>
      <c r="F332" s="7"/>
      <c r="G332" s="31" t="s">
        <v>139</v>
      </c>
      <c r="H332" s="31" t="s">
        <v>140</v>
      </c>
      <c r="I332" s="31" t="s">
        <v>141</v>
      </c>
      <c r="J332" s="32"/>
      <c r="K332" s="32"/>
      <c r="L332" s="32"/>
      <c r="M332" s="32"/>
      <c r="N332" s="31" t="s">
        <v>139</v>
      </c>
      <c r="O332" s="31" t="s">
        <v>140</v>
      </c>
      <c r="P332" s="31" t="s">
        <v>141</v>
      </c>
      <c r="Q332" s="7"/>
      <c r="R332" s="7"/>
      <c r="S332" s="7"/>
      <c r="T332" s="7"/>
    </row>
    <row r="333" spans="1:27" x14ac:dyDescent="0.35">
      <c r="A333" s="15" t="s">
        <v>260</v>
      </c>
      <c r="B333" s="7"/>
      <c r="C333" s="7"/>
      <c r="D333" s="7"/>
      <c r="E333" s="7"/>
      <c r="F333" s="7"/>
      <c r="G333" s="59">
        <f ca="1">G324/(C12+D12)*100</f>
        <v>0.1476310616503245</v>
      </c>
      <c r="H333" s="59">
        <f ca="1">J324/(C12+D12)*100</f>
        <v>1.0320562768806998</v>
      </c>
      <c r="I333" s="59">
        <f ca="1">100*K324/(C12+D12)</f>
        <v>1.1796873385310243</v>
      </c>
      <c r="J333" s="65"/>
      <c r="K333" s="65"/>
      <c r="L333" s="65"/>
      <c r="M333" s="65"/>
      <c r="N333" s="59">
        <f ca="1">N324/(K12+L12)*100</f>
        <v>0.51270986727329049</v>
      </c>
      <c r="O333" s="59">
        <f ca="1">Q324/(K12+L12)*100</f>
        <v>1.117207537429147</v>
      </c>
      <c r="P333" s="59">
        <f ca="1">N333+O333</f>
        <v>1.6299174047024376</v>
      </c>
      <c r="Q333" s="7"/>
      <c r="R333" s="7"/>
      <c r="S333" s="58" t="s">
        <v>294</v>
      </c>
      <c r="T333" s="65"/>
      <c r="U333" s="65"/>
      <c r="V333" s="65"/>
      <c r="W333" s="65"/>
      <c r="X333" s="65"/>
      <c r="Y333" s="65"/>
    </row>
    <row r="334" spans="1:27" x14ac:dyDescent="0.35">
      <c r="A334" s="15" t="s">
        <v>261</v>
      </c>
      <c r="B334" s="7"/>
      <c r="C334" s="7"/>
      <c r="D334" s="7"/>
      <c r="E334" s="7"/>
      <c r="F334" s="7"/>
      <c r="G334" s="59">
        <f ca="1">G325/E12*100</f>
        <v>-7.8326649508128705</v>
      </c>
      <c r="H334" s="59">
        <f ca="1">J325/E12*100</f>
        <v>-3.1945065223218174</v>
      </c>
      <c r="I334" s="59">
        <f ca="1">100*K325/E12</f>
        <v>-11.027171473134688</v>
      </c>
      <c r="J334" s="65"/>
      <c r="K334" s="65"/>
      <c r="L334" s="65"/>
      <c r="M334" s="65"/>
      <c r="N334" s="59">
        <f ca="1">N325/M12*100</f>
        <v>1.8789574597421614</v>
      </c>
      <c r="O334" s="59">
        <f ca="1">Q325/M12*100</f>
        <v>2.4602780172478558</v>
      </c>
      <c r="P334" s="59">
        <f ca="1">N334+O334</f>
        <v>4.3392354769900177</v>
      </c>
      <c r="Q334" s="7"/>
      <c r="R334" s="7"/>
      <c r="S334" s="7"/>
      <c r="T334" s="7"/>
    </row>
    <row r="335" spans="1:27" x14ac:dyDescent="0.35">
      <c r="A335" s="15" t="s">
        <v>165</v>
      </c>
      <c r="B335" s="7"/>
      <c r="C335" s="7"/>
      <c r="D335" s="7"/>
      <c r="E335" s="7"/>
      <c r="F335" s="7"/>
      <c r="G335" s="14">
        <f ca="1">100*((1+G333/100)/(1+G334/100)-1)</f>
        <v>8.6584862285584485</v>
      </c>
      <c r="H335" s="14">
        <f ca="1">100*((1+H333/100)/(1+H334/100)-1)</f>
        <v>4.3660361074210119</v>
      </c>
      <c r="I335" s="14">
        <f ca="1">100*((1+I333/100)/(1+I334/100)-1)</f>
        <v>13.719760306350004</v>
      </c>
      <c r="J335" s="7"/>
      <c r="K335" s="7"/>
      <c r="L335" s="7"/>
      <c r="M335" s="7"/>
      <c r="N335" s="14">
        <f ca="1">100*((1+N333/100)/(1+N334/100)-1)</f>
        <v>-1.3410498365265866</v>
      </c>
      <c r="O335" s="14">
        <f ca="1">100*((1+O333/100)/(1+O334/100)-1)</f>
        <v>-1.310820647580746</v>
      </c>
      <c r="P335" s="14">
        <f ca="1">100*((1+P333/100)/(1+P334/100)-1)</f>
        <v>-2.5966435923187037</v>
      </c>
      <c r="Q335" s="7"/>
      <c r="R335" s="7"/>
      <c r="S335" s="15"/>
      <c r="T335" s="7"/>
      <c r="U335" s="7"/>
      <c r="V335" s="7"/>
      <c r="W335" s="7"/>
      <c r="X335" s="7"/>
      <c r="Y335" s="7"/>
      <c r="Z335" s="7"/>
      <c r="AA335" s="7"/>
    </row>
    <row r="336" spans="1:27" x14ac:dyDescent="0.35">
      <c r="A336" s="15" t="s">
        <v>164</v>
      </c>
      <c r="B336" s="7"/>
      <c r="C336" s="7"/>
      <c r="D336" s="7"/>
      <c r="E336" s="7"/>
      <c r="F336" s="7"/>
      <c r="G336" s="14">
        <f ca="1">G326/F12*100</f>
        <v>-2.123310226691939</v>
      </c>
      <c r="H336" s="14">
        <f ca="1">J326/F12*100</f>
        <v>-0.17069058282104332</v>
      </c>
      <c r="I336" s="14">
        <f ca="1">G336+H336</f>
        <v>-2.2940008095129825</v>
      </c>
      <c r="J336" s="7"/>
      <c r="K336" s="7"/>
      <c r="L336" s="15" t="s">
        <v>311</v>
      </c>
      <c r="M336" s="81"/>
      <c r="N336" s="14">
        <f ca="1">N326/N12*100</f>
        <v>3.6874583325029824</v>
      </c>
      <c r="O336" s="14">
        <f ca="1">Q326/N12*100</f>
        <v>5.4128878771360167</v>
      </c>
      <c r="P336" s="14">
        <f ca="1">N336+O336</f>
        <v>9.1003462096389995</v>
      </c>
      <c r="Q336" s="7"/>
      <c r="R336" s="7"/>
      <c r="S336" s="7"/>
      <c r="T336" s="7"/>
    </row>
    <row r="337" spans="1:20" x14ac:dyDescent="0.35">
      <c r="A337" s="7"/>
      <c r="B337" s="7"/>
      <c r="C337" s="7"/>
      <c r="D337" s="7"/>
      <c r="E337" s="7"/>
      <c r="F337" s="7"/>
      <c r="G337" s="7"/>
      <c r="H337" s="7"/>
      <c r="I337" s="14"/>
      <c r="J337" s="7"/>
      <c r="K337" s="7"/>
      <c r="L337" s="7"/>
      <c r="M337" s="7"/>
      <c r="N337" s="7"/>
      <c r="O337" s="7"/>
      <c r="P337" s="14"/>
      <c r="Q337" s="7"/>
      <c r="R337" s="7"/>
      <c r="S337" s="7"/>
      <c r="T337" s="7"/>
    </row>
    <row r="338" spans="1:20" x14ac:dyDescent="0.35">
      <c r="A338" s="7"/>
      <c r="B338" s="7"/>
      <c r="C338" s="7"/>
      <c r="D338" s="7"/>
      <c r="E338" s="7"/>
      <c r="F338" s="7"/>
      <c r="G338" s="48" t="s">
        <v>167</v>
      </c>
      <c r="H338" s="7"/>
      <c r="I338" s="48" t="s">
        <v>167</v>
      </c>
      <c r="J338" s="7"/>
      <c r="K338" s="7"/>
      <c r="L338" s="7"/>
      <c r="M338" s="7"/>
      <c r="N338" s="48" t="s">
        <v>167</v>
      </c>
      <c r="O338" s="7"/>
      <c r="P338" s="48" t="s">
        <v>167</v>
      </c>
      <c r="Q338" s="7"/>
      <c r="R338" s="7"/>
      <c r="S338" s="7"/>
      <c r="T338" s="7"/>
    </row>
    <row r="339" spans="1:20" x14ac:dyDescent="0.35">
      <c r="A339" s="7"/>
      <c r="B339" s="7"/>
      <c r="C339" s="7"/>
      <c r="D339" s="7"/>
      <c r="E339" s="7"/>
      <c r="F339" s="7"/>
      <c r="G339" s="48" t="s">
        <v>168</v>
      </c>
      <c r="H339" s="7"/>
      <c r="I339" s="48" t="s">
        <v>171</v>
      </c>
      <c r="J339" s="7"/>
      <c r="K339" s="7"/>
      <c r="L339" s="7"/>
      <c r="M339" s="7"/>
      <c r="N339" s="48" t="s">
        <v>168</v>
      </c>
      <c r="O339" s="7"/>
      <c r="P339" s="48" t="s">
        <v>171</v>
      </c>
      <c r="Q339" s="7"/>
      <c r="R339" s="7"/>
      <c r="S339" s="7"/>
      <c r="T339" s="7"/>
    </row>
    <row r="340" spans="1:20" x14ac:dyDescent="0.35">
      <c r="A340" s="7"/>
      <c r="B340" s="7"/>
      <c r="C340" s="7"/>
      <c r="D340" s="7"/>
      <c r="E340" s="7"/>
      <c r="F340" s="7"/>
      <c r="G340" s="48" t="s">
        <v>169</v>
      </c>
      <c r="H340" s="7"/>
      <c r="I340" s="48" t="s">
        <v>172</v>
      </c>
      <c r="J340" s="7"/>
      <c r="K340" s="7"/>
      <c r="L340" s="7"/>
      <c r="M340" s="7"/>
      <c r="N340" s="48" t="s">
        <v>169</v>
      </c>
      <c r="O340" s="7"/>
      <c r="P340" s="48" t="s">
        <v>172</v>
      </c>
      <c r="Q340" s="7"/>
      <c r="R340" s="7"/>
      <c r="S340" s="7"/>
      <c r="T340" s="7"/>
    </row>
    <row r="341" spans="1:20" x14ac:dyDescent="0.35">
      <c r="A341" s="6" t="s">
        <v>166</v>
      </c>
      <c r="B341" s="7"/>
      <c r="C341" s="7"/>
      <c r="D341" s="7"/>
      <c r="E341" s="7"/>
      <c r="F341" s="7"/>
      <c r="G341" s="48" t="s">
        <v>170</v>
      </c>
      <c r="H341" s="7"/>
      <c r="I341" s="48" t="s">
        <v>173</v>
      </c>
      <c r="J341" s="1"/>
      <c r="K341" s="1"/>
      <c r="L341" s="1"/>
      <c r="M341" s="1"/>
      <c r="N341" s="48" t="s">
        <v>170</v>
      </c>
      <c r="O341" s="7"/>
      <c r="P341" s="48" t="s">
        <v>173</v>
      </c>
      <c r="Q341" s="7"/>
      <c r="R341" s="7"/>
      <c r="S341" s="7"/>
      <c r="T341" s="7"/>
    </row>
    <row r="343" spans="1:20" x14ac:dyDescent="0.35">
      <c r="A343" s="2"/>
      <c r="B343" s="2"/>
      <c r="C343" s="2"/>
      <c r="D343" s="2"/>
      <c r="E343" s="2"/>
      <c r="F343" s="2"/>
      <c r="G343" s="2">
        <f ca="1">G326</f>
        <v>-12.026429123983142</v>
      </c>
      <c r="H343" s="2"/>
      <c r="I343" s="2">
        <f ca="1">I335</f>
        <v>13.719760306350004</v>
      </c>
      <c r="J343" s="2"/>
      <c r="K343" s="2"/>
      <c r="L343" s="2"/>
      <c r="M343" s="2"/>
      <c r="N343" s="2">
        <f ca="1">N326</f>
        <v>24.133266128503159</v>
      </c>
      <c r="O343" s="2"/>
      <c r="P343" s="2">
        <f ca="1">P335</f>
        <v>-2.5966435923187037</v>
      </c>
      <c r="Q343" s="2"/>
      <c r="R343" s="2"/>
    </row>
    <row r="345" spans="1:20" x14ac:dyDescent="0.35">
      <c r="A345" t="s">
        <v>287</v>
      </c>
      <c r="C345" s="78"/>
      <c r="D345" s="78"/>
      <c r="E345" s="78"/>
      <c r="F345" s="78" t="s">
        <v>59</v>
      </c>
      <c r="G345" s="78"/>
      <c r="H345" s="78"/>
      <c r="I345" s="78"/>
      <c r="J345" s="78" t="s">
        <v>72</v>
      </c>
      <c r="K345" s="78"/>
      <c r="L345" s="75"/>
      <c r="M345" s="75" t="s">
        <v>272</v>
      </c>
      <c r="N345" s="75"/>
    </row>
    <row r="346" spans="1:20" x14ac:dyDescent="0.35">
      <c r="C346" s="78"/>
      <c r="D346" s="78"/>
      <c r="E346" s="77" t="s">
        <v>273</v>
      </c>
      <c r="F346" s="77" t="s">
        <v>274</v>
      </c>
      <c r="G346" s="77" t="s">
        <v>60</v>
      </c>
      <c r="H346" s="78"/>
      <c r="I346" s="77" t="s">
        <v>273</v>
      </c>
      <c r="J346" s="77" t="s">
        <v>274</v>
      </c>
      <c r="K346" s="77" t="s">
        <v>60</v>
      </c>
      <c r="L346" s="75"/>
      <c r="M346" s="77" t="s">
        <v>60</v>
      </c>
      <c r="N346" s="75"/>
    </row>
    <row r="347" spans="1:20" x14ac:dyDescent="0.35">
      <c r="C347" s="78"/>
      <c r="D347" s="78"/>
      <c r="E347" s="77" t="s">
        <v>275</v>
      </c>
      <c r="F347" s="77" t="s">
        <v>276</v>
      </c>
      <c r="G347" s="77" t="s">
        <v>277</v>
      </c>
      <c r="H347" s="78"/>
      <c r="I347" s="77" t="s">
        <v>275</v>
      </c>
      <c r="J347" s="77" t="s">
        <v>276</v>
      </c>
      <c r="K347" s="77" t="s">
        <v>277</v>
      </c>
      <c r="L347" s="75"/>
      <c r="M347" s="77" t="s">
        <v>277</v>
      </c>
      <c r="N347" s="75"/>
    </row>
    <row r="348" spans="1:20" x14ac:dyDescent="0.35">
      <c r="C348" s="78" t="s">
        <v>278</v>
      </c>
      <c r="D348" s="78"/>
      <c r="E348" s="78"/>
      <c r="F348" s="78"/>
      <c r="G348" s="78"/>
      <c r="H348" s="78"/>
      <c r="I348" s="78"/>
      <c r="J348" s="78"/>
      <c r="K348" s="78"/>
      <c r="L348" s="75"/>
      <c r="M348" s="75"/>
      <c r="N348" s="75"/>
    </row>
    <row r="349" spans="1:20" x14ac:dyDescent="0.35">
      <c r="C349" s="78" t="s">
        <v>279</v>
      </c>
      <c r="D349" s="78"/>
      <c r="E349" s="78">
        <f t="shared" ref="E349:G351" ca="1" si="4">E324</f>
        <v>6.452228980639668</v>
      </c>
      <c r="F349" s="78">
        <f t="shared" ca="1" si="4"/>
        <v>-5.8539978440058515</v>
      </c>
      <c r="G349" s="78">
        <f t="shared" ca="1" si="4"/>
        <v>0.59823113663381522</v>
      </c>
      <c r="H349" s="78"/>
      <c r="I349" s="78">
        <f t="shared" ref="I349:K351" ca="1" si="5">H324</f>
        <v>7.3964820323164027</v>
      </c>
      <c r="J349" s="78">
        <f t="shared" ca="1" si="5"/>
        <v>-3.2143797518980493</v>
      </c>
      <c r="K349" s="78">
        <f t="shared" ca="1" si="5"/>
        <v>4.182102280418353</v>
      </c>
      <c r="L349" s="75"/>
      <c r="M349" s="78">
        <f ca="1">K324</f>
        <v>4.7803334170521685</v>
      </c>
      <c r="N349" s="75"/>
    </row>
    <row r="350" spans="1:20" x14ac:dyDescent="0.35">
      <c r="C350" s="78" t="s">
        <v>280</v>
      </c>
      <c r="D350" s="78"/>
      <c r="E350" s="78">
        <f t="shared" ca="1" si="4"/>
        <v>0.41960051501098083</v>
      </c>
      <c r="F350" s="78">
        <f t="shared" ca="1" si="4"/>
        <v>-13.044260775627938</v>
      </c>
      <c r="G350" s="78">
        <f t="shared" ca="1" si="4"/>
        <v>-12.624660260616958</v>
      </c>
      <c r="H350" s="78"/>
      <c r="I350" s="78">
        <f t="shared" ca="1" si="5"/>
        <v>0.53089003909323906</v>
      </c>
      <c r="J350" s="78">
        <f t="shared" ca="1" si="5"/>
        <v>-5.6797837806099825</v>
      </c>
      <c r="K350" s="78">
        <f t="shared" ca="1" si="5"/>
        <v>-5.1488937415167424</v>
      </c>
      <c r="L350" s="75"/>
      <c r="M350" s="78">
        <f ca="1">K325</f>
        <v>-17.7735540021337</v>
      </c>
      <c r="N350" s="75"/>
    </row>
    <row r="351" spans="1:20" x14ac:dyDescent="0.35">
      <c r="C351" s="78" t="s">
        <v>281</v>
      </c>
      <c r="D351" s="78"/>
      <c r="E351" s="78">
        <f t="shared" ca="1" si="4"/>
        <v>6.8718294956506485</v>
      </c>
      <c r="F351" s="78">
        <f t="shared" ca="1" si="4"/>
        <v>-18.89825861963379</v>
      </c>
      <c r="G351" s="78">
        <f t="shared" ca="1" si="4"/>
        <v>-12.026429123983142</v>
      </c>
      <c r="H351" s="78"/>
      <c r="I351" s="78">
        <f t="shared" ca="1" si="5"/>
        <v>7.9273720714096418</v>
      </c>
      <c r="J351" s="78">
        <f t="shared" ca="1" si="5"/>
        <v>-8.8941635325080313</v>
      </c>
      <c r="K351" s="78">
        <f t="shared" ca="1" si="5"/>
        <v>-0.96679146109838943</v>
      </c>
      <c r="L351" s="75"/>
      <c r="M351" s="78">
        <f ca="1">K326</f>
        <v>-12.993220585081531</v>
      </c>
      <c r="N351" s="75"/>
    </row>
    <row r="352" spans="1:20" x14ac:dyDescent="0.35">
      <c r="C352" s="78" t="s">
        <v>282</v>
      </c>
      <c r="D352" s="78"/>
      <c r="E352" s="78"/>
      <c r="F352" s="78"/>
      <c r="G352" s="78"/>
      <c r="H352" s="78"/>
      <c r="I352" s="78"/>
      <c r="J352" s="78"/>
      <c r="K352" s="78"/>
      <c r="L352" s="75"/>
      <c r="M352" s="75"/>
      <c r="N352" s="75"/>
    </row>
    <row r="353" spans="3:14" x14ac:dyDescent="0.35">
      <c r="C353" s="78" t="s">
        <v>286</v>
      </c>
      <c r="D353" s="72"/>
      <c r="E353" s="72"/>
      <c r="F353" s="72"/>
      <c r="G353" s="79">
        <f ca="1">G330</f>
        <v>-15.78271538580465</v>
      </c>
      <c r="H353" s="73"/>
      <c r="I353" s="73"/>
      <c r="J353" s="73"/>
      <c r="K353" s="79">
        <f ca="1">J330</f>
        <v>-0.21076770462140604</v>
      </c>
      <c r="L353" s="73"/>
      <c r="M353" s="79">
        <f ca="1">I336</f>
        <v>-2.2940008095129825</v>
      </c>
      <c r="N353" s="75" t="s">
        <v>295</v>
      </c>
    </row>
    <row r="354" spans="3:14" x14ac:dyDescent="0.35">
      <c r="C354" s="78" t="s">
        <v>283</v>
      </c>
      <c r="D354" s="72"/>
      <c r="E354" s="72"/>
      <c r="F354" s="72"/>
      <c r="G354" s="79">
        <f ca="1">G333</f>
        <v>0.1476310616503245</v>
      </c>
      <c r="H354" s="74"/>
      <c r="I354" s="74"/>
      <c r="J354" s="74"/>
      <c r="K354" s="79">
        <f ca="1">H333</f>
        <v>1.0320562768806998</v>
      </c>
      <c r="L354" s="74"/>
      <c r="M354" s="79">
        <f ca="1">I333</f>
        <v>1.1796873385310243</v>
      </c>
      <c r="N354" s="75"/>
    </row>
    <row r="355" spans="3:14" x14ac:dyDescent="0.35">
      <c r="C355" s="78" t="s">
        <v>284</v>
      </c>
      <c r="D355" s="72"/>
      <c r="E355" s="72"/>
      <c r="F355" s="72"/>
      <c r="G355" s="134">
        <f ca="1">G334</f>
        <v>-7.8326649508128705</v>
      </c>
      <c r="H355" s="74"/>
      <c r="I355" s="74"/>
      <c r="J355" s="74"/>
      <c r="K355" s="79">
        <f ca="1">H334</f>
        <v>-3.1945065223218174</v>
      </c>
      <c r="L355" s="74"/>
      <c r="M355" s="79">
        <f ca="1">I334</f>
        <v>-11.027171473134688</v>
      </c>
      <c r="N355" s="75"/>
    </row>
    <row r="356" spans="3:14" x14ac:dyDescent="0.35">
      <c r="C356" s="78" t="s">
        <v>285</v>
      </c>
      <c r="D356" s="72"/>
      <c r="E356" s="72"/>
      <c r="F356" s="72"/>
      <c r="G356" s="76">
        <f ca="1">G335</f>
        <v>8.6584862285584485</v>
      </c>
      <c r="H356" s="74"/>
      <c r="I356" s="74"/>
      <c r="J356" s="74"/>
      <c r="K356" s="79">
        <f ca="1">H335</f>
        <v>4.3660361074210119</v>
      </c>
      <c r="L356" s="74"/>
      <c r="M356" s="79">
        <f ca="1">I335</f>
        <v>13.719760306350004</v>
      </c>
      <c r="N356" s="75"/>
    </row>
    <row r="358" spans="3:14" x14ac:dyDescent="0.35">
      <c r="C358" s="72"/>
      <c r="D358" s="72"/>
      <c r="E358" s="72"/>
      <c r="F358" s="72"/>
      <c r="G358" s="72"/>
      <c r="H358" s="72"/>
      <c r="I358" s="72"/>
      <c r="J358" s="72"/>
      <c r="K358" s="72"/>
      <c r="L358" s="72"/>
      <c r="M358" s="72"/>
      <c r="N358" s="75"/>
    </row>
  </sheetData>
  <pageMargins left="0.39370078740157483" right="0.39370078740157483" top="0.98425196850393704" bottom="0.98425196850393704" header="0.51181102362204722" footer="0.51181102362204722"/>
  <pageSetup paperSize="9" scale="65" fitToHeight="0" orientation="landscape" r:id="rId1"/>
  <headerFooter>
    <oddHeader>&amp;LAdrian Wood&amp;CPage &amp;P&amp;R&amp;D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8"/>
  <sheetViews>
    <sheetView zoomScale="90" zoomScaleNormal="90" workbookViewId="0">
      <selection activeCell="S335" sqref="S335:Y335"/>
    </sheetView>
  </sheetViews>
  <sheetFormatPr defaultColWidth="8" defaultRowHeight="15.5" x14ac:dyDescent="0.35"/>
  <cols>
    <col min="1" max="1" width="14.33203125" customWidth="1"/>
    <col min="3" max="5" width="7.9140625" customWidth="1"/>
    <col min="6" max="6" width="9.6640625" customWidth="1"/>
    <col min="7" max="8" width="8.6640625" customWidth="1"/>
    <col min="9" max="9" width="9.6640625" customWidth="1"/>
    <col min="10" max="10" width="8.6640625" customWidth="1"/>
    <col min="11" max="11" width="7.08203125" customWidth="1"/>
    <col min="12" max="13" width="8.6640625" customWidth="1"/>
    <col min="14" max="14" width="9.6640625" customWidth="1"/>
  </cols>
  <sheetData>
    <row r="1" spans="1:19" x14ac:dyDescent="0.35">
      <c r="A1" s="158" t="s">
        <v>345</v>
      </c>
      <c r="B1" s="159"/>
      <c r="C1" s="159"/>
      <c r="D1" s="159"/>
      <c r="E1" s="159"/>
      <c r="F1" s="159"/>
      <c r="G1" s="159"/>
      <c r="H1" s="159"/>
      <c r="I1" s="159"/>
      <c r="J1" s="159"/>
      <c r="K1" s="7"/>
      <c r="L1" s="7"/>
      <c r="M1" s="7"/>
      <c r="N1" s="7"/>
    </row>
    <row r="3" spans="1:19" x14ac:dyDescent="0.35">
      <c r="A3" s="8" t="s">
        <v>149</v>
      </c>
      <c r="B3" s="7"/>
      <c r="C3" s="7"/>
      <c r="D3" s="7"/>
      <c r="E3" s="7"/>
      <c r="F3" s="7"/>
      <c r="G3" s="7"/>
      <c r="H3" s="7"/>
      <c r="I3" s="7"/>
      <c r="J3" s="7"/>
      <c r="K3" s="7"/>
      <c r="L3" s="7"/>
      <c r="M3" s="7"/>
      <c r="N3" s="7"/>
      <c r="O3" s="7"/>
      <c r="P3" s="7"/>
      <c r="Q3" s="7"/>
      <c r="R3" s="7"/>
    </row>
    <row r="4" spans="1:19" x14ac:dyDescent="0.35">
      <c r="A4" s="7"/>
      <c r="B4" s="7"/>
      <c r="C4" s="7"/>
      <c r="D4" s="7"/>
      <c r="E4" s="7"/>
      <c r="F4" s="7"/>
      <c r="G4" s="7"/>
      <c r="H4" s="7"/>
      <c r="I4" s="7"/>
      <c r="J4" s="7"/>
      <c r="K4" s="7"/>
      <c r="L4" s="7"/>
      <c r="M4" s="7"/>
      <c r="N4" s="7"/>
      <c r="O4" s="7"/>
      <c r="P4" s="7"/>
      <c r="Q4" s="7"/>
      <c r="R4" s="7"/>
    </row>
    <row r="5" spans="1:19" x14ac:dyDescent="0.35">
      <c r="A5" s="38" t="s">
        <v>305</v>
      </c>
      <c r="B5" s="7"/>
      <c r="C5" s="7"/>
      <c r="D5" s="7"/>
      <c r="E5" s="7"/>
      <c r="F5" s="7"/>
      <c r="G5" s="7"/>
      <c r="H5" s="7"/>
      <c r="I5" s="7"/>
      <c r="J5" s="7"/>
      <c r="K5" s="7"/>
      <c r="L5" s="7"/>
      <c r="M5" s="7"/>
      <c r="N5" s="7"/>
      <c r="O5" s="7" t="s">
        <v>297</v>
      </c>
      <c r="P5" s="7"/>
      <c r="Q5" s="7"/>
      <c r="R5" s="7"/>
    </row>
    <row r="6" spans="1:19" x14ac:dyDescent="0.35">
      <c r="A6" s="38"/>
      <c r="B6" s="7"/>
      <c r="C6" s="7"/>
      <c r="D6" s="7"/>
      <c r="E6" s="7"/>
      <c r="F6" s="7"/>
      <c r="G6" s="7"/>
      <c r="H6" s="7"/>
      <c r="I6" s="7"/>
      <c r="J6" s="7"/>
      <c r="K6" s="7"/>
      <c r="L6" s="7"/>
      <c r="M6" s="7"/>
      <c r="N6" s="7"/>
      <c r="O6" s="7"/>
      <c r="P6" s="7"/>
      <c r="Q6" s="7"/>
      <c r="R6" s="7"/>
      <c r="S6" s="7"/>
    </row>
    <row r="7" spans="1:19" x14ac:dyDescent="0.35">
      <c r="A7" s="7"/>
      <c r="B7" s="7"/>
      <c r="C7" s="7"/>
      <c r="D7" s="150" t="s">
        <v>323</v>
      </c>
      <c r="E7" s="151"/>
      <c r="F7" s="7"/>
      <c r="G7" s="7"/>
      <c r="H7" s="7"/>
      <c r="I7" s="7"/>
      <c r="J7" s="7"/>
      <c r="K7" s="7"/>
      <c r="L7" s="150" t="s">
        <v>324</v>
      </c>
      <c r="M7" s="151"/>
      <c r="N7" s="7"/>
      <c r="O7" s="7"/>
      <c r="P7" s="7"/>
      <c r="Q7" s="7"/>
      <c r="R7" s="7"/>
      <c r="S7" s="7"/>
    </row>
    <row r="8" spans="1:19" x14ac:dyDescent="0.35">
      <c r="A8" s="15" t="s">
        <v>306</v>
      </c>
      <c r="B8" s="7"/>
      <c r="C8" s="31" t="s">
        <v>133</v>
      </c>
      <c r="D8" s="31" t="s">
        <v>136</v>
      </c>
      <c r="E8" s="31" t="s">
        <v>134</v>
      </c>
      <c r="F8" s="32" t="s">
        <v>62</v>
      </c>
      <c r="G8" s="31"/>
      <c r="I8" s="7"/>
      <c r="J8" s="7"/>
      <c r="K8" s="31" t="s">
        <v>137</v>
      </c>
      <c r="L8" s="31" t="s">
        <v>136</v>
      </c>
      <c r="M8" s="31" t="s">
        <v>134</v>
      </c>
      <c r="N8" s="31" t="s">
        <v>134</v>
      </c>
      <c r="O8" s="32" t="s">
        <v>62</v>
      </c>
      <c r="Q8" s="7"/>
      <c r="R8" s="7"/>
      <c r="S8" s="80"/>
    </row>
    <row r="9" spans="1:19" x14ac:dyDescent="0.35">
      <c r="A9" s="7"/>
      <c r="B9" s="7"/>
      <c r="C9" s="32"/>
      <c r="D9" s="31" t="s">
        <v>135</v>
      </c>
      <c r="E9" s="32"/>
      <c r="F9" s="32"/>
      <c r="G9" s="52"/>
      <c r="I9" s="7"/>
      <c r="J9" s="7"/>
      <c r="K9" s="31" t="s">
        <v>135</v>
      </c>
      <c r="L9" s="31" t="s">
        <v>135</v>
      </c>
      <c r="M9" s="31" t="s">
        <v>301</v>
      </c>
      <c r="N9" s="53" t="s">
        <v>302</v>
      </c>
      <c r="O9" s="32"/>
      <c r="Q9" s="7"/>
      <c r="R9" s="7"/>
      <c r="S9" s="80"/>
    </row>
    <row r="10" spans="1:19" x14ac:dyDescent="0.35">
      <c r="A10" s="15" t="s">
        <v>138</v>
      </c>
      <c r="B10" s="7"/>
      <c r="C10" s="16"/>
      <c r="D10" s="16"/>
      <c r="E10" s="16"/>
      <c r="F10" s="152">
        <v>52.822000000000003</v>
      </c>
      <c r="H10" s="4" t="s">
        <v>307</v>
      </c>
      <c r="I10" s="16"/>
      <c r="J10" s="16"/>
      <c r="K10" s="30"/>
      <c r="L10" s="30"/>
      <c r="M10" s="30"/>
      <c r="O10" s="152">
        <v>336.59500000000003</v>
      </c>
      <c r="P10" s="4" t="s">
        <v>307</v>
      </c>
      <c r="Q10" s="16"/>
      <c r="R10" s="16"/>
      <c r="S10" s="80"/>
    </row>
    <row r="11" spans="1:19" x14ac:dyDescent="0.35">
      <c r="A11" s="7" t="s">
        <v>288</v>
      </c>
      <c r="B11" s="7"/>
      <c r="C11" s="16"/>
      <c r="D11" s="16"/>
      <c r="E11" s="16"/>
      <c r="F11" s="152">
        <v>362.11200000000002</v>
      </c>
      <c r="H11" s="4" t="s">
        <v>308</v>
      </c>
      <c r="I11" s="16"/>
      <c r="J11" s="16"/>
      <c r="K11" s="30"/>
      <c r="L11" s="30"/>
      <c r="M11" s="30"/>
      <c r="O11" s="152">
        <v>1154.1410000000001</v>
      </c>
      <c r="P11" s="4" t="s">
        <v>308</v>
      </c>
      <c r="Q11" s="16"/>
      <c r="R11" s="16"/>
      <c r="S11" s="80"/>
    </row>
    <row r="12" spans="1:19" x14ac:dyDescent="0.35">
      <c r="A12" s="15" t="s">
        <v>62</v>
      </c>
      <c r="B12" s="7"/>
      <c r="C12" s="16">
        <f>C15*F12</f>
        <v>83.645692864529465</v>
      </c>
      <c r="D12" s="16">
        <f>D15*F12</f>
        <v>239.87283350568771</v>
      </c>
      <c r="E12" s="16">
        <f>E15*F12</f>
        <v>104.44647362978283</v>
      </c>
      <c r="F12" s="152">
        <v>427.96499999999997</v>
      </c>
      <c r="G12" s="16"/>
      <c r="H12" s="2">
        <f>F12-F10-F11</f>
        <v>13.030999999999949</v>
      </c>
      <c r="I12" s="139">
        <f>100*H12/F12</f>
        <v>3.0448751650251658</v>
      </c>
      <c r="J12" s="139" t="s">
        <v>41</v>
      </c>
      <c r="K12" s="16">
        <f>K14*O12</f>
        <v>120.94632000000001</v>
      </c>
      <c r="L12" s="16">
        <f>L14*O12</f>
        <v>660.16533000000004</v>
      </c>
      <c r="M12" s="16">
        <f>(M14-N14)*O12</f>
        <v>1070.8788749999999</v>
      </c>
      <c r="N12" s="16">
        <f>N14*O12</f>
        <v>667.7244750000001</v>
      </c>
      <c r="O12" s="152">
        <v>2519.7150000000001</v>
      </c>
      <c r="P12" s="2">
        <f>O12-O10-O11</f>
        <v>1028.9789999999998</v>
      </c>
      <c r="Q12" s="139">
        <f>100*P12/O12</f>
        <v>40.837118483638022</v>
      </c>
      <c r="R12" s="139" t="s">
        <v>41</v>
      </c>
      <c r="S12" s="80"/>
    </row>
    <row r="13" spans="1:19" x14ac:dyDescent="0.35">
      <c r="A13" s="15" t="s">
        <v>299</v>
      </c>
      <c r="B13" s="7"/>
      <c r="C13" s="16"/>
      <c r="D13" s="16"/>
      <c r="E13" s="139" t="s">
        <v>303</v>
      </c>
      <c r="F13" s="16"/>
      <c r="G13" s="139" t="s">
        <v>302</v>
      </c>
      <c r="I13" s="16"/>
      <c r="J13" s="16"/>
      <c r="K13" s="16"/>
      <c r="L13" s="16"/>
      <c r="M13" s="139" t="s">
        <v>312</v>
      </c>
      <c r="N13" s="139"/>
      <c r="O13" s="16"/>
      <c r="Q13" s="7"/>
      <c r="R13" s="7"/>
      <c r="S13" s="80"/>
    </row>
    <row r="14" spans="1:19" s="138" customFormat="1" x14ac:dyDescent="0.35">
      <c r="A14" s="64"/>
      <c r="B14" s="22"/>
      <c r="C14" s="153">
        <v>0.189</v>
      </c>
      <c r="D14" s="153">
        <v>0.54200000000000004</v>
      </c>
      <c r="E14" s="153">
        <v>0.26900000000000002</v>
      </c>
      <c r="F14" s="140"/>
      <c r="G14" s="153">
        <v>3.3000000000000002E-2</v>
      </c>
      <c r="I14" s="22"/>
      <c r="J14" s="22"/>
      <c r="K14" s="153">
        <v>4.8000000000000001E-2</v>
      </c>
      <c r="L14" s="153">
        <v>0.26200000000000001</v>
      </c>
      <c r="M14" s="153">
        <v>0.69</v>
      </c>
      <c r="N14" s="153">
        <v>0.26500000000000001</v>
      </c>
      <c r="O14" s="22"/>
      <c r="Q14" s="22"/>
      <c r="R14" s="22"/>
    </row>
    <row r="15" spans="1:19" s="138" customFormat="1" x14ac:dyDescent="0.35">
      <c r="A15" s="64" t="s">
        <v>300</v>
      </c>
      <c r="B15" s="22"/>
      <c r="C15" s="22">
        <f>C14/(1-G14)</f>
        <v>0.1954498448810755</v>
      </c>
      <c r="D15" s="22">
        <f>D14/(1-G14)</f>
        <v>0.56049638055842821</v>
      </c>
      <c r="E15" s="22">
        <f>(E14-G14)/(1-G14)</f>
        <v>0.2440537745604964</v>
      </c>
      <c r="F15" s="22"/>
      <c r="G15" s="22"/>
      <c r="I15" s="22"/>
      <c r="J15" s="22"/>
      <c r="K15" s="22"/>
      <c r="L15" s="22"/>
      <c r="M15" s="22"/>
      <c r="N15" s="22"/>
      <c r="O15" s="22"/>
      <c r="P15" s="2"/>
      <c r="Q15" s="64" t="s">
        <v>208</v>
      </c>
      <c r="R15" s="22"/>
      <c r="S15" s="22"/>
    </row>
    <row r="16" spans="1:19" x14ac:dyDescent="0.35">
      <c r="A16" s="15" t="s">
        <v>304</v>
      </c>
      <c r="B16" s="7"/>
      <c r="C16" s="16"/>
      <c r="D16" s="16"/>
      <c r="E16" s="16"/>
      <c r="F16" s="16"/>
      <c r="G16" s="16"/>
      <c r="H16" s="16"/>
      <c r="I16" s="16"/>
      <c r="J16" s="16"/>
      <c r="K16" s="16"/>
      <c r="L16" s="16"/>
      <c r="M16" s="16"/>
      <c r="N16" s="16"/>
      <c r="O16" s="16"/>
      <c r="P16" s="7"/>
      <c r="Q16" s="7"/>
      <c r="R16" s="7"/>
      <c r="S16" s="7"/>
    </row>
    <row r="17" spans="1:23" x14ac:dyDescent="0.35">
      <c r="A17" s="15" t="s">
        <v>313</v>
      </c>
      <c r="B17" s="7"/>
      <c r="C17" s="16"/>
      <c r="D17" s="16"/>
      <c r="E17" s="16"/>
      <c r="F17" s="16"/>
      <c r="G17" s="16"/>
      <c r="H17" s="16"/>
      <c r="I17" s="16"/>
      <c r="J17" s="16"/>
      <c r="K17" s="16"/>
      <c r="L17" s="16"/>
      <c r="M17" s="16"/>
      <c r="N17" s="16"/>
      <c r="O17" s="16"/>
      <c r="P17" s="7"/>
      <c r="Q17" s="7"/>
      <c r="R17" s="7"/>
      <c r="S17" s="7"/>
    </row>
    <row r="18" spans="1:23" x14ac:dyDescent="0.35">
      <c r="A18" s="15" t="s">
        <v>314</v>
      </c>
      <c r="B18" s="7"/>
      <c r="C18" s="16"/>
      <c r="D18" s="16"/>
      <c r="E18" s="16"/>
      <c r="F18" s="16"/>
      <c r="G18" s="16"/>
      <c r="H18" s="16"/>
      <c r="I18" s="16"/>
      <c r="J18" s="16"/>
      <c r="K18" s="16"/>
      <c r="L18" s="16"/>
      <c r="M18" s="16"/>
      <c r="N18" s="16"/>
      <c r="O18" s="16"/>
      <c r="P18" s="7"/>
      <c r="Q18" s="7"/>
      <c r="R18" s="7"/>
      <c r="S18" s="7"/>
    </row>
    <row r="19" spans="1:23" s="80" customFormat="1" x14ac:dyDescent="0.35">
      <c r="A19" s="80" t="s">
        <v>42</v>
      </c>
    </row>
    <row r="20" spans="1:23" s="80" customFormat="1" x14ac:dyDescent="0.35">
      <c r="A20" s="38" t="s">
        <v>325</v>
      </c>
      <c r="B20" s="85"/>
      <c r="C20" s="85"/>
      <c r="D20" s="85"/>
    </row>
    <row r="21" spans="1:23" s="80" customFormat="1" x14ac:dyDescent="0.35"/>
    <row r="22" spans="1:23" s="80" customFormat="1" x14ac:dyDescent="0.35">
      <c r="C22" s="148" t="s">
        <v>318</v>
      </c>
      <c r="D22" s="148"/>
      <c r="E22" s="148" t="s">
        <v>319</v>
      </c>
      <c r="F22" s="149"/>
      <c r="G22" s="149" t="s">
        <v>66</v>
      </c>
      <c r="H22" s="150"/>
      <c r="J22" s="80" t="s">
        <v>192</v>
      </c>
      <c r="L22" s="80" t="s">
        <v>193</v>
      </c>
    </row>
    <row r="23" spans="1:23" s="80" customFormat="1" x14ac:dyDescent="0.35">
      <c r="C23" s="148" t="s">
        <v>320</v>
      </c>
      <c r="D23" s="148"/>
      <c r="E23" s="148" t="s">
        <v>321</v>
      </c>
      <c r="F23" s="149"/>
      <c r="G23" s="149" t="s">
        <v>322</v>
      </c>
      <c r="H23" s="150"/>
      <c r="J23" s="80" t="s">
        <v>68</v>
      </c>
      <c r="L23" s="80" t="s">
        <v>68</v>
      </c>
    </row>
    <row r="24" spans="1:23" s="80" customFormat="1" x14ac:dyDescent="0.35">
      <c r="C24" s="90"/>
      <c r="D24" s="90"/>
      <c r="E24" s="90"/>
      <c r="F24" s="91"/>
      <c r="G24" s="91"/>
    </row>
    <row r="25" spans="1:23" s="80" customFormat="1" x14ac:dyDescent="0.35">
      <c r="A25" s="80" t="s">
        <v>70</v>
      </c>
      <c r="C25" s="154">
        <v>214.48890000000003</v>
      </c>
      <c r="D25" s="103"/>
      <c r="E25" s="154">
        <v>684.53180000000009</v>
      </c>
      <c r="F25" s="91"/>
      <c r="G25" s="90">
        <f>E25-C25</f>
        <v>470.04290000000003</v>
      </c>
      <c r="J25" s="93">
        <f>6.7+4.1</f>
        <v>10.8</v>
      </c>
      <c r="L25" s="90">
        <f>E25-J25</f>
        <v>673.73180000000013</v>
      </c>
    </row>
    <row r="26" spans="1:23" s="80" customFormat="1" x14ac:dyDescent="0.35">
      <c r="A26" s="80" t="s">
        <v>71</v>
      </c>
      <c r="C26" s="154">
        <v>2067.0951999999997</v>
      </c>
      <c r="D26" s="103"/>
      <c r="E26" s="154">
        <v>2030.3992000000001</v>
      </c>
      <c r="F26" s="91"/>
      <c r="G26" s="90">
        <f>E26-C26</f>
        <v>-36.695999999999685</v>
      </c>
      <c r="J26" s="93">
        <v>995</v>
      </c>
      <c r="L26" s="90">
        <f>E26-J26</f>
        <v>1035.3992000000001</v>
      </c>
    </row>
    <row r="27" spans="1:23" s="80" customFormat="1" x14ac:dyDescent="0.35">
      <c r="A27" s="80" t="s">
        <v>72</v>
      </c>
      <c r="C27" s="154">
        <v>1175.7523000000001</v>
      </c>
      <c r="D27" s="103"/>
      <c r="E27" s="154">
        <v>977.46159999999986</v>
      </c>
      <c r="F27" s="91"/>
      <c r="G27" s="90">
        <f>E27-C27</f>
        <v>-198.29070000000024</v>
      </c>
      <c r="J27" s="93">
        <f>287.8+0.2</f>
        <v>288</v>
      </c>
      <c r="L27" s="90">
        <f>E27-J27</f>
        <v>689.46159999999986</v>
      </c>
    </row>
    <row r="28" spans="1:23" s="80" customFormat="1" x14ac:dyDescent="0.35">
      <c r="A28" s="80" t="s">
        <v>62</v>
      </c>
      <c r="C28" s="154">
        <v>3457.3363999999997</v>
      </c>
      <c r="D28" s="103"/>
      <c r="E28" s="154">
        <v>3692.3926000000001</v>
      </c>
      <c r="F28" s="91"/>
      <c r="G28" s="90">
        <f>E28-C28</f>
        <v>235.05620000000044</v>
      </c>
      <c r="J28" s="93">
        <v>1293.8</v>
      </c>
      <c r="L28" s="90">
        <f>E28-J28</f>
        <v>2398.5925999999999</v>
      </c>
    </row>
    <row r="29" spans="1:23" x14ac:dyDescent="0.35">
      <c r="J29" s="54"/>
      <c r="U29" s="4"/>
    </row>
    <row r="30" spans="1:23" x14ac:dyDescent="0.35">
      <c r="A30" s="4" t="s">
        <v>81</v>
      </c>
      <c r="P30" s="4" t="s">
        <v>195</v>
      </c>
      <c r="U30" s="4"/>
    </row>
    <row r="31" spans="1:23" x14ac:dyDescent="0.35">
      <c r="P31" s="4" t="s">
        <v>196</v>
      </c>
      <c r="U31" s="4"/>
    </row>
    <row r="32" spans="1:23" x14ac:dyDescent="0.35">
      <c r="G32" s="8" t="s">
        <v>73</v>
      </c>
      <c r="H32" s="8"/>
      <c r="I32" s="8"/>
      <c r="J32" s="8"/>
      <c r="K32" s="8"/>
      <c r="L32" s="8" t="s">
        <v>75</v>
      </c>
      <c r="M32" s="8"/>
      <c r="N32" s="8"/>
      <c r="O32" s="8"/>
      <c r="P32" s="8" t="s">
        <v>194</v>
      </c>
      <c r="Q32" s="8"/>
      <c r="R32" s="8"/>
      <c r="U32" s="8"/>
      <c r="V32" s="8"/>
      <c r="W32" s="8"/>
    </row>
    <row r="33" spans="1:25" x14ac:dyDescent="0.35">
      <c r="G33" s="8" t="s">
        <v>74</v>
      </c>
      <c r="H33" s="8"/>
      <c r="I33" s="8" t="s">
        <v>72</v>
      </c>
      <c r="J33" s="8"/>
      <c r="K33" s="8"/>
      <c r="L33" s="8" t="s">
        <v>74</v>
      </c>
      <c r="M33" s="8"/>
      <c r="N33" s="8" t="s">
        <v>72</v>
      </c>
      <c r="O33" s="8"/>
      <c r="P33" s="8" t="s">
        <v>74</v>
      </c>
      <c r="Q33" s="8"/>
      <c r="R33" s="8" t="s">
        <v>72</v>
      </c>
      <c r="U33" s="8"/>
      <c r="V33" s="8"/>
      <c r="W33" s="8"/>
      <c r="Y33" s="4"/>
    </row>
    <row r="34" spans="1:25" x14ac:dyDescent="0.35">
      <c r="A34" s="39" t="s">
        <v>175</v>
      </c>
      <c r="W34" s="40"/>
      <c r="Y34" s="4"/>
    </row>
    <row r="35" spans="1:25" x14ac:dyDescent="0.35">
      <c r="D35" s="12" t="s">
        <v>76</v>
      </c>
      <c r="T35" s="39"/>
    </row>
    <row r="36" spans="1:25" x14ac:dyDescent="0.35">
      <c r="D36" s="9" t="s">
        <v>70</v>
      </c>
      <c r="G36" s="35">
        <v>4.0202802362724244</v>
      </c>
      <c r="H36" s="35"/>
      <c r="I36" s="35">
        <v>1.7356879469923003</v>
      </c>
      <c r="J36" s="35"/>
      <c r="K36" s="35"/>
      <c r="L36" s="35">
        <v>17.149013949435474</v>
      </c>
      <c r="M36" s="35"/>
      <c r="N36" s="35">
        <v>5.3856144896683329</v>
      </c>
      <c r="P36" s="35">
        <v>8.0059524144868615</v>
      </c>
      <c r="Q36" s="35"/>
      <c r="R36" s="35">
        <v>5.9145679451497877</v>
      </c>
      <c r="T36" s="4"/>
    </row>
    <row r="37" spans="1:25" x14ac:dyDescent="0.35">
      <c r="D37" s="9" t="s">
        <v>71</v>
      </c>
      <c r="G37" s="35">
        <v>50.016463865317704</v>
      </c>
      <c r="H37" s="35"/>
      <c r="I37" s="35">
        <v>5.3701924275809185</v>
      </c>
      <c r="J37" s="35"/>
      <c r="K37" s="35"/>
      <c r="L37" s="35">
        <v>40.464394517360411</v>
      </c>
      <c r="M37" s="35"/>
      <c r="N37" s="35">
        <v>6.6561797037231818</v>
      </c>
      <c r="P37" s="35">
        <v>37.01395592066514</v>
      </c>
      <c r="Q37" s="35"/>
      <c r="R37" s="35">
        <v>10.916212151478616</v>
      </c>
      <c r="T37" s="4"/>
    </row>
    <row r="38" spans="1:25" x14ac:dyDescent="0.35">
      <c r="D38" s="9" t="s">
        <v>72</v>
      </c>
      <c r="G38" s="35">
        <v>32.987131859472463</v>
      </c>
      <c r="H38" s="35"/>
      <c r="I38" s="35">
        <v>88.071341583956851</v>
      </c>
      <c r="J38" s="35"/>
      <c r="K38" s="35"/>
      <c r="L38" s="35">
        <v>23.429508463739637</v>
      </c>
      <c r="M38" s="35"/>
      <c r="N38" s="35">
        <v>80.900758267445397</v>
      </c>
      <c r="P38" s="35">
        <v>14.881202990786226</v>
      </c>
      <c r="Q38" s="35"/>
      <c r="R38" s="35">
        <v>76.68437492495849</v>
      </c>
      <c r="T38" s="4"/>
    </row>
    <row r="39" spans="1:25" x14ac:dyDescent="0.35">
      <c r="D39" s="9" t="s">
        <v>77</v>
      </c>
      <c r="G39" s="35">
        <v>87.0238759610626</v>
      </c>
      <c r="H39" s="35"/>
      <c r="I39" s="35">
        <v>95.177221874750998</v>
      </c>
      <c r="J39" s="35"/>
      <c r="K39" s="35"/>
      <c r="L39" s="35">
        <v>81.042916930535497</v>
      </c>
      <c r="M39" s="35"/>
      <c r="N39" s="35">
        <v>92.942552550455218</v>
      </c>
      <c r="P39" s="35">
        <v>59.901111325938224</v>
      </c>
      <c r="Q39" s="35"/>
      <c r="R39" s="35">
        <v>93.51515524148877</v>
      </c>
      <c r="T39" s="4"/>
    </row>
    <row r="40" spans="1:25" x14ac:dyDescent="0.35">
      <c r="D40" s="9" t="s">
        <v>78</v>
      </c>
      <c r="G40" s="35">
        <v>69.246845797821081</v>
      </c>
      <c r="H40" s="35"/>
      <c r="I40" s="35">
        <v>86.736365991658886</v>
      </c>
      <c r="J40" s="35"/>
      <c r="K40" s="35"/>
      <c r="L40" s="35">
        <v>65.487226153179719</v>
      </c>
      <c r="M40" s="35"/>
      <c r="N40" s="35">
        <v>86.786285811208714</v>
      </c>
      <c r="P40" s="2"/>
      <c r="Q40" s="2"/>
      <c r="R40" s="2"/>
      <c r="T40" s="4"/>
    </row>
    <row r="41" spans="1:25" x14ac:dyDescent="0.35">
      <c r="D41" s="9" t="s">
        <v>79</v>
      </c>
      <c r="G41" s="35">
        <v>17.777030163241523</v>
      </c>
      <c r="H41" s="35"/>
      <c r="I41" s="35">
        <v>8.4408558830921159</v>
      </c>
      <c r="J41" s="35"/>
      <c r="K41" s="35"/>
      <c r="L41" s="35">
        <v>15.555690777355789</v>
      </c>
      <c r="M41" s="35"/>
      <c r="N41" s="35">
        <v>6.1562667392465098</v>
      </c>
      <c r="P41" s="2"/>
      <c r="Q41" s="2"/>
      <c r="R41" s="2"/>
      <c r="T41" s="4"/>
    </row>
    <row r="42" spans="1:25" x14ac:dyDescent="0.35">
      <c r="D42" s="12" t="s">
        <v>80</v>
      </c>
      <c r="G42" s="16"/>
      <c r="H42" s="16"/>
      <c r="I42" s="16"/>
      <c r="J42" s="16"/>
      <c r="K42" s="16"/>
      <c r="L42" s="16"/>
      <c r="M42" s="16"/>
      <c r="N42" s="16"/>
      <c r="O42" s="7"/>
      <c r="P42" s="2"/>
      <c r="Q42" s="2"/>
      <c r="R42" s="2"/>
      <c r="T42" s="39"/>
    </row>
    <row r="43" spans="1:25" x14ac:dyDescent="0.35">
      <c r="D43" s="9" t="s">
        <v>70</v>
      </c>
      <c r="G43" s="35">
        <v>5.5076502774389953</v>
      </c>
      <c r="H43" s="35"/>
      <c r="I43" s="35">
        <v>1.9054870202797327</v>
      </c>
      <c r="J43" s="35"/>
      <c r="K43" s="35"/>
      <c r="L43" s="35">
        <v>1.269359786209757</v>
      </c>
      <c r="M43" s="35"/>
      <c r="N43" s="35">
        <v>0.44452758595204672</v>
      </c>
      <c r="P43" s="35">
        <v>7.2765966107177338</v>
      </c>
      <c r="Q43" s="35"/>
      <c r="R43" s="35">
        <v>2.0371989092515093</v>
      </c>
      <c r="T43" s="4"/>
    </row>
    <row r="44" spans="1:25" x14ac:dyDescent="0.35">
      <c r="D44" s="9" t="s">
        <v>71</v>
      </c>
      <c r="G44" s="35">
        <v>3.2633024933663304</v>
      </c>
      <c r="H44" s="35"/>
      <c r="I44" s="35">
        <v>0.93139280034231919</v>
      </c>
      <c r="J44" s="35"/>
      <c r="K44" s="35"/>
      <c r="L44" s="35">
        <v>7.7845993601814998</v>
      </c>
      <c r="M44" s="35"/>
      <c r="N44" s="35">
        <v>1.9866155284916747</v>
      </c>
      <c r="P44" s="35">
        <v>14.269773198522678</v>
      </c>
      <c r="Q44" s="35"/>
      <c r="R44" s="35">
        <v>1.6111524380037239</v>
      </c>
      <c r="T44" s="4"/>
    </row>
    <row r="45" spans="1:25" x14ac:dyDescent="0.35">
      <c r="D45" s="9" t="s">
        <v>72</v>
      </c>
      <c r="G45" s="35">
        <v>4.2051712681320756</v>
      </c>
      <c r="H45" s="35"/>
      <c r="I45" s="35">
        <v>1.9858982208479115</v>
      </c>
      <c r="J45" s="35"/>
      <c r="K45" s="35"/>
      <c r="L45" s="35">
        <v>9.9031239230732506</v>
      </c>
      <c r="M45" s="35"/>
      <c r="N45" s="35">
        <v>4.6263042454827437</v>
      </c>
      <c r="P45" s="35">
        <v>18.552518797951411</v>
      </c>
      <c r="Q45" s="35"/>
      <c r="R45" s="35">
        <v>2.8364936311578761</v>
      </c>
      <c r="T45" s="4"/>
    </row>
    <row r="46" spans="1:25" x14ac:dyDescent="0.35">
      <c r="D46" s="9" t="s">
        <v>62</v>
      </c>
      <c r="G46" s="35">
        <v>12.976124038937401</v>
      </c>
      <c r="H46" s="35"/>
      <c r="I46" s="35">
        <v>4.8227781252489947</v>
      </c>
      <c r="J46" s="35"/>
      <c r="K46" s="35"/>
      <c r="L46" s="35">
        <v>18.957083069464506</v>
      </c>
      <c r="M46" s="35"/>
      <c r="N46" s="35">
        <v>7.0574474495447825</v>
      </c>
      <c r="P46" s="35">
        <v>40.098888674061776</v>
      </c>
      <c r="Q46" s="35"/>
      <c r="R46" s="35">
        <v>6.4848447585112359</v>
      </c>
      <c r="T46" s="4"/>
    </row>
    <row r="47" spans="1:25" x14ac:dyDescent="0.35">
      <c r="D47" s="12" t="s">
        <v>62</v>
      </c>
      <c r="G47" s="35">
        <v>100</v>
      </c>
      <c r="H47" s="35"/>
      <c r="I47" s="35">
        <v>100</v>
      </c>
      <c r="J47" s="35"/>
      <c r="K47" s="35"/>
      <c r="L47" s="35">
        <v>100</v>
      </c>
      <c r="M47" s="35"/>
      <c r="N47" s="35">
        <v>100</v>
      </c>
      <c r="P47" s="35">
        <v>100</v>
      </c>
      <c r="Q47" s="35"/>
      <c r="R47" s="35">
        <v>100</v>
      </c>
      <c r="T47" s="4"/>
    </row>
    <row r="48" spans="1:25" x14ac:dyDescent="0.35">
      <c r="T48" s="4"/>
    </row>
    <row r="49" spans="1:21" x14ac:dyDescent="0.35">
      <c r="A49" s="4" t="s">
        <v>81</v>
      </c>
      <c r="T49" s="4"/>
    </row>
    <row r="50" spans="1:21" x14ac:dyDescent="0.35">
      <c r="P50" s="8" t="s">
        <v>194</v>
      </c>
      <c r="Q50" s="8"/>
      <c r="R50" s="8"/>
    </row>
    <row r="51" spans="1:21" x14ac:dyDescent="0.35">
      <c r="A51" s="39" t="s">
        <v>82</v>
      </c>
      <c r="P51" s="8" t="s">
        <v>74</v>
      </c>
      <c r="Q51" s="8"/>
      <c r="R51" s="8" t="s">
        <v>72</v>
      </c>
    </row>
    <row r="52" spans="1:21" x14ac:dyDescent="0.35">
      <c r="D52" s="13" t="s">
        <v>83</v>
      </c>
      <c r="G52" s="60">
        <v>0.36436041834271921</v>
      </c>
      <c r="H52" s="60"/>
      <c r="I52" s="60">
        <v>0.36610619469026545</v>
      </c>
      <c r="J52" s="60"/>
      <c r="K52" s="60"/>
      <c r="L52" s="60">
        <v>0.61837084673097542</v>
      </c>
      <c r="M52" s="60"/>
      <c r="N52" s="60">
        <v>0.55011789924973198</v>
      </c>
      <c r="P52" s="37">
        <v>0.67</v>
      </c>
      <c r="Q52" s="37"/>
      <c r="R52" s="37">
        <v>0.63</v>
      </c>
    </row>
    <row r="53" spans="1:21" x14ac:dyDescent="0.35">
      <c r="D53" s="13"/>
      <c r="G53" s="55" t="s">
        <v>204</v>
      </c>
      <c r="H53" s="14"/>
      <c r="I53" s="14"/>
      <c r="J53" s="14"/>
      <c r="K53" s="14"/>
      <c r="L53" s="14"/>
      <c r="M53" s="14"/>
      <c r="N53" s="14"/>
      <c r="O53" s="7"/>
      <c r="P53" s="15" t="s">
        <v>203</v>
      </c>
      <c r="Q53" s="7"/>
      <c r="R53" s="7"/>
      <c r="S53" s="7"/>
    </row>
    <row r="54" spans="1:21" x14ac:dyDescent="0.35">
      <c r="D54" s="13" t="s">
        <v>89</v>
      </c>
      <c r="G54" s="14">
        <f>1-G52</f>
        <v>0.63563958165728085</v>
      </c>
      <c r="H54" s="14"/>
      <c r="I54" s="14">
        <f>1-I52</f>
        <v>0.63389380530973449</v>
      </c>
      <c r="J54" s="14"/>
      <c r="K54" s="14"/>
      <c r="L54" s="14">
        <f>1-L52</f>
        <v>0.38162915326902458</v>
      </c>
      <c r="M54" s="14"/>
      <c r="N54" s="14">
        <f>1-N52</f>
        <v>0.44988210075026802</v>
      </c>
      <c r="P54" s="14">
        <f>1-P52</f>
        <v>0.32999999999999996</v>
      </c>
      <c r="Q54" s="14"/>
      <c r="R54" s="14">
        <f>1-R52</f>
        <v>0.37</v>
      </c>
      <c r="U54" s="4" t="s">
        <v>208</v>
      </c>
    </row>
    <row r="55" spans="1:21" x14ac:dyDescent="0.35">
      <c r="D55" s="13"/>
      <c r="E55" s="4" t="s">
        <v>205</v>
      </c>
      <c r="G55" s="14"/>
      <c r="H55" s="14"/>
      <c r="I55" s="14"/>
      <c r="J55" s="14"/>
      <c r="K55" s="14"/>
      <c r="L55" s="14"/>
      <c r="M55" s="14"/>
      <c r="N55" s="14"/>
      <c r="P55" s="14"/>
      <c r="Q55" s="14"/>
      <c r="R55" s="14"/>
    </row>
    <row r="56" spans="1:21" x14ac:dyDescent="0.35">
      <c r="D56" s="13"/>
      <c r="E56" s="4" t="s">
        <v>240</v>
      </c>
      <c r="G56" s="14"/>
      <c r="H56" s="14"/>
      <c r="I56" s="14"/>
      <c r="J56" s="14"/>
      <c r="K56" s="14"/>
      <c r="L56" s="14"/>
      <c r="M56" s="14"/>
      <c r="N56" s="14"/>
      <c r="P56" s="14"/>
      <c r="Q56" s="14"/>
      <c r="R56" s="14"/>
    </row>
    <row r="57" spans="1:21" x14ac:dyDescent="0.35">
      <c r="D57" s="13"/>
      <c r="E57" s="4" t="s">
        <v>241</v>
      </c>
      <c r="G57" s="14"/>
      <c r="H57" s="14"/>
      <c r="I57" s="14"/>
      <c r="J57" s="14"/>
      <c r="K57" s="14"/>
      <c r="L57" s="14"/>
      <c r="M57" s="14"/>
      <c r="N57" s="14"/>
      <c r="P57" s="14"/>
      <c r="Q57" s="14"/>
      <c r="R57" s="14"/>
    </row>
    <row r="58" spans="1:21" x14ac:dyDescent="0.35">
      <c r="D58" s="13" t="s">
        <v>84</v>
      </c>
      <c r="G58" s="61">
        <v>0.55071951610330594</v>
      </c>
      <c r="H58" s="36"/>
      <c r="I58" s="61">
        <v>0.59704079444955993</v>
      </c>
      <c r="J58" s="36"/>
      <c r="K58" s="36"/>
      <c r="L58" s="62">
        <v>3.9213192766716254E-2</v>
      </c>
      <c r="M58" s="36"/>
      <c r="N58" s="62">
        <v>0.15441578795580541</v>
      </c>
      <c r="P58" s="62">
        <v>3.9213192766716254E-2</v>
      </c>
      <c r="Q58" s="36"/>
      <c r="R58" s="62">
        <v>0.15441578795580541</v>
      </c>
    </row>
    <row r="59" spans="1:21" x14ac:dyDescent="0.35">
      <c r="D59" s="13" t="s">
        <v>85</v>
      </c>
      <c r="G59" s="61">
        <v>0.41426878118864519</v>
      </c>
      <c r="H59" s="36"/>
      <c r="I59" s="61">
        <v>0.37030846891144098</v>
      </c>
      <c r="J59" s="36"/>
      <c r="K59" s="36"/>
      <c r="L59" s="62">
        <v>0.35986180434274284</v>
      </c>
      <c r="M59" s="36"/>
      <c r="N59" s="62">
        <v>0.39340574332576039</v>
      </c>
      <c r="P59" s="62">
        <v>0.35986180434274284</v>
      </c>
      <c r="Q59" s="36"/>
      <c r="R59" s="62">
        <v>0.39340574332576039</v>
      </c>
    </row>
    <row r="60" spans="1:21" x14ac:dyDescent="0.35">
      <c r="D60" s="13" t="s">
        <v>86</v>
      </c>
      <c r="G60" s="61">
        <v>0.96498829729195101</v>
      </c>
      <c r="H60" s="36"/>
      <c r="I60" s="61">
        <v>0.96734926336100102</v>
      </c>
      <c r="J60" s="36"/>
      <c r="K60" s="36"/>
      <c r="L60" s="62">
        <v>0.39907499710945915</v>
      </c>
      <c r="M60" s="36"/>
      <c r="N60" s="62">
        <v>0.54782153128156574</v>
      </c>
      <c r="P60" s="62">
        <v>0.39907499710945915</v>
      </c>
      <c r="Q60" s="36"/>
      <c r="R60" s="62">
        <v>0.54782153128156574</v>
      </c>
    </row>
    <row r="61" spans="1:21" x14ac:dyDescent="0.35">
      <c r="D61" s="13" t="s">
        <v>87</v>
      </c>
      <c r="G61" s="61">
        <v>0.44928048389669423</v>
      </c>
      <c r="H61" s="36"/>
      <c r="I61" s="61">
        <v>0.40295920555043985</v>
      </c>
      <c r="J61" s="36"/>
      <c r="K61" s="36"/>
      <c r="L61" s="62">
        <v>0.96078680723328369</v>
      </c>
      <c r="M61" s="36"/>
      <c r="N61" s="62">
        <v>0.84558421204419454</v>
      </c>
      <c r="P61" s="62">
        <v>0.96078680723328369</v>
      </c>
      <c r="Q61" s="36"/>
      <c r="R61" s="62">
        <v>0.84558421204419454</v>
      </c>
    </row>
    <row r="62" spans="1:21" x14ac:dyDescent="0.35">
      <c r="D62" s="13" t="s">
        <v>88</v>
      </c>
      <c r="G62" s="61">
        <v>3.5011702708048993E-2</v>
      </c>
      <c r="H62" s="36"/>
      <c r="I62" s="61">
        <v>3.2650736638998895E-2</v>
      </c>
      <c r="J62" s="36"/>
      <c r="K62" s="36"/>
      <c r="L62" s="62">
        <v>0.60092500289054074</v>
      </c>
      <c r="M62" s="36"/>
      <c r="N62" s="62">
        <v>0.4521784687184342</v>
      </c>
      <c r="P62" s="62">
        <v>0.60092500289054074</v>
      </c>
      <c r="Q62" s="36"/>
      <c r="R62" s="62">
        <v>0.4521784687184342</v>
      </c>
    </row>
    <row r="63" spans="1:21" x14ac:dyDescent="0.35">
      <c r="D63" s="13"/>
      <c r="G63" s="15" t="s">
        <v>206</v>
      </c>
      <c r="H63" s="7"/>
      <c r="I63" s="15" t="s">
        <v>206</v>
      </c>
      <c r="J63" s="7"/>
      <c r="K63" s="7"/>
      <c r="L63" s="15" t="s">
        <v>207</v>
      </c>
      <c r="M63" s="7"/>
      <c r="N63" s="15" t="s">
        <v>207</v>
      </c>
      <c r="O63" s="7"/>
      <c r="P63" s="15" t="s">
        <v>207</v>
      </c>
      <c r="Q63" s="7"/>
      <c r="R63" s="15" t="s">
        <v>207</v>
      </c>
      <c r="S63" s="7"/>
    </row>
    <row r="64" spans="1:21" x14ac:dyDescent="0.35">
      <c r="G64" s="15" t="s">
        <v>223</v>
      </c>
      <c r="H64" s="7"/>
      <c r="I64" s="15" t="s">
        <v>223</v>
      </c>
      <c r="J64" s="7"/>
      <c r="K64" s="7"/>
      <c r="L64" s="15" t="s">
        <v>223</v>
      </c>
      <c r="M64" s="7"/>
      <c r="N64" s="15"/>
      <c r="O64" s="7"/>
      <c r="P64" s="15" t="s">
        <v>223</v>
      </c>
      <c r="Q64" s="7"/>
      <c r="R64" s="15"/>
      <c r="S64" s="7"/>
      <c r="T64" s="7"/>
    </row>
    <row r="65" spans="3:20" x14ac:dyDescent="0.35">
      <c r="G65" s="15" t="s">
        <v>224</v>
      </c>
      <c r="H65" s="7"/>
      <c r="I65" s="15" t="s">
        <v>225</v>
      </c>
      <c r="J65" s="7"/>
      <c r="K65" s="7"/>
      <c r="L65" s="15" t="s">
        <v>226</v>
      </c>
      <c r="M65" s="7"/>
      <c r="N65" s="15" t="s">
        <v>209</v>
      </c>
      <c r="O65" s="7"/>
      <c r="P65" s="15" t="s">
        <v>226</v>
      </c>
      <c r="Q65" s="7"/>
      <c r="R65" s="15" t="s">
        <v>209</v>
      </c>
      <c r="S65" s="7"/>
      <c r="T65" s="7"/>
    </row>
    <row r="66" spans="3:20" x14ac:dyDescent="0.35">
      <c r="G66" s="15" t="s">
        <v>227</v>
      </c>
      <c r="H66" s="7"/>
      <c r="I66" s="15" t="s">
        <v>228</v>
      </c>
      <c r="J66" s="7"/>
      <c r="K66" s="7"/>
      <c r="L66" s="15" t="s">
        <v>227</v>
      </c>
      <c r="M66" s="7"/>
      <c r="N66" s="15"/>
      <c r="O66" s="7"/>
      <c r="P66" s="15" t="s">
        <v>227</v>
      </c>
      <c r="Q66" s="7"/>
      <c r="R66" s="15"/>
      <c r="S66" s="7"/>
      <c r="T66" s="7"/>
    </row>
    <row r="67" spans="3:20" x14ac:dyDescent="0.35">
      <c r="G67" s="15" t="s">
        <v>210</v>
      </c>
      <c r="H67" s="7"/>
      <c r="I67" s="15" t="s">
        <v>216</v>
      </c>
      <c r="J67" s="7"/>
      <c r="K67" s="7"/>
      <c r="L67" s="15" t="s">
        <v>220</v>
      </c>
      <c r="M67" s="7"/>
      <c r="N67" s="15"/>
      <c r="O67" s="7"/>
      <c r="P67" s="15" t="s">
        <v>220</v>
      </c>
      <c r="Q67" s="7"/>
      <c r="R67" s="15"/>
      <c r="S67" s="7"/>
      <c r="T67" s="7"/>
    </row>
    <row r="68" spans="3:20" x14ac:dyDescent="0.35">
      <c r="G68" s="15" t="s">
        <v>211</v>
      </c>
      <c r="H68" s="7"/>
      <c r="I68" s="15" t="s">
        <v>211</v>
      </c>
      <c r="J68" s="7"/>
      <c r="K68" s="7"/>
      <c r="L68" s="15" t="s">
        <v>211</v>
      </c>
      <c r="M68" s="7"/>
      <c r="N68" s="15"/>
      <c r="O68" s="7"/>
      <c r="P68" s="15" t="s">
        <v>211</v>
      </c>
      <c r="Q68" s="7"/>
      <c r="R68" s="15"/>
      <c r="S68" s="7"/>
      <c r="T68" s="7"/>
    </row>
    <row r="69" spans="3:20" x14ac:dyDescent="0.35">
      <c r="G69" s="15" t="s">
        <v>212</v>
      </c>
      <c r="H69" s="7"/>
      <c r="I69" s="15" t="s">
        <v>212</v>
      </c>
      <c r="J69" s="7"/>
      <c r="K69" s="7"/>
      <c r="L69" s="15" t="s">
        <v>212</v>
      </c>
      <c r="M69" s="7"/>
      <c r="N69" s="15"/>
      <c r="O69" s="7"/>
      <c r="P69" s="15" t="s">
        <v>212</v>
      </c>
      <c r="Q69" s="7"/>
      <c r="R69" s="15"/>
      <c r="S69" s="7"/>
      <c r="T69" s="7"/>
    </row>
    <row r="70" spans="3:20" x14ac:dyDescent="0.35">
      <c r="G70" s="15" t="s">
        <v>213</v>
      </c>
      <c r="H70" s="7"/>
      <c r="I70" s="15" t="s">
        <v>217</v>
      </c>
      <c r="J70" s="7"/>
      <c r="K70" s="7"/>
      <c r="L70" s="15" t="s">
        <v>221</v>
      </c>
      <c r="M70" s="7"/>
      <c r="N70" s="15"/>
      <c r="O70" s="7"/>
      <c r="P70" s="15" t="s">
        <v>222</v>
      </c>
      <c r="Q70" s="7"/>
      <c r="R70" s="15"/>
      <c r="S70" s="7"/>
      <c r="T70" s="7"/>
    </row>
    <row r="71" spans="3:20" x14ac:dyDescent="0.35">
      <c r="G71" s="15" t="s">
        <v>214</v>
      </c>
      <c r="H71" s="7"/>
      <c r="I71" s="15" t="s">
        <v>218</v>
      </c>
      <c r="J71" s="7"/>
      <c r="K71" s="7"/>
      <c r="L71" s="15" t="s">
        <v>214</v>
      </c>
      <c r="M71" s="7"/>
      <c r="N71" s="15"/>
      <c r="O71" s="7"/>
      <c r="P71" s="15" t="s">
        <v>214</v>
      </c>
      <c r="Q71" s="7"/>
      <c r="R71" s="15"/>
      <c r="S71" s="7"/>
      <c r="T71" s="7"/>
    </row>
    <row r="72" spans="3:20" x14ac:dyDescent="0.35">
      <c r="G72" s="15" t="s">
        <v>215</v>
      </c>
      <c r="H72" s="7"/>
      <c r="I72" s="15" t="s">
        <v>219</v>
      </c>
      <c r="J72" s="7"/>
      <c r="K72" s="7"/>
      <c r="L72" s="15" t="s">
        <v>215</v>
      </c>
      <c r="M72" s="7"/>
      <c r="N72" s="15"/>
      <c r="O72" s="7"/>
      <c r="P72" s="15" t="s">
        <v>215</v>
      </c>
      <c r="Q72" s="7"/>
      <c r="R72" s="15"/>
      <c r="S72" s="7"/>
      <c r="T72" s="7"/>
    </row>
    <row r="73" spans="3:20" x14ac:dyDescent="0.35">
      <c r="C73" s="39" t="s">
        <v>234</v>
      </c>
      <c r="G73" s="15"/>
      <c r="H73" s="7"/>
      <c r="I73" s="15"/>
      <c r="J73" s="7"/>
      <c r="K73" s="7"/>
      <c r="L73" s="15"/>
      <c r="M73" s="7"/>
      <c r="N73" s="15"/>
      <c r="O73" s="7"/>
      <c r="P73" s="15"/>
      <c r="Q73" s="7"/>
      <c r="R73" s="15"/>
      <c r="S73" s="7"/>
      <c r="T73" s="7"/>
    </row>
    <row r="74" spans="3:20" x14ac:dyDescent="0.35">
      <c r="C74" s="4" t="s">
        <v>233</v>
      </c>
      <c r="G74" s="31" t="s">
        <v>229</v>
      </c>
      <c r="H74" s="32"/>
      <c r="I74" s="31" t="s">
        <v>230</v>
      </c>
      <c r="J74" s="32"/>
      <c r="K74" s="32"/>
      <c r="L74" s="31" t="s">
        <v>231</v>
      </c>
      <c r="M74" s="32"/>
      <c r="N74" s="31" t="s">
        <v>232</v>
      </c>
      <c r="O74" s="32"/>
      <c r="P74" s="31" t="s">
        <v>231</v>
      </c>
      <c r="Q74" s="32"/>
      <c r="R74" s="31" t="s">
        <v>232</v>
      </c>
      <c r="S74" s="32"/>
      <c r="T74" s="7"/>
    </row>
    <row r="75" spans="3:20" x14ac:dyDescent="0.35">
      <c r="C75" s="4" t="s">
        <v>235</v>
      </c>
      <c r="G75" s="63">
        <v>83.5</v>
      </c>
      <c r="H75" s="37"/>
      <c r="I75" s="63">
        <v>75.900000000000006</v>
      </c>
      <c r="J75" s="37"/>
      <c r="K75" s="37"/>
      <c r="L75" s="63">
        <v>57.4</v>
      </c>
      <c r="M75" s="37"/>
      <c r="N75" s="63">
        <v>75.900000000000006</v>
      </c>
      <c r="P75" s="63">
        <v>57.4</v>
      </c>
      <c r="Q75" s="37"/>
      <c r="R75" s="63">
        <v>75.900000000000006</v>
      </c>
      <c r="S75" s="7"/>
      <c r="T75" s="7"/>
    </row>
    <row r="76" spans="3:20" x14ac:dyDescent="0.35">
      <c r="C76" s="4" t="s">
        <v>236</v>
      </c>
      <c r="G76" s="31" t="s">
        <v>139</v>
      </c>
      <c r="H76" s="32"/>
      <c r="I76" s="31" t="s">
        <v>140</v>
      </c>
      <c r="J76" s="7"/>
      <c r="K76" s="7"/>
      <c r="L76" s="31" t="s">
        <v>139</v>
      </c>
      <c r="M76" s="32"/>
      <c r="N76" s="31" t="s">
        <v>140</v>
      </c>
      <c r="O76" s="7"/>
      <c r="P76" s="31" t="s">
        <v>139</v>
      </c>
      <c r="Q76" s="32"/>
      <c r="R76" s="31" t="s">
        <v>140</v>
      </c>
      <c r="S76" s="7"/>
      <c r="T76" s="7"/>
    </row>
    <row r="77" spans="3:20" x14ac:dyDescent="0.35">
      <c r="D77" s="4" t="s">
        <v>237</v>
      </c>
      <c r="G77" s="26">
        <f>C26*G37/100</f>
        <v>1033.8879237697165</v>
      </c>
      <c r="H77" s="25"/>
      <c r="I77" s="26">
        <f>C27*I38/100</f>
        <v>1035.5008243142292</v>
      </c>
      <c r="J77" s="25"/>
      <c r="K77" s="25"/>
      <c r="L77" s="26">
        <f>E26*L37/100</f>
        <v>821.58874256532977</v>
      </c>
      <c r="M77" s="25"/>
      <c r="N77" s="26"/>
      <c r="O77" s="25"/>
      <c r="P77" s="26">
        <f>J26*P37/100</f>
        <v>368.2888614106181</v>
      </c>
      <c r="Q77" s="25"/>
      <c r="R77" s="26"/>
      <c r="S77" s="7"/>
      <c r="T77" s="7"/>
    </row>
    <row r="78" spans="3:20" x14ac:dyDescent="0.35">
      <c r="D78" s="4" t="s">
        <v>238</v>
      </c>
      <c r="G78" s="26">
        <f>C27*I37/100</f>
        <v>63.140160981708483</v>
      </c>
      <c r="H78" s="25"/>
      <c r="I78" s="26">
        <f>C26*G38/100</f>
        <v>681.87541928482597</v>
      </c>
      <c r="J78" s="25"/>
      <c r="K78" s="25"/>
      <c r="L78" s="26">
        <f>E27*N37/100</f>
        <v>65.061600630887867</v>
      </c>
      <c r="M78" s="25"/>
      <c r="N78" s="26"/>
      <c r="O78" s="25"/>
      <c r="P78" s="26">
        <f>J27*R37/100</f>
        <v>31.438690996258416</v>
      </c>
      <c r="Q78" s="25"/>
      <c r="R78" s="26"/>
      <c r="S78" s="7"/>
      <c r="T78" s="7"/>
    </row>
    <row r="79" spans="3:20" x14ac:dyDescent="0.35">
      <c r="D79" s="4" t="s">
        <v>62</v>
      </c>
      <c r="G79" s="26">
        <f>G77+G78</f>
        <v>1097.028084751425</v>
      </c>
      <c r="H79" s="25"/>
      <c r="I79" s="26">
        <f>I77+I78</f>
        <v>1717.3762435990552</v>
      </c>
      <c r="J79" s="25"/>
      <c r="K79" s="25"/>
      <c r="L79" s="26">
        <f>L77+L78</f>
        <v>886.65034319621759</v>
      </c>
      <c r="M79" s="25"/>
      <c r="N79" s="26"/>
      <c r="O79" s="25"/>
      <c r="P79" s="26">
        <f>P77+P78</f>
        <v>399.7275524068765</v>
      </c>
      <c r="Q79" s="25"/>
      <c r="R79" s="26"/>
      <c r="S79" s="7"/>
      <c r="T79" s="7"/>
    </row>
    <row r="80" spans="3:20" x14ac:dyDescent="0.35">
      <c r="D80" s="4" t="s">
        <v>239</v>
      </c>
      <c r="G80" s="64">
        <f>(G77*G75/100)/G79</f>
        <v>0.78694103491737599</v>
      </c>
      <c r="H80" s="22"/>
      <c r="I80" s="64">
        <f>(I77*I75/100)/I79</f>
        <v>0.45764294724807519</v>
      </c>
      <c r="J80" s="22"/>
      <c r="K80" s="22"/>
      <c r="L80" s="64">
        <f>(L77*L75/100)/L79</f>
        <v>0.53188039890955641</v>
      </c>
      <c r="M80" s="22"/>
      <c r="N80" s="64"/>
      <c r="O80" s="22"/>
      <c r="P80" s="64">
        <f>(P77*P75/100)/P79</f>
        <v>0.52885472911938836</v>
      </c>
      <c r="Q80" s="15" t="s">
        <v>242</v>
      </c>
      <c r="R80" s="15"/>
      <c r="S80" s="7"/>
      <c r="T80" s="7"/>
    </row>
    <row r="81" spans="1:19" x14ac:dyDescent="0.35">
      <c r="F81" s="7"/>
      <c r="G81" s="15"/>
      <c r="H81" s="7"/>
      <c r="I81" s="15"/>
      <c r="J81" s="7"/>
      <c r="K81" s="7"/>
      <c r="L81" s="15"/>
      <c r="M81" s="7"/>
      <c r="N81" s="15"/>
      <c r="S81" s="7"/>
    </row>
    <row r="82" spans="1:19" x14ac:dyDescent="0.35">
      <c r="A82" s="4" t="s">
        <v>90</v>
      </c>
    </row>
    <row r="83" spans="1:19" x14ac:dyDescent="0.35">
      <c r="G83" s="8" t="s">
        <v>73</v>
      </c>
      <c r="H83" s="8"/>
      <c r="I83" s="8"/>
      <c r="J83" s="8"/>
      <c r="K83" s="8"/>
      <c r="L83" s="8" t="s">
        <v>75</v>
      </c>
      <c r="M83" s="8"/>
      <c r="N83" s="8"/>
      <c r="O83" s="8"/>
    </row>
    <row r="84" spans="1:19" x14ac:dyDescent="0.35">
      <c r="G84" s="8" t="s">
        <v>74</v>
      </c>
      <c r="H84" s="8"/>
      <c r="I84" s="8" t="s">
        <v>72</v>
      </c>
      <c r="J84" s="8"/>
      <c r="K84" s="8"/>
      <c r="L84" s="8" t="s">
        <v>74</v>
      </c>
      <c r="M84" s="8"/>
      <c r="N84" s="8" t="s">
        <v>72</v>
      </c>
      <c r="O84" s="8"/>
    </row>
    <row r="85" spans="1:19" x14ac:dyDescent="0.35">
      <c r="A85" s="39" t="s">
        <v>91</v>
      </c>
    </row>
    <row r="86" spans="1:19" x14ac:dyDescent="0.35">
      <c r="A86" s="4" t="s">
        <v>98</v>
      </c>
      <c r="D86" s="4" t="s">
        <v>92</v>
      </c>
      <c r="G86" s="36">
        <v>0.26993887530562349</v>
      </c>
      <c r="H86" s="36"/>
      <c r="I86" s="36">
        <v>0.13810513447432762</v>
      </c>
      <c r="J86" s="36"/>
      <c r="K86" s="36"/>
      <c r="L86" s="36">
        <v>0.4760986066452304</v>
      </c>
      <c r="M86" s="37"/>
      <c r="N86" s="36">
        <v>0.29060021436227224</v>
      </c>
      <c r="P86" s="37">
        <v>0.63</v>
      </c>
      <c r="Q86" s="37"/>
      <c r="R86" s="37">
        <v>0.36</v>
      </c>
    </row>
    <row r="87" spans="1:19" x14ac:dyDescent="0.35">
      <c r="A87" s="4"/>
      <c r="D87" s="4"/>
      <c r="G87" s="55" t="s">
        <v>243</v>
      </c>
      <c r="H87" s="14"/>
      <c r="I87" s="14"/>
      <c r="J87" s="14"/>
      <c r="K87" s="14"/>
      <c r="L87" s="14"/>
      <c r="M87" s="7"/>
      <c r="N87" s="14"/>
      <c r="O87" s="7"/>
      <c r="P87" s="7"/>
      <c r="Q87" s="7"/>
    </row>
    <row r="88" spans="1:19" x14ac:dyDescent="0.35">
      <c r="A88" s="4" t="s">
        <v>100</v>
      </c>
      <c r="D88" s="4" t="s">
        <v>93</v>
      </c>
      <c r="G88" s="36">
        <v>1</v>
      </c>
      <c r="H88" s="36"/>
      <c r="I88" s="36">
        <v>1</v>
      </c>
      <c r="J88" s="36"/>
      <c r="K88" s="36"/>
      <c r="L88" s="36">
        <v>0.6</v>
      </c>
      <c r="M88" s="36"/>
      <c r="N88" s="36">
        <v>0.6</v>
      </c>
      <c r="P88" s="36">
        <v>0.6</v>
      </c>
      <c r="Q88" s="36"/>
      <c r="R88" s="36">
        <v>0.6</v>
      </c>
    </row>
    <row r="89" spans="1:19" x14ac:dyDescent="0.35">
      <c r="D89" s="4" t="s">
        <v>99</v>
      </c>
      <c r="G89" s="2">
        <f>100*G86*G88</f>
        <v>26.99388753056235</v>
      </c>
      <c r="H89" s="1"/>
      <c r="I89" s="2">
        <f>100*I86*I88</f>
        <v>13.810513447432763</v>
      </c>
      <c r="J89" s="1"/>
      <c r="K89" s="1"/>
      <c r="L89" s="2">
        <f>100*L86*L88</f>
        <v>28.565916398713824</v>
      </c>
      <c r="M89" s="1"/>
      <c r="N89" s="2">
        <f>100*N86*N88</f>
        <v>17.436012861736334</v>
      </c>
      <c r="P89" s="2">
        <f>100*P86*P88</f>
        <v>37.799999999999997</v>
      </c>
      <c r="Q89" s="1"/>
      <c r="R89" s="2">
        <f>100*R86*R88</f>
        <v>21.599999999999998</v>
      </c>
    </row>
    <row r="91" spans="1:19" x14ac:dyDescent="0.35">
      <c r="D91" s="4" t="s">
        <v>94</v>
      </c>
    </row>
    <row r="92" spans="1:19" x14ac:dyDescent="0.35">
      <c r="D92" s="13" t="s">
        <v>84</v>
      </c>
      <c r="G92" s="36">
        <v>1.5509609588506641</v>
      </c>
      <c r="H92" s="37"/>
      <c r="I92" s="36">
        <v>1.5227733230098803</v>
      </c>
      <c r="J92" s="36"/>
      <c r="K92" s="36"/>
      <c r="L92" s="36">
        <v>1.5326836389029728</v>
      </c>
      <c r="M92" s="37"/>
      <c r="N92" s="36">
        <v>2.0511410922521263</v>
      </c>
      <c r="P92" s="36">
        <v>1.5326836389029728</v>
      </c>
      <c r="Q92" s="37"/>
      <c r="R92" s="36">
        <v>2.0511410922521263</v>
      </c>
    </row>
    <row r="93" spans="1:19" x14ac:dyDescent="0.35">
      <c r="D93" s="13" t="s">
        <v>85</v>
      </c>
      <c r="G93" s="36">
        <v>0.87202716056630569</v>
      </c>
      <c r="H93" s="37"/>
      <c r="I93" s="36">
        <v>0.80958779540120296</v>
      </c>
      <c r="J93" s="36"/>
      <c r="K93" s="36"/>
      <c r="L93" s="36">
        <v>1.0874500160417906</v>
      </c>
      <c r="M93" s="37"/>
      <c r="N93" s="36">
        <v>1.1902090250162407</v>
      </c>
      <c r="P93" s="36">
        <v>1.0874500160417906</v>
      </c>
      <c r="Q93" s="37"/>
      <c r="R93" s="36">
        <v>1.1902090250162407</v>
      </c>
    </row>
    <row r="94" spans="1:19" x14ac:dyDescent="0.35">
      <c r="D94" s="13" t="s">
        <v>86</v>
      </c>
      <c r="G94" s="36">
        <v>1.0578433459651078</v>
      </c>
      <c r="H94" s="37"/>
      <c r="I94" s="36">
        <v>1.0942636486147026</v>
      </c>
      <c r="J94" s="36"/>
      <c r="K94" s="36"/>
      <c r="L94" s="36">
        <v>1.1298801888878223</v>
      </c>
      <c r="M94" s="37"/>
      <c r="N94" s="36">
        <v>1.3499196764425621</v>
      </c>
      <c r="P94" s="36">
        <v>1.1298801888878223</v>
      </c>
      <c r="Q94" s="37"/>
      <c r="R94" s="36">
        <v>1.3499196764425621</v>
      </c>
    </row>
    <row r="95" spans="1:19" x14ac:dyDescent="0.35">
      <c r="D95" s="13" t="s">
        <v>87</v>
      </c>
      <c r="G95" s="36">
        <v>0.82616808261433672</v>
      </c>
      <c r="H95" s="37"/>
      <c r="I95" s="36">
        <v>0.77485497815698956</v>
      </c>
      <c r="J95" s="36"/>
      <c r="K95" s="36"/>
      <c r="L95" s="36">
        <v>0.9764604896741319</v>
      </c>
      <c r="M95" s="37"/>
      <c r="N95" s="36">
        <v>0.86065150355030295</v>
      </c>
      <c r="P95" s="36">
        <v>0.9764604896741319</v>
      </c>
      <c r="Q95" s="37"/>
      <c r="R95" s="36">
        <v>0.86065150355030295</v>
      </c>
    </row>
    <row r="96" spans="1:19" x14ac:dyDescent="0.35">
      <c r="D96" s="13" t="s">
        <v>88</v>
      </c>
      <c r="G96" s="36">
        <v>0.59018246654686368</v>
      </c>
      <c r="H96" s="37"/>
      <c r="I96" s="36">
        <v>0.51457926291879696</v>
      </c>
      <c r="J96" s="36"/>
      <c r="K96" s="36"/>
      <c r="L96" s="36">
        <v>0.89624898063253966</v>
      </c>
      <c r="M96" s="37"/>
      <c r="N96" s="36">
        <v>0.69356977339985582</v>
      </c>
      <c r="P96" s="36">
        <v>0.89624898063253966</v>
      </c>
      <c r="Q96" s="37"/>
      <c r="R96" s="36">
        <v>0.69356977339985582</v>
      </c>
    </row>
    <row r="97" spans="1:18" x14ac:dyDescent="0.35">
      <c r="A97" s="4"/>
      <c r="D97" s="13"/>
      <c r="G97" s="55" t="s">
        <v>188</v>
      </c>
      <c r="I97" s="56" t="s">
        <v>189</v>
      </c>
      <c r="J97" s="1"/>
      <c r="K97" s="1"/>
      <c r="L97" s="55" t="s">
        <v>190</v>
      </c>
      <c r="N97" s="56" t="s">
        <v>191</v>
      </c>
    </row>
    <row r="98" spans="1:18" x14ac:dyDescent="0.35">
      <c r="A98" s="4"/>
      <c r="D98" s="13" t="s">
        <v>129</v>
      </c>
      <c r="G98" s="66">
        <v>1903.4354964816262</v>
      </c>
      <c r="H98" s="66"/>
      <c r="I98" s="66">
        <v>1744.8264268960127</v>
      </c>
      <c r="J98" s="66"/>
      <c r="K98" s="66"/>
      <c r="L98" s="66">
        <v>2282.6452304394425</v>
      </c>
      <c r="M98" s="66"/>
      <c r="N98" s="66">
        <v>2125.7963558413712</v>
      </c>
      <c r="O98" s="23"/>
      <c r="P98" s="66">
        <v>2427</v>
      </c>
      <c r="Q98" s="66"/>
      <c r="R98" s="66">
        <v>2158</v>
      </c>
    </row>
    <row r="99" spans="1:18" x14ac:dyDescent="0.35">
      <c r="A99" s="4" t="s">
        <v>98</v>
      </c>
      <c r="G99" s="55" t="s">
        <v>187</v>
      </c>
      <c r="H99" s="7"/>
      <c r="I99" s="7"/>
      <c r="J99" s="7"/>
      <c r="K99" s="7"/>
      <c r="L99" s="7"/>
      <c r="M99" s="7"/>
      <c r="N99" s="7"/>
    </row>
    <row r="100" spans="1:18" x14ac:dyDescent="0.35">
      <c r="D100" s="13" t="s">
        <v>96</v>
      </c>
    </row>
    <row r="101" spans="1:18" x14ac:dyDescent="0.35">
      <c r="A101" s="4" t="s">
        <v>97</v>
      </c>
      <c r="D101" s="13"/>
      <c r="G101" s="67">
        <v>36.209247148288974</v>
      </c>
      <c r="H101" s="7"/>
      <c r="I101" s="7"/>
      <c r="J101" s="7"/>
      <c r="K101" s="7"/>
      <c r="L101" s="67">
        <v>4.8</v>
      </c>
      <c r="M101" s="7"/>
      <c r="N101" s="7"/>
      <c r="O101" s="7"/>
      <c r="P101" s="68">
        <v>2.62</v>
      </c>
    </row>
    <row r="102" spans="1:18" x14ac:dyDescent="0.35">
      <c r="G102" s="55" t="s">
        <v>187</v>
      </c>
      <c r="H102" s="7"/>
      <c r="I102" s="7"/>
      <c r="J102" s="7"/>
      <c r="K102" s="7"/>
      <c r="L102" s="15"/>
      <c r="M102" s="7"/>
      <c r="N102" s="7"/>
    </row>
    <row r="103" spans="1:18" x14ac:dyDescent="0.35">
      <c r="D103" s="4" t="s">
        <v>95</v>
      </c>
    </row>
    <row r="104" spans="1:18" x14ac:dyDescent="0.35">
      <c r="D104" s="13" t="s">
        <v>84</v>
      </c>
      <c r="G104" s="1">
        <f>G92*$G$101</f>
        <v>56.159128676370941</v>
      </c>
      <c r="H104" s="1"/>
      <c r="I104" s="1">
        <f>I92*$G$101</f>
        <v>55.138475603686032</v>
      </c>
      <c r="J104" s="1"/>
      <c r="K104" s="1"/>
      <c r="L104" s="1">
        <f>L92*$L$101</f>
        <v>7.3568814667342686</v>
      </c>
      <c r="M104" s="1"/>
      <c r="N104" s="1">
        <f>N92*$L$101</f>
        <v>9.8454772428102064</v>
      </c>
      <c r="P104" s="1">
        <f>P92*$P$101</f>
        <v>4.0156311339257886</v>
      </c>
      <c r="Q104" s="1"/>
      <c r="R104" s="1">
        <f>R92*$P$101</f>
        <v>5.3739896617005707</v>
      </c>
    </row>
    <row r="105" spans="1:18" x14ac:dyDescent="0.35">
      <c r="D105" s="13" t="s">
        <v>85</v>
      </c>
      <c r="G105" s="1">
        <f>G93*$G$101</f>
        <v>31.575446976966035</v>
      </c>
      <c r="H105" s="1"/>
      <c r="I105" s="1">
        <f>I93*$G$101</f>
        <v>29.314564571920567</v>
      </c>
      <c r="J105" s="1"/>
      <c r="K105" s="1"/>
      <c r="L105" s="1">
        <f>L93*$L$101</f>
        <v>5.2197600770005943</v>
      </c>
      <c r="M105" s="1"/>
      <c r="N105" s="1">
        <f>N93*$L$101</f>
        <v>5.7130033200779549</v>
      </c>
      <c r="P105" s="1">
        <f>P93*$P$101</f>
        <v>2.8491190420294914</v>
      </c>
      <c r="Q105" s="1"/>
      <c r="R105" s="1">
        <f>R93*$P$101</f>
        <v>3.1183476455425509</v>
      </c>
    </row>
    <row r="106" spans="1:18" x14ac:dyDescent="0.35">
      <c r="D106" s="13" t="s">
        <v>86</v>
      </c>
      <c r="G106" s="1">
        <f>G94*$G$101</f>
        <v>38.303711158223543</v>
      </c>
      <c r="H106" s="1"/>
      <c r="I106" s="1">
        <f>I94*$G$101</f>
        <v>39.622462898078204</v>
      </c>
      <c r="J106" s="1"/>
      <c r="K106" s="1"/>
      <c r="L106" s="1">
        <f>L94*$L$101</f>
        <v>5.4234249066615465</v>
      </c>
      <c r="M106" s="1"/>
      <c r="N106" s="1">
        <f>N94*$L$101</f>
        <v>6.4796144469242973</v>
      </c>
      <c r="P106" s="1">
        <f>P94*$P$101</f>
        <v>2.9602860948860945</v>
      </c>
      <c r="Q106" s="1"/>
      <c r="R106" s="1">
        <f>R94*$P$101</f>
        <v>3.5367895522795125</v>
      </c>
    </row>
    <row r="107" spans="1:18" x14ac:dyDescent="0.35">
      <c r="D107" s="13" t="s">
        <v>87</v>
      </c>
      <c r="G107" s="1">
        <f>G95*$G$101</f>
        <v>29.914924289410539</v>
      </c>
      <c r="H107" s="1"/>
      <c r="I107" s="1">
        <f>I95*$G$101</f>
        <v>28.056915408168489</v>
      </c>
      <c r="J107" s="1"/>
      <c r="K107" s="1"/>
      <c r="L107" s="1">
        <f>L95*$L$101</f>
        <v>4.6870103504358331</v>
      </c>
      <c r="M107" s="1"/>
      <c r="N107" s="1">
        <f>N95*$L$101</f>
        <v>4.1311272170414544</v>
      </c>
      <c r="P107" s="1">
        <f>P95*$P$101</f>
        <v>2.5583264829462258</v>
      </c>
      <c r="Q107" s="1"/>
      <c r="R107" s="1">
        <f>R95*$P$101</f>
        <v>2.2549069393017938</v>
      </c>
    </row>
    <row r="108" spans="1:18" x14ac:dyDescent="0.35">
      <c r="A108" s="4"/>
      <c r="D108" s="13" t="s">
        <v>88</v>
      </c>
      <c r="G108" s="1">
        <f>G96*$G$101</f>
        <v>21.370062793782175</v>
      </c>
      <c r="H108" s="1"/>
      <c r="I108" s="1">
        <f>I96*$G$101</f>
        <v>18.632527708411089</v>
      </c>
      <c r="J108" s="1"/>
      <c r="K108" s="1"/>
      <c r="L108" s="1">
        <f>L96*$L$101</f>
        <v>4.3019951070361904</v>
      </c>
      <c r="M108" s="1"/>
      <c r="N108" s="1">
        <f>N96*$L$101</f>
        <v>3.3291349123193079</v>
      </c>
      <c r="P108" s="1">
        <f>P96*$P$101</f>
        <v>2.3481723292572538</v>
      </c>
      <c r="Q108" s="1"/>
      <c r="R108" s="1">
        <f>R96*$P$101</f>
        <v>1.8171528063076223</v>
      </c>
    </row>
    <row r="109" spans="1:18" x14ac:dyDescent="0.35">
      <c r="D109" s="13" t="s">
        <v>148</v>
      </c>
      <c r="E109" s="7"/>
      <c r="F109" s="7"/>
      <c r="G109" s="14">
        <f>G104/G107</f>
        <v>1.8772946952184157</v>
      </c>
      <c r="H109" s="7"/>
      <c r="I109" s="14">
        <f>I104/I107</f>
        <v>1.9652365486917718</v>
      </c>
      <c r="J109" s="7"/>
      <c r="K109" s="7"/>
      <c r="L109" s="14">
        <f>L104/L107</f>
        <v>1.5696320077573909</v>
      </c>
      <c r="M109" s="7"/>
      <c r="N109" s="14">
        <f>N104/N107</f>
        <v>2.3832423272264025</v>
      </c>
      <c r="O109" s="7"/>
      <c r="P109" s="14">
        <f>P104/P107</f>
        <v>1.5696320077573909</v>
      </c>
      <c r="Q109" s="7"/>
      <c r="R109" s="14">
        <f>R104/R107</f>
        <v>2.3832423272264021</v>
      </c>
    </row>
    <row r="110" spans="1:18" x14ac:dyDescent="0.35">
      <c r="D110" s="13"/>
      <c r="E110" s="7"/>
      <c r="F110" s="7"/>
      <c r="G110" s="14"/>
      <c r="H110" s="7"/>
      <c r="I110" s="14"/>
      <c r="J110" s="7"/>
      <c r="K110" s="7"/>
      <c r="L110" s="14"/>
      <c r="M110" s="7"/>
      <c r="N110" s="14"/>
    </row>
    <row r="111" spans="1:18" x14ac:dyDescent="0.35">
      <c r="A111" s="5" t="s">
        <v>257</v>
      </c>
      <c r="D111" s="13"/>
      <c r="E111" s="7"/>
      <c r="F111" s="7"/>
      <c r="G111" s="14"/>
      <c r="H111" s="7"/>
      <c r="I111" s="14"/>
      <c r="J111" s="7"/>
      <c r="K111" s="7"/>
      <c r="L111" s="14"/>
      <c r="M111" s="7"/>
      <c r="N111" s="14"/>
    </row>
    <row r="112" spans="1:18" x14ac:dyDescent="0.35">
      <c r="D112" s="13"/>
      <c r="E112" s="7"/>
      <c r="F112" s="7"/>
      <c r="G112" s="14"/>
      <c r="H112" s="7"/>
      <c r="I112" s="14"/>
      <c r="J112" s="7"/>
      <c r="K112" s="7"/>
      <c r="L112" s="14"/>
      <c r="M112" s="7"/>
      <c r="N112" s="14"/>
    </row>
    <row r="113" spans="4:35" x14ac:dyDescent="0.35">
      <c r="D113" s="50" t="s">
        <v>177</v>
      </c>
      <c r="E113" s="7"/>
      <c r="F113" s="7"/>
      <c r="G113" s="14"/>
      <c r="H113" s="7"/>
      <c r="I113" s="14"/>
      <c r="J113" s="7"/>
      <c r="K113" s="7"/>
      <c r="L113" s="14"/>
      <c r="M113" s="7"/>
      <c r="N113" s="14"/>
    </row>
    <row r="114" spans="4:35" x14ac:dyDescent="0.35">
      <c r="D114" s="13" t="s">
        <v>198</v>
      </c>
      <c r="E114" s="7"/>
      <c r="F114" s="7"/>
      <c r="G114" s="14"/>
      <c r="H114" s="7"/>
      <c r="I114" s="14"/>
      <c r="J114" s="7"/>
      <c r="K114" s="7"/>
      <c r="L114" s="14"/>
      <c r="M114" s="7"/>
      <c r="N114" s="14"/>
    </row>
    <row r="115" spans="4:35" x14ac:dyDescent="0.35">
      <c r="D115" s="13" t="s">
        <v>199</v>
      </c>
      <c r="E115" s="7"/>
      <c r="F115" s="7"/>
      <c r="G115" s="14"/>
      <c r="H115" s="7"/>
      <c r="I115" s="14"/>
      <c r="J115" s="7"/>
      <c r="K115" s="7"/>
      <c r="L115" s="14"/>
      <c r="M115" s="7"/>
      <c r="N115" s="14"/>
    </row>
    <row r="116" spans="4:35" x14ac:dyDescent="0.35">
      <c r="D116" s="13" t="s">
        <v>200</v>
      </c>
      <c r="E116" s="7"/>
      <c r="F116" s="7"/>
      <c r="G116" s="14"/>
      <c r="H116" s="7"/>
      <c r="I116" s="14"/>
      <c r="J116" s="7"/>
      <c r="K116" s="7"/>
      <c r="L116" s="14"/>
      <c r="M116" s="7"/>
      <c r="N116" s="14"/>
    </row>
    <row r="117" spans="4:35" x14ac:dyDescent="0.35">
      <c r="D117" s="13" t="s">
        <v>201</v>
      </c>
      <c r="E117" s="7"/>
      <c r="F117" s="7"/>
      <c r="G117" s="14"/>
      <c r="H117" s="7"/>
      <c r="I117" s="14"/>
      <c r="J117" s="7"/>
      <c r="K117" s="7"/>
      <c r="L117" s="14"/>
      <c r="M117" s="7"/>
      <c r="N117" s="14"/>
    </row>
    <row r="118" spans="4:35" x14ac:dyDescent="0.35">
      <c r="D118" s="13" t="s">
        <v>202</v>
      </c>
      <c r="E118" s="7"/>
      <c r="F118" s="7"/>
      <c r="G118" s="14"/>
      <c r="H118" s="7"/>
      <c r="I118" s="14"/>
      <c r="J118" s="7"/>
      <c r="K118" s="7"/>
      <c r="L118" s="14"/>
      <c r="M118" s="7"/>
      <c r="N118" s="14"/>
    </row>
    <row r="119" spans="4:35" x14ac:dyDescent="0.35">
      <c r="D119" s="13"/>
      <c r="E119" s="15" t="s">
        <v>178</v>
      </c>
      <c r="F119" s="7"/>
      <c r="G119" s="14"/>
      <c r="H119" s="7"/>
      <c r="I119" s="14"/>
      <c r="J119" s="7"/>
      <c r="K119" s="7"/>
      <c r="L119" s="14"/>
      <c r="M119" s="7"/>
      <c r="N119" s="19">
        <f>E27*N39/100</f>
        <v>908.47776124052018</v>
      </c>
      <c r="R119" s="54">
        <f>J27*R39/100</f>
        <v>269.32364709548767</v>
      </c>
      <c r="S119" s="4"/>
    </row>
    <row r="120" spans="4:35" x14ac:dyDescent="0.35">
      <c r="D120" s="13"/>
      <c r="E120" s="15" t="s">
        <v>197</v>
      </c>
      <c r="F120" s="7"/>
      <c r="G120" s="14"/>
      <c r="H120" s="7"/>
      <c r="I120" s="14"/>
      <c r="J120" s="7"/>
      <c r="K120" s="7"/>
      <c r="L120" s="14"/>
      <c r="M120" s="7"/>
      <c r="N120" s="19">
        <f>E25+E26</f>
        <v>2714.931</v>
      </c>
      <c r="R120" s="54">
        <f>J25+J26</f>
        <v>1005.8</v>
      </c>
    </row>
    <row r="121" spans="4:35" x14ac:dyDescent="0.35">
      <c r="D121" s="13"/>
      <c r="E121" s="15" t="s">
        <v>127</v>
      </c>
      <c r="F121" s="7"/>
      <c r="G121" s="14"/>
      <c r="H121" s="7"/>
      <c r="I121" s="14"/>
      <c r="J121" s="7"/>
      <c r="K121" s="7"/>
      <c r="L121" s="14"/>
      <c r="M121" s="7"/>
      <c r="N121" s="19">
        <f>E26</f>
        <v>2030.3992000000001</v>
      </c>
      <c r="R121" s="54">
        <f>J26</f>
        <v>995</v>
      </c>
    </row>
    <row r="122" spans="4:35" x14ac:dyDescent="0.35">
      <c r="D122" s="13"/>
      <c r="E122" s="15" t="s">
        <v>179</v>
      </c>
      <c r="F122" s="7"/>
      <c r="G122" s="14"/>
      <c r="H122" s="15"/>
      <c r="I122" s="14"/>
      <c r="J122" s="7"/>
      <c r="K122" s="7"/>
      <c r="L122" s="14"/>
      <c r="M122" s="7"/>
      <c r="N122" s="19">
        <f>N121*L36/100</f>
        <v>348.19344203722625</v>
      </c>
      <c r="R122" s="54">
        <f>J26*P36/100</f>
        <v>79.659226524144273</v>
      </c>
      <c r="T122" s="15"/>
      <c r="U122" s="7"/>
      <c r="V122" s="7"/>
      <c r="W122" s="7"/>
      <c r="X122" s="7"/>
      <c r="Y122" s="7"/>
      <c r="Z122" s="7"/>
      <c r="AA122" s="7"/>
      <c r="AB122" s="7"/>
      <c r="AC122" s="7"/>
      <c r="AD122" s="7"/>
      <c r="AE122" s="7"/>
      <c r="AF122" s="7"/>
      <c r="AG122" s="7"/>
      <c r="AH122" s="7"/>
      <c r="AI122" s="7"/>
    </row>
    <row r="123" spans="4:35" x14ac:dyDescent="0.35">
      <c r="D123" s="13"/>
      <c r="E123" s="15" t="s">
        <v>256</v>
      </c>
      <c r="F123" s="7"/>
      <c r="G123" s="14"/>
      <c r="H123" s="7"/>
      <c r="I123" s="14"/>
      <c r="J123" s="7"/>
      <c r="K123" s="7"/>
      <c r="L123" s="14"/>
      <c r="M123" s="7"/>
      <c r="N123" s="19">
        <f>N120-N121+N122</f>
        <v>1032.7252420372263</v>
      </c>
      <c r="P123" s="15"/>
      <c r="Q123" s="7"/>
      <c r="R123" s="19">
        <f>R120-R121+R122</f>
        <v>90.459226524144228</v>
      </c>
      <c r="T123" s="7"/>
      <c r="U123" s="7"/>
      <c r="V123" s="7"/>
      <c r="W123" s="7"/>
      <c r="X123" s="7"/>
      <c r="Y123" s="7"/>
      <c r="Z123" s="7"/>
      <c r="AA123" s="7"/>
      <c r="AB123" s="7"/>
      <c r="AC123" s="7"/>
      <c r="AD123" s="7"/>
      <c r="AE123" s="7"/>
      <c r="AF123" s="7"/>
      <c r="AG123" s="7"/>
      <c r="AH123" s="7"/>
      <c r="AI123" s="7"/>
    </row>
    <row r="124" spans="4:35" x14ac:dyDescent="0.35">
      <c r="D124" s="13"/>
      <c r="E124" s="15" t="s">
        <v>255</v>
      </c>
      <c r="F124" s="7"/>
      <c r="G124" s="14"/>
      <c r="H124" s="7"/>
      <c r="I124" s="14"/>
      <c r="J124" s="7"/>
      <c r="K124" s="7"/>
      <c r="L124" s="14"/>
      <c r="M124" s="7"/>
      <c r="N124" s="19">
        <f>N123*2*L272</f>
        <v>206.54504840744528</v>
      </c>
      <c r="P124" s="15"/>
      <c r="Q124" s="7"/>
      <c r="R124" s="19">
        <f>R123*2*L272</f>
        <v>18.091845304828848</v>
      </c>
      <c r="T124" s="15"/>
      <c r="U124" s="7"/>
      <c r="V124" s="7"/>
      <c r="W124" s="7"/>
      <c r="X124" s="7"/>
      <c r="Y124" s="7"/>
      <c r="Z124" s="7"/>
      <c r="AA124" s="7"/>
      <c r="AB124" s="7"/>
      <c r="AC124" s="7"/>
      <c r="AD124" s="7"/>
      <c r="AE124" s="7"/>
      <c r="AF124" s="7"/>
      <c r="AG124" s="7"/>
      <c r="AH124" s="7"/>
      <c r="AI124" s="7"/>
    </row>
    <row r="125" spans="4:35" x14ac:dyDescent="0.35">
      <c r="D125" s="13"/>
      <c r="E125" s="15" t="s">
        <v>180</v>
      </c>
      <c r="F125" s="7"/>
      <c r="G125" s="14"/>
      <c r="H125" s="7"/>
      <c r="I125" s="14"/>
      <c r="J125" s="7"/>
      <c r="K125" s="7"/>
      <c r="L125" s="14"/>
      <c r="M125" s="7"/>
      <c r="N125" s="19">
        <f>N119-N124</f>
        <v>701.9327128330749</v>
      </c>
      <c r="O125" s="7"/>
      <c r="P125" s="15"/>
      <c r="Q125" s="7"/>
      <c r="R125" s="19">
        <f>R119-R124</f>
        <v>251.23180179065884</v>
      </c>
    </row>
    <row r="126" spans="4:35" x14ac:dyDescent="0.35">
      <c r="D126" s="13"/>
      <c r="E126" s="7"/>
      <c r="F126" s="7"/>
      <c r="G126" s="14"/>
      <c r="H126" s="7"/>
      <c r="I126" s="14"/>
      <c r="J126" s="7"/>
      <c r="K126" s="7"/>
      <c r="L126" s="14"/>
      <c r="M126" s="7"/>
      <c r="N126" s="14"/>
      <c r="P126" s="15" t="s">
        <v>194</v>
      </c>
      <c r="Q126" s="7"/>
    </row>
    <row r="127" spans="4:35" x14ac:dyDescent="0.35">
      <c r="D127" s="57" t="s">
        <v>184</v>
      </c>
      <c r="E127" s="7"/>
      <c r="F127" s="7"/>
      <c r="G127" s="14"/>
      <c r="H127" s="7"/>
      <c r="I127" s="14"/>
      <c r="J127" s="42" t="s">
        <v>70</v>
      </c>
      <c r="K127" s="32"/>
      <c r="L127" s="42" t="s">
        <v>74</v>
      </c>
      <c r="M127" s="42"/>
      <c r="N127" s="42" t="s">
        <v>72</v>
      </c>
      <c r="O127" s="52"/>
      <c r="P127" s="42" t="s">
        <v>74</v>
      </c>
      <c r="Q127" s="42"/>
      <c r="R127" s="42" t="s">
        <v>72</v>
      </c>
    </row>
    <row r="128" spans="4:35" x14ac:dyDescent="0.35">
      <c r="D128" s="13"/>
      <c r="E128" s="6" t="s">
        <v>181</v>
      </c>
      <c r="F128" s="7"/>
      <c r="G128" s="14"/>
      <c r="H128" s="7"/>
      <c r="I128" s="14"/>
      <c r="J128" s="19">
        <f>E26*L36/100</f>
        <v>348.19344203722625</v>
      </c>
      <c r="K128" s="19"/>
      <c r="L128" s="19">
        <f>E26*L37/100</f>
        <v>821.58874256532977</v>
      </c>
      <c r="M128" s="19"/>
      <c r="N128" s="19">
        <f>E26*L38/100</f>
        <v>475.71255241170189</v>
      </c>
      <c r="O128" s="54"/>
      <c r="P128" s="19">
        <f>J26*P37/100</f>
        <v>368.2888614106181</v>
      </c>
      <c r="Q128" s="19"/>
      <c r="R128" s="19">
        <f>J26*P38/100</f>
        <v>148.06796975832296</v>
      </c>
    </row>
    <row r="129" spans="4:18" x14ac:dyDescent="0.35">
      <c r="D129" s="13"/>
      <c r="E129" s="15" t="s">
        <v>182</v>
      </c>
      <c r="F129" s="7"/>
      <c r="G129" s="14"/>
      <c r="H129" s="7"/>
      <c r="I129" s="14"/>
      <c r="J129" s="19">
        <f>N125*N36/100</f>
        <v>37.803389890060096</v>
      </c>
      <c r="K129" s="19"/>
      <c r="L129" s="19">
        <f>N125*N37/100</f>
        <v>46.721902765388656</v>
      </c>
      <c r="M129" s="19"/>
      <c r="N129" s="19">
        <f>N125*N38/100</f>
        <v>567.86888720920763</v>
      </c>
      <c r="O129" s="54"/>
      <c r="P129" s="19">
        <f>R125*R37/100</f>
        <v>27.42499647545057</v>
      </c>
      <c r="Q129" s="19"/>
      <c r="R129" s="19">
        <f>R125*R38/100</f>
        <v>192.65553681587738</v>
      </c>
    </row>
    <row r="130" spans="4:18" x14ac:dyDescent="0.35">
      <c r="D130" s="13"/>
      <c r="E130" s="15" t="s">
        <v>176</v>
      </c>
      <c r="F130" s="7"/>
      <c r="G130" s="14"/>
      <c r="H130" s="7"/>
      <c r="I130" s="14"/>
      <c r="J130" s="19">
        <f>J128+J129</f>
        <v>385.99683192728634</v>
      </c>
      <c r="K130" s="19"/>
      <c r="L130" s="19">
        <f>L128+L129</f>
        <v>868.31064533071844</v>
      </c>
      <c r="M130" s="19"/>
      <c r="N130" s="19">
        <f>N128+N129</f>
        <v>1043.5814396209096</v>
      </c>
      <c r="O130" s="54"/>
      <c r="P130" s="19">
        <f>P128+P129</f>
        <v>395.71385788606869</v>
      </c>
      <c r="Q130" s="19"/>
      <c r="R130" s="19">
        <f>R128+R129</f>
        <v>340.72350657420031</v>
      </c>
    </row>
    <row r="131" spans="4:18" x14ac:dyDescent="0.35">
      <c r="D131" s="13"/>
      <c r="E131" s="15" t="s">
        <v>183</v>
      </c>
      <c r="F131" s="7"/>
      <c r="G131" s="14"/>
      <c r="H131" s="7"/>
      <c r="I131" s="14"/>
      <c r="J131" s="7"/>
      <c r="K131" s="7"/>
      <c r="L131" s="19">
        <f>L130*L54</f>
        <v>331.37265635204238</v>
      </c>
      <c r="M131" s="19"/>
      <c r="N131" s="19">
        <f>N130*N54</f>
        <v>469.4886103606438</v>
      </c>
      <c r="P131" s="19">
        <f>P130*P54</f>
        <v>130.58557310240266</v>
      </c>
      <c r="Q131" s="19"/>
      <c r="R131" s="19">
        <f>R130*R54</f>
        <v>126.06769743245411</v>
      </c>
    </row>
    <row r="132" spans="4:18" x14ac:dyDescent="0.35">
      <c r="D132" s="13"/>
      <c r="E132" s="7"/>
      <c r="F132" s="13" t="s">
        <v>84</v>
      </c>
      <c r="G132" s="14"/>
      <c r="H132" s="7"/>
      <c r="I132" s="14"/>
      <c r="J132" s="7"/>
      <c r="K132" s="7"/>
      <c r="L132" s="19">
        <f>L$131*L58</f>
        <v>12.994179851151459</v>
      </c>
      <c r="M132" s="19"/>
      <c r="N132" s="19">
        <f>N$131*N58</f>
        <v>72.496453705114916</v>
      </c>
      <c r="P132" s="19">
        <f>P$131*P58</f>
        <v>5.1206772506166329</v>
      </c>
      <c r="Q132" s="19"/>
      <c r="R132" s="19">
        <f>R$131*R58</f>
        <v>19.466842834806467</v>
      </c>
    </row>
    <row r="133" spans="4:18" x14ac:dyDescent="0.35">
      <c r="D133" s="13"/>
      <c r="E133" s="7"/>
      <c r="F133" s="13" t="s">
        <v>85</v>
      </c>
      <c r="G133" s="14"/>
      <c r="H133" s="7"/>
      <c r="I133" s="14"/>
      <c r="J133" s="7"/>
      <c r="K133" s="7"/>
      <c r="L133" s="19">
        <f>L$131*L59</f>
        <v>119.24836202469363</v>
      </c>
      <c r="M133" s="19"/>
      <c r="N133" s="19">
        <f>N$131*N59</f>
        <v>184.69951574190736</v>
      </c>
      <c r="P133" s="19">
        <f>P$131*P59</f>
        <v>46.99275995776177</v>
      </c>
      <c r="Q133" s="19"/>
      <c r="R133" s="19">
        <f>R$131*R59</f>
        <v>49.595756217781663</v>
      </c>
    </row>
    <row r="134" spans="4:18" x14ac:dyDescent="0.35">
      <c r="D134" s="13"/>
      <c r="E134" s="7"/>
      <c r="F134" s="13" t="s">
        <v>86</v>
      </c>
      <c r="G134" s="14"/>
      <c r="H134" s="7"/>
      <c r="I134" s="14"/>
      <c r="J134" s="7"/>
      <c r="K134" s="7"/>
      <c r="L134" s="19">
        <f>L$131*L60</f>
        <v>132.24254187584512</v>
      </c>
      <c r="M134" s="19"/>
      <c r="N134" s="19">
        <f>N$131*N60</f>
        <v>257.19596944702226</v>
      </c>
      <c r="P134" s="19">
        <f>P$131*P60</f>
        <v>52.113437208378407</v>
      </c>
      <c r="Q134" s="19"/>
      <c r="R134" s="19">
        <f>R$131*R60</f>
        <v>69.062599052588126</v>
      </c>
    </row>
    <row r="135" spans="4:18" x14ac:dyDescent="0.35">
      <c r="D135" s="13"/>
      <c r="E135" s="7"/>
      <c r="F135" s="13" t="s">
        <v>87</v>
      </c>
      <c r="G135" s="14"/>
      <c r="H135" s="7"/>
      <c r="I135" s="14"/>
      <c r="J135" s="7"/>
      <c r="K135" s="7"/>
      <c r="L135" s="19">
        <f>L$131*L61</f>
        <v>318.37847650089088</v>
      </c>
      <c r="M135" s="19"/>
      <c r="N135" s="19">
        <f>N$131*N61</f>
        <v>396.99215665552885</v>
      </c>
      <c r="P135" s="19">
        <f>P$131*P61</f>
        <v>125.46489585178603</v>
      </c>
      <c r="Q135" s="19"/>
      <c r="R135" s="19">
        <f>R$131*R61</f>
        <v>106.60085459764764</v>
      </c>
    </row>
    <row r="136" spans="4:18" x14ac:dyDescent="0.35">
      <c r="D136" s="13"/>
      <c r="E136" s="7"/>
      <c r="F136" s="13" t="s">
        <v>88</v>
      </c>
      <c r="G136" s="14"/>
      <c r="H136" s="7"/>
      <c r="I136" s="14"/>
      <c r="J136" s="7"/>
      <c r="K136" s="7"/>
      <c r="L136" s="19">
        <f>L$131*L62</f>
        <v>199.13011447619724</v>
      </c>
      <c r="M136" s="19"/>
      <c r="N136" s="19">
        <f>N$131*N62</f>
        <v>212.29264091362151</v>
      </c>
      <c r="P136" s="19">
        <f>P$131*P62</f>
        <v>78.472135894024234</v>
      </c>
      <c r="Q136" s="19"/>
      <c r="R136" s="19">
        <f>R$131*R62</f>
        <v>57.005098379865977</v>
      </c>
    </row>
    <row r="137" spans="4:18" x14ac:dyDescent="0.35">
      <c r="D137" s="13"/>
      <c r="E137" s="7"/>
      <c r="F137" s="7"/>
      <c r="G137" s="14"/>
      <c r="H137" s="7"/>
      <c r="I137" s="14"/>
      <c r="J137" s="7"/>
      <c r="K137" s="7"/>
      <c r="L137" s="14"/>
      <c r="M137" s="7"/>
      <c r="N137" s="14"/>
    </row>
    <row r="138" spans="4:18" x14ac:dyDescent="0.35">
      <c r="D138" s="13" t="s">
        <v>185</v>
      </c>
      <c r="E138" s="7"/>
      <c r="F138" s="7"/>
      <c r="G138" s="14"/>
      <c r="H138" s="7"/>
      <c r="I138" s="14"/>
      <c r="J138" s="7"/>
      <c r="K138" s="7"/>
      <c r="L138" s="14"/>
      <c r="M138" s="7"/>
      <c r="N138" s="14"/>
    </row>
    <row r="139" spans="4:18" x14ac:dyDescent="0.35">
      <c r="D139" s="13"/>
      <c r="E139" s="7"/>
      <c r="F139" s="13" t="s">
        <v>84</v>
      </c>
      <c r="G139" s="14"/>
      <c r="H139" s="7"/>
      <c r="I139" s="14"/>
      <c r="J139" s="7"/>
      <c r="K139" s="7"/>
      <c r="L139" s="16">
        <f>L132/L104</f>
        <v>1.7662619562252642</v>
      </c>
      <c r="M139" s="16"/>
      <c r="N139" s="16">
        <f>N132/N104</f>
        <v>7.3634270759252871</v>
      </c>
      <c r="P139" s="16">
        <f>P132/P104</f>
        <v>1.2751861612375044</v>
      </c>
      <c r="Q139" s="16"/>
      <c r="R139" s="16">
        <f>R132/R104</f>
        <v>3.6224191076404653</v>
      </c>
    </row>
    <row r="140" spans="4:18" x14ac:dyDescent="0.35">
      <c r="D140" s="13"/>
      <c r="E140" s="7"/>
      <c r="F140" s="13" t="s">
        <v>85</v>
      </c>
      <c r="G140" s="14"/>
      <c r="H140" s="7"/>
      <c r="I140" s="14"/>
      <c r="J140" s="7"/>
      <c r="K140" s="7"/>
      <c r="L140" s="16">
        <f>L133/L105</f>
        <v>22.845563831588358</v>
      </c>
      <c r="M140" s="16"/>
      <c r="N140" s="16">
        <f>N133/N105</f>
        <v>32.329670646749619</v>
      </c>
      <c r="P140" s="16">
        <f>P133/P105</f>
        <v>16.493786066688099</v>
      </c>
      <c r="Q140" s="16"/>
      <c r="R140" s="16">
        <f>R133/R105</f>
        <v>15.904498745890361</v>
      </c>
    </row>
    <row r="141" spans="4:18" x14ac:dyDescent="0.35">
      <c r="D141" s="13"/>
      <c r="E141" s="7"/>
      <c r="F141" s="13" t="s">
        <v>86</v>
      </c>
      <c r="G141" s="14"/>
      <c r="H141" s="7"/>
      <c r="I141" s="14"/>
      <c r="J141" s="7"/>
      <c r="K141" s="7"/>
      <c r="L141" s="16">
        <f>L134/L106</f>
        <v>24.383584939732959</v>
      </c>
      <c r="M141" s="16"/>
      <c r="N141" s="16">
        <f>N134/N106</f>
        <v>39.693097722674906</v>
      </c>
      <c r="P141" s="16">
        <f>P134/P106</f>
        <v>17.604189439123662</v>
      </c>
      <c r="Q141" s="16"/>
      <c r="R141" s="16">
        <f>R134/R106</f>
        <v>19.526917853530829</v>
      </c>
    </row>
    <row r="142" spans="4:18" x14ac:dyDescent="0.35">
      <c r="D142" s="13"/>
      <c r="E142" s="7"/>
      <c r="F142" s="13" t="s">
        <v>87</v>
      </c>
      <c r="G142" s="14"/>
      <c r="H142" s="7"/>
      <c r="I142" s="14"/>
      <c r="J142" s="7"/>
      <c r="K142" s="7"/>
      <c r="L142" s="16">
        <f>L135/L107</f>
        <v>67.927837298521368</v>
      </c>
      <c r="M142" s="16"/>
      <c r="N142" s="16">
        <f>N135/N107</f>
        <v>96.097780532606919</v>
      </c>
      <c r="P142" s="16">
        <f>P135/P107</f>
        <v>49.041784419671821</v>
      </c>
      <c r="Q142" s="16"/>
      <c r="R142" s="16">
        <f>R135/R107</f>
        <v>47.275057227264277</v>
      </c>
    </row>
    <row r="143" spans="4:18" x14ac:dyDescent="0.35">
      <c r="D143" s="13"/>
      <c r="E143" s="7"/>
      <c r="F143" s="13" t="s">
        <v>88</v>
      </c>
      <c r="G143" s="14"/>
      <c r="H143" s="7"/>
      <c r="I143" s="14"/>
      <c r="J143" s="7"/>
      <c r="K143" s="7"/>
      <c r="L143" s="16">
        <f>L136/L108</f>
        <v>46.28785238516592</v>
      </c>
      <c r="M143" s="16"/>
      <c r="N143" s="16">
        <f>N136/N108</f>
        <v>63.768109885857292</v>
      </c>
      <c r="P143" s="16">
        <f>P136/P108</f>
        <v>33.418388810861089</v>
      </c>
      <c r="Q143" s="16"/>
      <c r="R143" s="16">
        <f>R136/R108</f>
        <v>31.370558481373905</v>
      </c>
    </row>
    <row r="144" spans="4:18" x14ac:dyDescent="0.35">
      <c r="D144" s="13"/>
      <c r="E144" s="7"/>
      <c r="F144" s="13"/>
      <c r="G144" s="14"/>
      <c r="H144" s="7"/>
      <c r="I144" s="14"/>
      <c r="J144" s="7"/>
      <c r="K144" s="7"/>
      <c r="L144" s="16"/>
      <c r="M144" s="16"/>
      <c r="N144" s="16"/>
      <c r="P144" s="16"/>
      <c r="Q144" s="16"/>
      <c r="R144" s="16"/>
    </row>
    <row r="145" spans="1:18" x14ac:dyDescent="0.35">
      <c r="D145" s="13"/>
      <c r="E145" s="7"/>
      <c r="F145" s="13"/>
      <c r="G145" s="14"/>
      <c r="H145" s="7"/>
      <c r="I145" s="14"/>
      <c r="J145" s="7"/>
      <c r="K145" s="7"/>
      <c r="L145" s="14"/>
      <c r="M145" s="7"/>
      <c r="N145" s="14"/>
      <c r="P145" s="15" t="s">
        <v>194</v>
      </c>
      <c r="Q145" s="7"/>
      <c r="R145" s="15" t="s">
        <v>194</v>
      </c>
    </row>
    <row r="146" spans="1:18" x14ac:dyDescent="0.35">
      <c r="D146" s="50" t="s">
        <v>317</v>
      </c>
      <c r="E146" s="49"/>
      <c r="F146" s="50"/>
      <c r="G146" s="51"/>
      <c r="H146" s="49"/>
      <c r="I146" s="51"/>
      <c r="J146" s="49"/>
      <c r="K146" s="7"/>
      <c r="L146" s="31" t="s">
        <v>74</v>
      </c>
      <c r="M146" s="31"/>
      <c r="N146" s="31" t="s">
        <v>72</v>
      </c>
      <c r="O146" s="53"/>
      <c r="P146" s="31" t="s">
        <v>74</v>
      </c>
      <c r="Q146" s="31"/>
      <c r="R146" s="31" t="s">
        <v>72</v>
      </c>
    </row>
    <row r="147" spans="1:18" x14ac:dyDescent="0.35">
      <c r="D147" s="13"/>
      <c r="E147" s="7"/>
      <c r="F147" s="13" t="s">
        <v>84</v>
      </c>
      <c r="G147" s="14"/>
      <c r="H147" s="7"/>
      <c r="I147" s="14"/>
      <c r="J147" s="7"/>
      <c r="K147" s="7"/>
      <c r="L147" s="16">
        <f>1000*L139/L$98</f>
        <v>0.77377856737081874</v>
      </c>
      <c r="M147" s="16"/>
      <c r="N147" s="16">
        <f>1000*N139/N$98</f>
        <v>3.4638440581063601</v>
      </c>
      <c r="P147" s="16">
        <f>1000*P139/P$98</f>
        <v>0.52541663009373896</v>
      </c>
      <c r="Q147" s="16"/>
      <c r="R147" s="16">
        <f>1000*R139/R$98</f>
        <v>1.6786001425581396</v>
      </c>
    </row>
    <row r="148" spans="1:18" x14ac:dyDescent="0.35">
      <c r="D148" s="13"/>
      <c r="E148" s="7"/>
      <c r="F148" s="13" t="s">
        <v>85</v>
      </c>
      <c r="G148" s="14"/>
      <c r="H148" s="7"/>
      <c r="I148" s="14"/>
      <c r="J148" s="7"/>
      <c r="K148" s="7"/>
      <c r="L148" s="16">
        <f>1000*L140/L$98</f>
        <v>10.00837253504797</v>
      </c>
      <c r="M148" s="16"/>
      <c r="N148" s="16">
        <f>1000*N140/N$98</f>
        <v>15.208263274096085</v>
      </c>
      <c r="P148" s="16">
        <f>1000*P140/P$98</f>
        <v>6.7959563521582611</v>
      </c>
      <c r="Q148" s="16"/>
      <c r="R148" s="16">
        <f>1000*R140/R$98</f>
        <v>7.3700179545367757</v>
      </c>
    </row>
    <row r="149" spans="1:18" x14ac:dyDescent="0.35">
      <c r="D149" s="13"/>
      <c r="E149" s="7"/>
      <c r="F149" s="13" t="s">
        <v>86</v>
      </c>
      <c r="G149" s="14"/>
      <c r="H149" s="7"/>
      <c r="I149" s="14"/>
      <c r="J149" s="7"/>
      <c r="K149" s="7"/>
      <c r="L149" s="16">
        <f>1000*L141/L$98</f>
        <v>10.682161474141456</v>
      </c>
      <c r="M149" s="16"/>
      <c r="N149" s="16">
        <f>1000*N141/N$98</f>
        <v>18.672107332202447</v>
      </c>
      <c r="P149" s="16">
        <f>1000*P141/P$98</f>
        <v>7.2534773131947512</v>
      </c>
      <c r="Q149" s="16"/>
      <c r="R149" s="16">
        <f>1000*R141/R$98</f>
        <v>9.0486180970949146</v>
      </c>
    </row>
    <row r="150" spans="1:18" x14ac:dyDescent="0.35">
      <c r="D150" s="13"/>
      <c r="E150" s="7"/>
      <c r="F150" s="13" t="s">
        <v>87</v>
      </c>
      <c r="G150" s="14"/>
      <c r="H150" s="7"/>
      <c r="I150" s="14"/>
      <c r="J150" s="7"/>
      <c r="K150" s="7"/>
      <c r="L150" s="16">
        <f>1000*L142/L$98</f>
        <v>29.758385750309639</v>
      </c>
      <c r="M150" s="16"/>
      <c r="N150" s="16">
        <f>1000*N142/N$98</f>
        <v>45.205543921714117</v>
      </c>
      <c r="O150" s="7"/>
      <c r="P150" s="16">
        <f>1000*P142/P$98</f>
        <v>20.206750893972732</v>
      </c>
      <c r="Q150" s="16"/>
      <c r="R150" s="16">
        <f>1000*R142/R$98</f>
        <v>21.906884720697068</v>
      </c>
    </row>
    <row r="151" spans="1:18" x14ac:dyDescent="0.35">
      <c r="D151" s="13"/>
      <c r="E151" s="7"/>
      <c r="F151" s="13" t="s">
        <v>88</v>
      </c>
      <c r="G151" s="14"/>
      <c r="H151" s="7"/>
      <c r="I151" s="14"/>
      <c r="J151" s="7"/>
      <c r="K151" s="7"/>
      <c r="L151" s="16">
        <f>1000*L143/L$98</f>
        <v>20.278163145069563</v>
      </c>
      <c r="M151" s="16"/>
      <c r="N151" s="16">
        <f>1000*N143/N$98</f>
        <v>29.99728064761803</v>
      </c>
      <c r="O151" s="7"/>
      <c r="P151" s="16">
        <f>1000*P143/P$98</f>
        <v>13.7694226661974</v>
      </c>
      <c r="Q151" s="16"/>
      <c r="R151" s="16">
        <f>1000*R143/R$98</f>
        <v>14.536866766160289</v>
      </c>
    </row>
    <row r="152" spans="1:18" x14ac:dyDescent="0.35">
      <c r="D152" s="13"/>
      <c r="E152" s="7"/>
      <c r="F152" s="13" t="s">
        <v>186</v>
      </c>
      <c r="G152" s="14"/>
      <c r="H152" s="7"/>
      <c r="I152" s="14"/>
      <c r="J152" s="7"/>
      <c r="K152" s="7"/>
      <c r="L152" s="16">
        <f>L147+L148+L151</f>
        <v>31.06031424748835</v>
      </c>
      <c r="M152" s="16"/>
      <c r="N152" s="16">
        <f>N147+N148+N151</f>
        <v>48.66938797982047</v>
      </c>
      <c r="O152" s="7"/>
      <c r="P152" s="16">
        <f>P147+P148+P151</f>
        <v>21.090795648449401</v>
      </c>
      <c r="Q152" s="16"/>
      <c r="R152" s="16">
        <f>R147+R148+R151</f>
        <v>23.585484863255203</v>
      </c>
    </row>
    <row r="153" spans="1:18" x14ac:dyDescent="0.35">
      <c r="D153" s="13"/>
      <c r="E153" s="7"/>
      <c r="F153" s="7"/>
      <c r="G153" s="6" t="s">
        <v>181</v>
      </c>
      <c r="H153" s="7"/>
      <c r="I153" s="14"/>
      <c r="J153" s="7"/>
      <c r="K153" s="7"/>
      <c r="L153" s="16">
        <f>L152*L128/L130</f>
        <v>29.389026454418804</v>
      </c>
      <c r="M153" s="16"/>
      <c r="N153" s="16">
        <f>N152*N128/N130</f>
        <v>22.185751778611746</v>
      </c>
      <c r="O153" s="7"/>
      <c r="P153" s="16">
        <f>P152*P128/P130</f>
        <v>19.629095521460908</v>
      </c>
      <c r="Q153" s="16"/>
      <c r="R153" s="16">
        <f>R152*R128/R130</f>
        <v>10.249527232742709</v>
      </c>
    </row>
    <row r="154" spans="1:18" x14ac:dyDescent="0.35">
      <c r="D154" s="13"/>
      <c r="E154" s="7"/>
      <c r="F154" s="7"/>
      <c r="G154" s="15" t="s">
        <v>182</v>
      </c>
      <c r="H154" s="7"/>
      <c r="I154" s="14"/>
      <c r="J154" s="7"/>
      <c r="K154" s="7"/>
      <c r="L154" s="16">
        <f>L152*L129/L130</f>
        <v>1.6712877930695422</v>
      </c>
      <c r="M154" s="16"/>
      <c r="N154" s="16">
        <f>N152*N129/N130</f>
        <v>26.483636201208721</v>
      </c>
      <c r="O154" s="7"/>
      <c r="P154" s="16">
        <f>P152*P129/P130</f>
        <v>1.4617001269884928</v>
      </c>
      <c r="Q154" s="16"/>
      <c r="R154" s="16">
        <f>R152*R129/R130</f>
        <v>13.335957630512496</v>
      </c>
    </row>
    <row r="155" spans="1:18" x14ac:dyDescent="0.35">
      <c r="D155" s="13"/>
      <c r="E155" s="7"/>
      <c r="F155" s="7"/>
      <c r="G155" s="14"/>
      <c r="H155" s="7"/>
      <c r="I155" s="14"/>
      <c r="J155" s="7"/>
      <c r="K155" s="7"/>
      <c r="L155" s="14"/>
      <c r="M155" s="7"/>
      <c r="N155" s="14"/>
    </row>
    <row r="157" spans="1:18" x14ac:dyDescent="0.35">
      <c r="A157" s="7" t="s">
        <v>45</v>
      </c>
      <c r="B157" s="7"/>
      <c r="C157" s="7"/>
      <c r="D157" s="7"/>
      <c r="E157" s="7"/>
      <c r="F157" s="7"/>
      <c r="G157" s="8"/>
      <c r="H157" s="8"/>
      <c r="I157" s="8"/>
      <c r="J157" s="8"/>
      <c r="K157" s="8"/>
      <c r="L157" s="8"/>
      <c r="M157" s="8"/>
      <c r="N157" s="8"/>
      <c r="O157" s="8"/>
      <c r="P157" s="7"/>
    </row>
    <row r="158" spans="1:18" x14ac:dyDescent="0.35">
      <c r="A158" s="7"/>
      <c r="B158" s="7"/>
      <c r="C158" s="7"/>
      <c r="D158" s="7"/>
      <c r="E158" s="7"/>
      <c r="F158" s="7"/>
      <c r="G158" s="8"/>
      <c r="H158" s="8"/>
      <c r="I158" s="8"/>
      <c r="J158" s="8"/>
      <c r="K158" s="8"/>
      <c r="L158" s="8"/>
      <c r="M158" s="8"/>
      <c r="N158" s="8"/>
      <c r="O158" s="8"/>
      <c r="P158" s="7"/>
    </row>
    <row r="159" spans="1:18" x14ac:dyDescent="0.35">
      <c r="A159" s="7" t="s">
        <v>47</v>
      </c>
      <c r="B159" s="7"/>
      <c r="C159" s="7"/>
      <c r="D159" s="7"/>
      <c r="E159" s="7"/>
      <c r="F159" s="7"/>
      <c r="G159" s="7"/>
      <c r="H159" s="7"/>
      <c r="I159" s="7"/>
      <c r="J159" s="7"/>
      <c r="K159" s="7"/>
      <c r="L159" s="7"/>
      <c r="M159" s="7"/>
      <c r="N159" s="7"/>
      <c r="O159" s="7"/>
      <c r="P159" s="7"/>
    </row>
    <row r="160" spans="1:18" x14ac:dyDescent="0.35">
      <c r="A160" s="7"/>
      <c r="B160" s="7"/>
      <c r="C160" s="7"/>
      <c r="D160" s="7"/>
      <c r="E160" s="7"/>
      <c r="F160" s="7"/>
      <c r="G160" s="7"/>
      <c r="H160" s="7"/>
      <c r="I160" s="7"/>
      <c r="J160" s="7"/>
      <c r="K160" s="7"/>
      <c r="L160" s="7"/>
      <c r="M160" s="7"/>
      <c r="N160" s="7"/>
      <c r="O160" s="7"/>
      <c r="P160" s="7"/>
    </row>
    <row r="161" spans="1:17" s="7" customFormat="1" x14ac:dyDescent="0.35">
      <c r="A161" s="15" t="s">
        <v>106</v>
      </c>
    </row>
    <row r="162" spans="1:17" x14ac:dyDescent="0.35">
      <c r="A162" s="7"/>
      <c r="B162" s="7"/>
      <c r="C162" s="7"/>
      <c r="D162" s="7"/>
      <c r="E162" s="7"/>
      <c r="F162" s="7"/>
      <c r="G162" s="7"/>
      <c r="H162" s="7"/>
      <c r="I162" s="7"/>
      <c r="J162" s="7"/>
      <c r="K162" s="7"/>
      <c r="L162" s="7"/>
      <c r="M162" s="7"/>
      <c r="N162" s="7"/>
      <c r="O162" s="7"/>
      <c r="P162" s="7"/>
    </row>
    <row r="163" spans="1:17" x14ac:dyDescent="0.35">
      <c r="A163" s="7"/>
      <c r="B163" s="7"/>
      <c r="C163" s="7"/>
      <c r="D163" s="7"/>
      <c r="E163" s="7"/>
      <c r="F163" s="7"/>
      <c r="G163" s="8" t="s">
        <v>73</v>
      </c>
      <c r="H163" s="8"/>
      <c r="I163" s="8"/>
      <c r="J163" s="8"/>
      <c r="K163" s="8"/>
      <c r="L163" s="8" t="s">
        <v>75</v>
      </c>
      <c r="M163" s="8"/>
      <c r="N163" s="8"/>
      <c r="O163" s="8"/>
      <c r="P163" s="7"/>
    </row>
    <row r="164" spans="1:17" x14ac:dyDescent="0.35">
      <c r="A164" s="7"/>
      <c r="B164" s="7"/>
      <c r="C164" s="7"/>
      <c r="D164" s="7"/>
      <c r="E164" s="7"/>
      <c r="F164" s="7"/>
      <c r="G164" s="8" t="s">
        <v>74</v>
      </c>
      <c r="H164" s="8"/>
      <c r="I164" s="8" t="s">
        <v>72</v>
      </c>
      <c r="J164" s="8"/>
      <c r="K164" s="8"/>
      <c r="L164" s="8" t="s">
        <v>74</v>
      </c>
      <c r="M164" s="8"/>
      <c r="N164" s="8" t="s">
        <v>72</v>
      </c>
      <c r="O164" s="8"/>
      <c r="P164" s="7"/>
    </row>
    <row r="165" spans="1:17" x14ac:dyDescent="0.35">
      <c r="A165" s="7" t="s">
        <v>38</v>
      </c>
      <c r="B165" s="7"/>
      <c r="C165" s="7"/>
      <c r="D165" s="7"/>
      <c r="E165" s="7"/>
      <c r="F165" s="7"/>
      <c r="G165" s="7"/>
      <c r="H165" s="7"/>
      <c r="I165" s="7"/>
      <c r="J165" s="7"/>
      <c r="K165" s="7"/>
      <c r="L165" s="7"/>
      <c r="M165" s="7"/>
      <c r="N165" s="7"/>
      <c r="O165" s="7"/>
      <c r="P165" s="7"/>
    </row>
    <row r="166" spans="1:17" s="7" customFormat="1" x14ac:dyDescent="0.35">
      <c r="A166" s="15" t="s">
        <v>101</v>
      </c>
      <c r="G166" s="14">
        <f>10*G36</f>
        <v>40.202802362724242</v>
      </c>
      <c r="H166" s="14"/>
      <c r="I166" s="14">
        <f>10*I36</f>
        <v>17.356879469923005</v>
      </c>
      <c r="J166" s="14"/>
      <c r="K166" s="14"/>
      <c r="L166" s="14">
        <f>10*L36</f>
        <v>171.49013949435474</v>
      </c>
      <c r="N166" s="14">
        <f>10*N36</f>
        <v>53.856144896683332</v>
      </c>
    </row>
    <row r="167" spans="1:17" s="7" customFormat="1" x14ac:dyDescent="0.35">
      <c r="A167" s="15" t="s">
        <v>107</v>
      </c>
      <c r="G167" s="14">
        <f>10*G46</f>
        <v>129.76124038937402</v>
      </c>
      <c r="H167" s="14"/>
      <c r="I167" s="14">
        <f>10*I46</f>
        <v>48.227781252489947</v>
      </c>
      <c r="J167" s="14"/>
      <c r="K167" s="14"/>
      <c r="L167" s="14">
        <f>10*L46</f>
        <v>189.57083069464505</v>
      </c>
      <c r="N167" s="14">
        <f>10*N46</f>
        <v>70.574474495447831</v>
      </c>
    </row>
    <row r="168" spans="1:17" s="7" customFormat="1" x14ac:dyDescent="0.35">
      <c r="A168" s="6" t="s">
        <v>108</v>
      </c>
      <c r="D168" s="14"/>
      <c r="G168" s="14">
        <f>10*G43</f>
        <v>55.076502774389951</v>
      </c>
      <c r="H168" s="14"/>
      <c r="I168" s="14">
        <f>10*I43</f>
        <v>19.054870202797328</v>
      </c>
      <c r="J168" s="14"/>
      <c r="K168" s="14"/>
      <c r="L168" s="14">
        <f>10*L43</f>
        <v>12.693597862097569</v>
      </c>
      <c r="N168" s="14">
        <f>10*N43</f>
        <v>4.4452758595204669</v>
      </c>
    </row>
    <row r="169" spans="1:17" s="7" customFormat="1" x14ac:dyDescent="0.35">
      <c r="A169" s="6" t="s">
        <v>109</v>
      </c>
      <c r="G169" s="14">
        <f>10*G44</f>
        <v>32.633024933663307</v>
      </c>
      <c r="H169" s="14"/>
      <c r="I169" s="14">
        <f>10*I44</f>
        <v>9.3139280034231913</v>
      </c>
      <c r="J169" s="14"/>
      <c r="K169" s="14"/>
      <c r="L169" s="14">
        <f>10*L44</f>
        <v>77.845993601814996</v>
      </c>
      <c r="N169" s="14">
        <f>10*N44</f>
        <v>19.866155284916747</v>
      </c>
    </row>
    <row r="170" spans="1:17" s="7" customFormat="1" x14ac:dyDescent="0.35">
      <c r="A170" s="6" t="s">
        <v>110</v>
      </c>
      <c r="G170" s="14">
        <f>10*G45</f>
        <v>42.051712681320758</v>
      </c>
      <c r="H170" s="14"/>
      <c r="I170" s="14">
        <f>10*I45</f>
        <v>19.858982208479116</v>
      </c>
      <c r="J170" s="14"/>
      <c r="K170" s="14"/>
      <c r="L170" s="14">
        <f>10*L45</f>
        <v>99.03123923073251</v>
      </c>
      <c r="N170" s="14">
        <f>10*N45</f>
        <v>46.263042454827435</v>
      </c>
    </row>
    <row r="171" spans="1:17" x14ac:dyDescent="0.35">
      <c r="A171" s="7" t="s">
        <v>39</v>
      </c>
      <c r="B171" s="7"/>
      <c r="C171" s="7"/>
      <c r="D171" s="7"/>
      <c r="E171" s="7"/>
      <c r="F171" s="7"/>
      <c r="G171" s="14"/>
      <c r="H171" s="14"/>
      <c r="I171" s="14"/>
      <c r="J171" s="14"/>
      <c r="K171" s="14"/>
      <c r="L171" s="14"/>
      <c r="M171" s="7"/>
      <c r="N171" s="7"/>
      <c r="O171" s="7"/>
      <c r="P171" s="7"/>
    </row>
    <row r="172" spans="1:17" x14ac:dyDescent="0.35">
      <c r="A172" s="15" t="s">
        <v>103</v>
      </c>
      <c r="B172" s="7"/>
      <c r="C172" s="7"/>
      <c r="D172" s="7"/>
      <c r="E172" s="7"/>
      <c r="F172" s="22"/>
      <c r="G172" s="14">
        <f>10*G38</f>
        <v>329.87131859472464</v>
      </c>
      <c r="H172" s="14"/>
      <c r="I172" s="14">
        <f>10*I38</f>
        <v>880.71341583956848</v>
      </c>
      <c r="J172" s="14"/>
      <c r="K172" s="14"/>
      <c r="L172" s="14">
        <f>10*L38</f>
        <v>234.29508463739637</v>
      </c>
      <c r="M172" s="7"/>
      <c r="N172" s="14">
        <f>10*N38</f>
        <v>809.00758267445394</v>
      </c>
      <c r="O172" s="7"/>
      <c r="P172" s="65" t="s">
        <v>266</v>
      </c>
      <c r="Q172" s="65"/>
    </row>
    <row r="173" spans="1:17" x14ac:dyDescent="0.35">
      <c r="A173" s="58" t="s">
        <v>262</v>
      </c>
      <c r="B173" s="65"/>
      <c r="C173" s="65"/>
      <c r="D173" s="7"/>
      <c r="E173" s="7"/>
      <c r="F173" s="22"/>
      <c r="G173" s="14"/>
      <c r="H173" s="14"/>
      <c r="I173" s="59">
        <f>I54*I60*I172</f>
        <v>540.05056518417393</v>
      </c>
      <c r="J173" s="14"/>
      <c r="K173" s="14"/>
      <c r="L173" s="14"/>
      <c r="M173" s="7"/>
      <c r="N173" s="59">
        <f>N54*N60*N172</f>
        <v>199.38404576410707</v>
      </c>
      <c r="O173" s="7"/>
      <c r="P173" s="65" t="s">
        <v>267</v>
      </c>
      <c r="Q173" s="65"/>
    </row>
    <row r="174" spans="1:17" x14ac:dyDescent="0.35">
      <c r="A174" s="58" t="s">
        <v>263</v>
      </c>
      <c r="B174" s="65"/>
      <c r="C174" s="65"/>
      <c r="D174" s="7"/>
      <c r="E174" s="7"/>
      <c r="F174" s="22"/>
      <c r="G174" s="14"/>
      <c r="H174" s="14"/>
      <c r="I174" s="59">
        <f>I54*I62*I172</f>
        <v>18.22821336970468</v>
      </c>
      <c r="J174" s="14"/>
      <c r="K174" s="14"/>
      <c r="L174" s="14"/>
      <c r="M174" s="7"/>
      <c r="N174" s="59">
        <f>N54*N62*N172</f>
        <v>164.57398505237236</v>
      </c>
      <c r="O174" s="7"/>
      <c r="P174" s="65" t="s">
        <v>268</v>
      </c>
      <c r="Q174" s="65"/>
    </row>
    <row r="175" spans="1:17" x14ac:dyDescent="0.35">
      <c r="A175" s="7" t="s">
        <v>22</v>
      </c>
      <c r="B175" s="7"/>
      <c r="C175" s="7"/>
      <c r="D175" s="7"/>
      <c r="E175" s="7"/>
      <c r="F175" s="22"/>
      <c r="G175" s="14"/>
      <c r="H175" s="14"/>
      <c r="I175" s="14">
        <f>I172*I52</f>
        <v>322.4346372856898</v>
      </c>
      <c r="J175" s="14"/>
      <c r="K175" s="14"/>
      <c r="L175" s="14"/>
      <c r="M175" s="7"/>
      <c r="N175" s="14">
        <f>N52*N172</f>
        <v>445.04955185797445</v>
      </c>
      <c r="O175" s="7"/>
      <c r="P175" s="65" t="s">
        <v>269</v>
      </c>
      <c r="Q175" s="65"/>
    </row>
    <row r="176" spans="1:17" x14ac:dyDescent="0.35">
      <c r="A176" s="7" t="s">
        <v>33</v>
      </c>
      <c r="B176" s="7"/>
      <c r="C176" s="7"/>
      <c r="D176" s="7"/>
      <c r="E176" s="7"/>
      <c r="F176" s="22"/>
      <c r="G176" s="14">
        <f>10*G37</f>
        <v>500.16463865317701</v>
      </c>
      <c r="H176" s="14"/>
      <c r="I176" s="14">
        <f>10*I37</f>
        <v>53.701924275809183</v>
      </c>
      <c r="J176" s="14"/>
      <c r="K176" s="14"/>
      <c r="L176" s="14">
        <f>10*L37</f>
        <v>404.6439451736041</v>
      </c>
      <c r="M176" s="15"/>
      <c r="N176" s="14">
        <f>10*N37</f>
        <v>66.561797037231813</v>
      </c>
      <c r="O176" s="7"/>
      <c r="P176" s="7"/>
    </row>
    <row r="177" spans="1:37" x14ac:dyDescent="0.35">
      <c r="A177" s="58" t="s">
        <v>262</v>
      </c>
      <c r="B177" s="65"/>
      <c r="C177" s="65"/>
      <c r="D177" s="7"/>
      <c r="E177" s="7"/>
      <c r="F177" s="22"/>
      <c r="G177" s="59">
        <f>G54*G60*G176</f>
        <v>306.79336563778344</v>
      </c>
      <c r="H177" s="14"/>
      <c r="I177" s="14"/>
      <c r="J177" s="14"/>
      <c r="K177" s="14"/>
      <c r="L177" s="59">
        <f>L54*L60*L176</f>
        <v>61.626727890738245</v>
      </c>
      <c r="M177" s="7"/>
      <c r="N177" s="7"/>
      <c r="O177" s="7"/>
      <c r="P177" s="7"/>
    </row>
    <row r="178" spans="1:37" x14ac:dyDescent="0.35">
      <c r="A178" s="58" t="s">
        <v>263</v>
      </c>
      <c r="B178" s="65"/>
      <c r="C178" s="65"/>
      <c r="D178" s="7"/>
      <c r="E178" s="7"/>
      <c r="F178" s="22"/>
      <c r="G178" s="59">
        <f>G54*G62*G176</f>
        <v>11.131076035487007</v>
      </c>
      <c r="H178" s="14"/>
      <c r="I178" s="14"/>
      <c r="J178" s="14"/>
      <c r="K178" s="14"/>
      <c r="L178" s="59">
        <f>L54*L62*L176</f>
        <v>92.79719828130186</v>
      </c>
      <c r="M178" s="7"/>
      <c r="N178" s="7"/>
      <c r="O178" s="7"/>
      <c r="P178" s="7"/>
    </row>
    <row r="179" spans="1:37" x14ac:dyDescent="0.35">
      <c r="A179" s="7" t="s">
        <v>22</v>
      </c>
      <c r="B179" s="7"/>
      <c r="C179" s="7"/>
      <c r="D179" s="7"/>
      <c r="E179" s="7"/>
      <c r="F179" s="22"/>
      <c r="G179" s="14">
        <f>G52*G176</f>
        <v>182.24019697990656</v>
      </c>
      <c r="H179" s="14"/>
      <c r="I179" s="14"/>
      <c r="J179" s="14"/>
      <c r="K179" s="14"/>
      <c r="L179" s="14">
        <f>L52*L176</f>
        <v>250.22001900156397</v>
      </c>
      <c r="M179" s="16"/>
      <c r="N179" s="7"/>
      <c r="O179" s="7"/>
      <c r="P179" s="7"/>
    </row>
    <row r="180" spans="1:37" x14ac:dyDescent="0.35">
      <c r="A180" s="7" t="s">
        <v>40</v>
      </c>
      <c r="B180" s="7"/>
      <c r="C180" s="7"/>
      <c r="D180" s="7"/>
      <c r="E180" s="7"/>
      <c r="F180" s="7"/>
      <c r="G180" s="14">
        <v>1000</v>
      </c>
      <c r="H180" s="7"/>
      <c r="I180" s="14">
        <v>1000</v>
      </c>
      <c r="J180" s="14"/>
      <c r="K180" s="14"/>
      <c r="L180" s="14">
        <v>1000</v>
      </c>
      <c r="M180" s="7"/>
      <c r="N180" s="14">
        <v>1000</v>
      </c>
      <c r="O180" s="15"/>
      <c r="P180" s="7"/>
      <c r="Q180" s="7"/>
      <c r="R180" s="7"/>
      <c r="S180" s="7"/>
      <c r="T180" s="7"/>
      <c r="U180" s="7"/>
      <c r="V180" s="7"/>
    </row>
    <row r="181" spans="1:37" x14ac:dyDescent="0.35">
      <c r="A181" s="7"/>
      <c r="B181" s="7"/>
      <c r="C181" s="7"/>
      <c r="D181" s="7"/>
      <c r="E181" s="7"/>
      <c r="F181" s="7"/>
      <c r="G181" s="14">
        <f>G166+G167+G172+G177+G178+G179</f>
        <v>1000</v>
      </c>
      <c r="H181" s="20" t="s">
        <v>63</v>
      </c>
      <c r="I181" s="20">
        <f>I166+I167+I173+I174+I175+I176</f>
        <v>1000.0000008377906</v>
      </c>
      <c r="J181" s="20"/>
      <c r="K181" s="41"/>
      <c r="L181" s="14">
        <f>L166+L167+L172+L177+L178+L179</f>
        <v>1000.0000000000002</v>
      </c>
      <c r="M181" s="31" t="s">
        <v>63</v>
      </c>
      <c r="N181" s="20">
        <f>N166+N167+N173+N174+N175+N176</f>
        <v>999.99999910381689</v>
      </c>
      <c r="O181" s="7"/>
      <c r="P181" s="7"/>
    </row>
    <row r="182" spans="1:37" x14ac:dyDescent="0.35">
      <c r="A182" s="7"/>
      <c r="B182" s="7"/>
      <c r="C182" s="7"/>
      <c r="D182" s="7"/>
      <c r="E182" s="7"/>
      <c r="F182" s="7"/>
      <c r="G182" s="14"/>
      <c r="H182" s="14"/>
      <c r="I182" s="14"/>
      <c r="J182" s="14"/>
      <c r="K182" s="14"/>
      <c r="L182" s="14"/>
      <c r="M182" s="7"/>
      <c r="N182" s="7"/>
      <c r="O182" s="7"/>
      <c r="P182" s="7"/>
    </row>
    <row r="183" spans="1:37" x14ac:dyDescent="0.35">
      <c r="A183" s="7" t="s">
        <v>46</v>
      </c>
      <c r="B183" s="7"/>
      <c r="C183" s="7"/>
      <c r="D183" s="7"/>
      <c r="E183" s="7"/>
      <c r="F183" s="7"/>
      <c r="G183" s="14"/>
      <c r="H183" s="14"/>
      <c r="I183" s="14"/>
      <c r="J183" s="14"/>
      <c r="K183" s="14"/>
      <c r="L183" s="14"/>
      <c r="M183" s="7"/>
      <c r="N183" s="7"/>
      <c r="O183" s="7"/>
      <c r="P183" s="7"/>
    </row>
    <row r="184" spans="1:37" x14ac:dyDescent="0.35">
      <c r="A184" s="58" t="s">
        <v>264</v>
      </c>
      <c r="B184" s="65"/>
      <c r="C184" s="65"/>
      <c r="D184" s="7"/>
      <c r="E184" s="7"/>
      <c r="F184" s="7"/>
      <c r="G184" s="59">
        <f>G106</f>
        <v>38.303711158223543</v>
      </c>
      <c r="H184" s="14"/>
      <c r="I184" s="59">
        <f>I106</f>
        <v>39.622462898078204</v>
      </c>
      <c r="J184" s="14"/>
      <c r="K184" s="14"/>
      <c r="L184" s="59">
        <f>L106</f>
        <v>5.4234249066615465</v>
      </c>
      <c r="M184" s="7"/>
      <c r="N184" s="59">
        <f>N106</f>
        <v>6.4796144469242973</v>
      </c>
      <c r="O184" s="7"/>
      <c r="P184" s="7"/>
    </row>
    <row r="185" spans="1:37" x14ac:dyDescent="0.35">
      <c r="A185" s="15" t="s">
        <v>150</v>
      </c>
      <c r="B185" s="7"/>
      <c r="C185" s="7"/>
      <c r="D185" s="7"/>
      <c r="E185" s="7"/>
      <c r="F185" s="7"/>
      <c r="G185" s="47">
        <v>100</v>
      </c>
      <c r="H185" s="14"/>
      <c r="I185" s="47">
        <v>100</v>
      </c>
      <c r="J185" s="14"/>
      <c r="K185" s="14"/>
      <c r="L185" s="47">
        <v>50</v>
      </c>
      <c r="M185" s="7"/>
      <c r="N185" s="47">
        <v>50</v>
      </c>
      <c r="O185" s="7"/>
      <c r="P185" s="7"/>
      <c r="Q185" s="7"/>
      <c r="R185" s="7"/>
      <c r="S185" s="7"/>
      <c r="T185" s="7"/>
      <c r="U185" s="7"/>
      <c r="V185" s="7"/>
      <c r="W185" s="7"/>
      <c r="X185" s="7"/>
      <c r="Y185" s="7"/>
      <c r="Z185" s="7"/>
      <c r="AA185" s="7"/>
      <c r="AB185" s="7"/>
      <c r="AC185" s="7"/>
      <c r="AD185" s="7"/>
      <c r="AE185" s="7"/>
      <c r="AF185" s="7"/>
      <c r="AG185" s="7"/>
      <c r="AH185" s="7"/>
      <c r="AI185" s="7"/>
      <c r="AJ185" s="7"/>
      <c r="AK185" s="7"/>
    </row>
    <row r="186" spans="1:37" x14ac:dyDescent="0.35">
      <c r="A186" s="7" t="s">
        <v>26</v>
      </c>
      <c r="B186" s="7"/>
      <c r="C186" s="7"/>
      <c r="D186" s="7"/>
      <c r="E186" s="7"/>
      <c r="F186" s="7"/>
      <c r="G186" s="14">
        <f>G184/G185*100</f>
        <v>38.303711158223543</v>
      </c>
      <c r="H186" s="14"/>
      <c r="I186" s="14">
        <f>I184/I185*100</f>
        <v>39.622462898078204</v>
      </c>
      <c r="J186" s="14"/>
      <c r="K186" s="14"/>
      <c r="L186" s="14">
        <f>L184/L185*100</f>
        <v>10.846849813323093</v>
      </c>
      <c r="M186" s="7"/>
      <c r="N186" s="14">
        <f>N184/N185*100</f>
        <v>12.959228893848596</v>
      </c>
      <c r="O186" s="7"/>
      <c r="P186" s="7"/>
      <c r="Q186" s="7"/>
      <c r="R186" s="7"/>
      <c r="S186" s="7"/>
      <c r="T186" s="7"/>
      <c r="U186" s="7"/>
      <c r="V186" s="7"/>
      <c r="W186" s="7"/>
      <c r="X186" s="7"/>
      <c r="Y186" s="7"/>
      <c r="Z186" s="7"/>
      <c r="AA186" s="7"/>
      <c r="AB186" s="7"/>
      <c r="AC186" s="7"/>
      <c r="AD186" s="7"/>
      <c r="AE186" s="7"/>
      <c r="AF186" s="7"/>
      <c r="AG186" s="7"/>
      <c r="AH186" s="7"/>
      <c r="AI186" s="7"/>
      <c r="AJ186" s="7"/>
      <c r="AK186" s="7"/>
    </row>
    <row r="187" spans="1:37" x14ac:dyDescent="0.35">
      <c r="A187" s="58" t="s">
        <v>265</v>
      </c>
      <c r="B187" s="65"/>
      <c r="C187" s="65"/>
      <c r="D187" s="7"/>
      <c r="E187" s="7"/>
      <c r="F187" s="7"/>
      <c r="G187" s="59">
        <f>G108</f>
        <v>21.370062793782175</v>
      </c>
      <c r="H187" s="14"/>
      <c r="I187" s="59">
        <f>I108</f>
        <v>18.632527708411089</v>
      </c>
      <c r="J187" s="14"/>
      <c r="K187" s="14"/>
      <c r="L187" s="59">
        <f>L108</f>
        <v>4.3019951070361904</v>
      </c>
      <c r="M187" s="7"/>
      <c r="N187" s="59">
        <f>N108</f>
        <v>3.3291349123193079</v>
      </c>
      <c r="O187" s="7"/>
      <c r="P187" s="7"/>
      <c r="Q187" s="7"/>
      <c r="R187" s="7"/>
      <c r="S187" s="7"/>
      <c r="T187" s="7"/>
      <c r="U187" s="7"/>
      <c r="V187" s="7"/>
      <c r="W187" s="7"/>
      <c r="X187" s="7"/>
      <c r="Y187" s="7"/>
      <c r="Z187" s="7"/>
      <c r="AA187" s="7"/>
      <c r="AB187" s="7"/>
      <c r="AC187" s="7"/>
      <c r="AD187" s="7"/>
      <c r="AE187" s="7"/>
      <c r="AF187" s="7"/>
      <c r="AG187" s="7"/>
      <c r="AH187" s="7"/>
      <c r="AI187" s="7"/>
      <c r="AJ187" s="7"/>
      <c r="AK187" s="7"/>
    </row>
    <row r="188" spans="1:37" x14ac:dyDescent="0.35">
      <c r="A188" s="7" t="s">
        <v>20</v>
      </c>
      <c r="B188" s="7"/>
      <c r="C188" s="7"/>
      <c r="D188" s="7"/>
      <c r="E188" s="7"/>
      <c r="F188" s="7"/>
      <c r="G188" s="47">
        <v>100</v>
      </c>
      <c r="H188" s="14"/>
      <c r="I188" s="47">
        <v>100</v>
      </c>
      <c r="J188" s="14"/>
      <c r="K188" s="14"/>
      <c r="L188" s="47">
        <v>60</v>
      </c>
      <c r="M188" s="7"/>
      <c r="N188" s="47">
        <v>60</v>
      </c>
      <c r="O188" s="7"/>
      <c r="P188" s="7"/>
      <c r="Q188" s="7"/>
      <c r="R188" s="7"/>
      <c r="S188" s="7"/>
      <c r="T188" s="7"/>
      <c r="U188" s="7"/>
      <c r="V188" s="7"/>
      <c r="W188" s="7"/>
      <c r="X188" s="7"/>
      <c r="Y188" s="7"/>
      <c r="Z188" s="7"/>
      <c r="AA188" s="7"/>
      <c r="AB188" s="7"/>
      <c r="AC188" s="7"/>
      <c r="AD188" s="7"/>
      <c r="AE188" s="7"/>
      <c r="AF188" s="7"/>
      <c r="AG188" s="7"/>
      <c r="AH188" s="7"/>
      <c r="AI188" s="7"/>
      <c r="AJ188" s="7"/>
      <c r="AK188" s="7"/>
    </row>
    <row r="189" spans="1:37" x14ac:dyDescent="0.35">
      <c r="A189" s="7" t="s">
        <v>23</v>
      </c>
      <c r="B189" s="7"/>
      <c r="C189" s="7"/>
      <c r="D189" s="7"/>
      <c r="E189" s="7"/>
      <c r="F189" s="7"/>
      <c r="G189" s="14">
        <f>100*G86</f>
        <v>26.99388753056235</v>
      </c>
      <c r="H189" s="14"/>
      <c r="I189" s="14">
        <f>100*I86</f>
        <v>13.810513447432763</v>
      </c>
      <c r="J189" s="14"/>
      <c r="K189" s="14"/>
      <c r="L189" s="14">
        <f>100*L86</f>
        <v>47.60986066452304</v>
      </c>
      <c r="M189" s="7"/>
      <c r="N189" s="14">
        <f>100*N86</f>
        <v>29.060021436227224</v>
      </c>
      <c r="O189" s="7"/>
      <c r="P189" s="7"/>
    </row>
    <row r="190" spans="1:37" x14ac:dyDescent="0.35">
      <c r="A190" s="7" t="s">
        <v>25</v>
      </c>
      <c r="B190" s="7"/>
      <c r="C190" s="7"/>
      <c r="D190" s="7"/>
      <c r="E190" s="7"/>
      <c r="F190" s="7"/>
      <c r="G190" s="14">
        <f>G188*G189/100</f>
        <v>26.99388753056235</v>
      </c>
      <c r="H190" s="14"/>
      <c r="I190" s="14">
        <f>I188*I189/100</f>
        <v>13.810513447432763</v>
      </c>
      <c r="J190" s="14"/>
      <c r="K190" s="14"/>
      <c r="L190" s="14">
        <f>L188*L189/100</f>
        <v>28.565916398713824</v>
      </c>
      <c r="M190" s="7"/>
      <c r="N190" s="14">
        <f>N188*N189/100</f>
        <v>17.436012861736334</v>
      </c>
      <c r="O190" s="7"/>
      <c r="P190" s="7"/>
    </row>
    <row r="191" spans="1:37" x14ac:dyDescent="0.35">
      <c r="A191" s="7"/>
      <c r="B191" s="7"/>
      <c r="C191" s="7"/>
      <c r="D191" s="7"/>
      <c r="E191" s="7"/>
      <c r="F191" s="7"/>
      <c r="G191" s="14"/>
      <c r="H191" s="14"/>
      <c r="I191" s="14"/>
      <c r="J191" s="14"/>
      <c r="K191" s="14"/>
      <c r="L191" s="14"/>
      <c r="M191" s="7"/>
      <c r="N191" s="7"/>
      <c r="O191" s="7"/>
      <c r="P191" s="7"/>
    </row>
    <row r="192" spans="1:37" x14ac:dyDescent="0.35">
      <c r="A192" s="15" t="s">
        <v>293</v>
      </c>
      <c r="B192" s="7"/>
      <c r="C192" s="7"/>
      <c r="D192" s="7"/>
      <c r="E192" s="7"/>
      <c r="F192" s="7"/>
      <c r="G192" s="14"/>
      <c r="H192" s="14"/>
      <c r="I192" s="14"/>
      <c r="J192" s="14"/>
      <c r="K192" s="14"/>
      <c r="L192" s="14"/>
      <c r="M192" s="7"/>
      <c r="N192" s="7"/>
      <c r="O192" s="7"/>
      <c r="P192" s="7"/>
    </row>
    <row r="193" spans="1:16" x14ac:dyDescent="0.35">
      <c r="A193" s="15" t="s">
        <v>111</v>
      </c>
      <c r="B193" s="7"/>
      <c r="C193" s="7"/>
      <c r="D193" s="7"/>
      <c r="E193" s="7"/>
      <c r="F193" s="7"/>
      <c r="G193" s="14"/>
      <c r="H193" s="14"/>
      <c r="I193" s="14"/>
      <c r="J193" s="14"/>
      <c r="K193" s="14"/>
      <c r="L193" s="14"/>
      <c r="M193" s="7"/>
      <c r="N193" s="7"/>
      <c r="O193" s="7"/>
      <c r="P193" s="7"/>
    </row>
    <row r="194" spans="1:16" x14ac:dyDescent="0.35">
      <c r="A194" s="7" t="s">
        <v>24</v>
      </c>
      <c r="B194" s="7"/>
      <c r="C194" s="7"/>
      <c r="D194" s="7"/>
      <c r="E194" s="7"/>
      <c r="F194" s="7"/>
      <c r="G194" s="14">
        <f>G195+G196</f>
        <v>8.5303669531862312</v>
      </c>
      <c r="H194" s="14"/>
      <c r="I194" s="14">
        <f>I195+I196</f>
        <v>14.608209656425782</v>
      </c>
      <c r="J194" s="14"/>
      <c r="K194" s="14"/>
      <c r="L194" s="14">
        <f>L195+L196</f>
        <v>32.933800091031202</v>
      </c>
      <c r="M194" s="7"/>
      <c r="N194" s="14">
        <f>N195+N196</f>
        <v>80.205433222694694</v>
      </c>
      <c r="O194" s="7"/>
      <c r="P194" s="7"/>
    </row>
    <row r="195" spans="1:16" x14ac:dyDescent="0.35">
      <c r="A195" s="15" t="s">
        <v>270</v>
      </c>
      <c r="B195" s="7"/>
      <c r="C195" s="7"/>
      <c r="D195" s="7"/>
      <c r="E195" s="7"/>
      <c r="F195" s="7"/>
      <c r="G195" s="14">
        <f>G177/G184</f>
        <v>8.0094945466378658</v>
      </c>
      <c r="H195" s="14"/>
      <c r="I195" s="14">
        <f>I173/I184</f>
        <v>13.629909038551155</v>
      </c>
      <c r="J195" s="14"/>
      <c r="K195" s="14"/>
      <c r="L195" s="14">
        <f>L177/L184</f>
        <v>11.363064659573817</v>
      </c>
      <c r="M195" s="18"/>
      <c r="N195" s="14">
        <f>N173/N184</f>
        <v>30.770973704886011</v>
      </c>
      <c r="O195" s="7"/>
      <c r="P195" s="7"/>
    </row>
    <row r="196" spans="1:16" x14ac:dyDescent="0.35">
      <c r="A196" s="15" t="s">
        <v>271</v>
      </c>
      <c r="B196" s="7"/>
      <c r="C196" s="7"/>
      <c r="D196" s="7"/>
      <c r="E196" s="7"/>
      <c r="F196" s="7"/>
      <c r="G196" s="14">
        <f>G178/G187</f>
        <v>0.52087240654836542</v>
      </c>
      <c r="H196" s="14"/>
      <c r="I196" s="14">
        <f>I174/I187</f>
        <v>0.97830061787462719</v>
      </c>
      <c r="J196" s="14"/>
      <c r="K196" s="14"/>
      <c r="L196" s="14">
        <f>L178/L187</f>
        <v>21.570735431457386</v>
      </c>
      <c r="M196" s="7"/>
      <c r="N196" s="14">
        <f>N174/N187</f>
        <v>49.434459517808676</v>
      </c>
      <c r="O196" s="7"/>
      <c r="P196" s="7"/>
    </row>
    <row r="197" spans="1:16" x14ac:dyDescent="0.35">
      <c r="A197" s="7" t="s">
        <v>27</v>
      </c>
      <c r="B197" s="7"/>
      <c r="C197" s="7"/>
      <c r="D197" s="7"/>
      <c r="E197" s="7"/>
      <c r="F197" s="7"/>
      <c r="G197" s="14">
        <f>(G177/G186)</f>
        <v>8.0094945466378658</v>
      </c>
      <c r="H197" s="14"/>
      <c r="I197" s="14">
        <f>I173/I186</f>
        <v>13.629909038551155</v>
      </c>
      <c r="J197" s="14"/>
      <c r="K197" s="14"/>
      <c r="L197" s="14">
        <f>L177/L186</f>
        <v>5.6815323297869087</v>
      </c>
      <c r="M197" s="7"/>
      <c r="N197" s="14">
        <f>N173/N186</f>
        <v>15.385486852443004</v>
      </c>
      <c r="O197" s="7"/>
      <c r="P197" s="7"/>
    </row>
    <row r="198" spans="1:16" x14ac:dyDescent="0.35">
      <c r="A198" s="7" t="s">
        <v>19</v>
      </c>
      <c r="B198" s="7"/>
      <c r="C198" s="7"/>
      <c r="D198" s="7"/>
      <c r="E198" s="7"/>
      <c r="F198" s="7"/>
      <c r="G198" s="14">
        <f>G179/(G188*G189/100)</f>
        <v>6.7511653063522283</v>
      </c>
      <c r="H198" s="14"/>
      <c r="I198" s="14">
        <f>I175/(I188*I189/100)</f>
        <v>23.347041984570616</v>
      </c>
      <c r="J198" s="14"/>
      <c r="K198" s="14"/>
      <c r="L198" s="14">
        <f>L179/(L188*L189/100)</f>
        <v>8.759390579636019</v>
      </c>
      <c r="M198" s="7"/>
      <c r="N198" s="14">
        <f>N175/(N188*N189/100)</f>
        <v>25.52473179431086</v>
      </c>
      <c r="O198" s="7"/>
      <c r="P198" s="7"/>
    </row>
    <row r="199" spans="1:16" x14ac:dyDescent="0.35">
      <c r="A199" s="15" t="s">
        <v>112</v>
      </c>
      <c r="B199" s="7"/>
      <c r="C199" s="7"/>
      <c r="D199" s="7"/>
      <c r="E199" s="7"/>
      <c r="F199" s="7"/>
      <c r="G199" s="14">
        <f>G179/G189</f>
        <v>6.7511653063522283</v>
      </c>
      <c r="H199" s="14"/>
      <c r="I199" s="14">
        <f>I175/I189</f>
        <v>23.347041984570616</v>
      </c>
      <c r="J199" s="14"/>
      <c r="K199" s="14"/>
      <c r="L199" s="14">
        <f>L179/L189</f>
        <v>5.2556343477816121</v>
      </c>
      <c r="M199" s="7"/>
      <c r="N199" s="14">
        <f>N175/N189</f>
        <v>15.314839076586514</v>
      </c>
      <c r="O199" s="7"/>
      <c r="P199" s="7"/>
    </row>
    <row r="200" spans="1:16" x14ac:dyDescent="0.35">
      <c r="A200" s="7"/>
      <c r="B200" s="7"/>
      <c r="C200" s="7"/>
      <c r="D200" s="7"/>
      <c r="E200" s="7"/>
      <c r="F200" s="7"/>
      <c r="G200" s="7"/>
      <c r="H200" s="7"/>
      <c r="I200" s="7"/>
      <c r="J200" s="7"/>
      <c r="K200" s="7"/>
      <c r="L200" s="7"/>
      <c r="M200" s="7"/>
      <c r="N200" s="7"/>
      <c r="O200" s="7"/>
      <c r="P200" s="7"/>
    </row>
    <row r="201" spans="1:16" x14ac:dyDescent="0.35">
      <c r="A201" s="7" t="s">
        <v>174</v>
      </c>
      <c r="B201" s="7"/>
      <c r="C201" s="7"/>
      <c r="D201" s="7"/>
      <c r="E201" s="7"/>
      <c r="F201" s="7"/>
      <c r="G201" s="7"/>
      <c r="H201" s="7"/>
      <c r="I201" s="7"/>
      <c r="J201" s="7"/>
      <c r="K201" s="7"/>
      <c r="L201" s="7"/>
      <c r="M201" s="7"/>
      <c r="N201" s="7"/>
      <c r="O201" s="7"/>
      <c r="P201" s="7"/>
    </row>
    <row r="202" spans="1:16" x14ac:dyDescent="0.35">
      <c r="A202" s="7" t="s">
        <v>11</v>
      </c>
      <c r="B202" s="7"/>
      <c r="C202" s="7"/>
      <c r="D202" s="7"/>
      <c r="E202" s="7"/>
      <c r="F202" s="7"/>
      <c r="G202" s="7"/>
      <c r="H202" s="7"/>
      <c r="I202" s="7"/>
      <c r="J202" s="7"/>
      <c r="K202" s="7"/>
      <c r="L202" s="7"/>
      <c r="M202" s="7"/>
      <c r="N202" s="7"/>
      <c r="O202" s="7"/>
      <c r="P202" s="7"/>
    </row>
    <row r="203" spans="1:16" s="80" customFormat="1" x14ac:dyDescent="0.35">
      <c r="A203" s="81" t="s">
        <v>4</v>
      </c>
      <c r="B203" s="81"/>
      <c r="C203" s="81"/>
      <c r="D203" s="81"/>
      <c r="E203" s="84">
        <v>0.1</v>
      </c>
      <c r="F203" s="81"/>
      <c r="G203" s="81">
        <f>E203</f>
        <v>0.1</v>
      </c>
      <c r="H203" s="81"/>
      <c r="I203" s="81">
        <f>E203</f>
        <v>0.1</v>
      </c>
      <c r="J203" s="81"/>
      <c r="K203" s="81"/>
      <c r="L203" s="81">
        <f>E203</f>
        <v>0.1</v>
      </c>
      <c r="M203" s="81"/>
      <c r="N203" s="81">
        <f>E203</f>
        <v>0.1</v>
      </c>
      <c r="O203" s="81"/>
      <c r="P203" s="81"/>
    </row>
    <row r="204" spans="1:16" s="80" customFormat="1" x14ac:dyDescent="0.35">
      <c r="A204" s="81" t="s">
        <v>151</v>
      </c>
      <c r="B204" s="81"/>
      <c r="C204" s="81"/>
      <c r="D204" s="81"/>
      <c r="E204" s="82">
        <v>0.5</v>
      </c>
      <c r="F204" s="81"/>
      <c r="G204" s="81">
        <f>E204</f>
        <v>0.5</v>
      </c>
      <c r="H204" s="81"/>
      <c r="I204" s="81">
        <f>E204</f>
        <v>0.5</v>
      </c>
      <c r="J204" s="81"/>
      <c r="K204" s="81"/>
      <c r="L204" s="81">
        <f>E204</f>
        <v>0.5</v>
      </c>
      <c r="M204" s="81"/>
      <c r="N204" s="81">
        <f>E204</f>
        <v>0.5</v>
      </c>
      <c r="O204" s="81"/>
      <c r="P204" s="81"/>
    </row>
    <row r="205" spans="1:16" x14ac:dyDescent="0.35">
      <c r="A205" s="7"/>
      <c r="B205" s="7"/>
      <c r="C205" s="7"/>
      <c r="D205" s="7"/>
      <c r="E205" s="7"/>
      <c r="F205" s="7"/>
      <c r="G205" s="7"/>
      <c r="H205" s="7"/>
      <c r="I205" s="7"/>
      <c r="J205" s="7"/>
      <c r="K205" s="7"/>
      <c r="L205" s="7"/>
      <c r="M205" s="7"/>
      <c r="N205" s="7"/>
      <c r="O205" s="7"/>
      <c r="P205" s="7"/>
    </row>
    <row r="206" spans="1:16" x14ac:dyDescent="0.35">
      <c r="A206" s="7" t="s">
        <v>16</v>
      </c>
      <c r="B206" s="7"/>
      <c r="C206" s="7"/>
      <c r="D206" s="7"/>
      <c r="E206" s="7"/>
      <c r="F206" s="7"/>
      <c r="G206" s="7"/>
      <c r="H206" s="7"/>
      <c r="I206" s="7"/>
      <c r="J206" s="7"/>
      <c r="K206" s="7"/>
      <c r="L206" s="7"/>
      <c r="M206" s="7"/>
      <c r="N206" s="7"/>
      <c r="O206" s="7"/>
      <c r="P206" s="7"/>
    </row>
    <row r="207" spans="1:16" x14ac:dyDescent="0.35">
      <c r="A207" s="7" t="s">
        <v>5</v>
      </c>
      <c r="B207" s="7"/>
      <c r="C207" s="7"/>
      <c r="D207" s="7"/>
      <c r="E207" s="7"/>
      <c r="F207" s="7"/>
      <c r="G207" s="16">
        <f>(1/G203)-1</f>
        <v>9</v>
      </c>
      <c r="H207" s="16"/>
      <c r="I207" s="16">
        <f>(1/I203)-1</f>
        <v>9</v>
      </c>
      <c r="J207" s="16"/>
      <c r="K207" s="16"/>
      <c r="L207" s="16">
        <f>(1/L203)-1</f>
        <v>9</v>
      </c>
      <c r="M207" s="7"/>
      <c r="N207" s="16">
        <f>(1/N203)-1</f>
        <v>9</v>
      </c>
      <c r="O207" s="7"/>
      <c r="P207" s="7"/>
    </row>
    <row r="208" spans="1:16" x14ac:dyDescent="0.35">
      <c r="A208" s="7" t="s">
        <v>7</v>
      </c>
      <c r="B208" s="7"/>
      <c r="C208" s="7"/>
      <c r="D208" s="7"/>
      <c r="E208" s="7"/>
      <c r="F208" s="7"/>
      <c r="G208" s="16">
        <f>(1/G204)-1</f>
        <v>1</v>
      </c>
      <c r="H208" s="16"/>
      <c r="I208" s="16">
        <f>(1/I204)-1</f>
        <v>1</v>
      </c>
      <c r="J208" s="16"/>
      <c r="K208" s="16"/>
      <c r="L208" s="16">
        <f>(1/L204)-1</f>
        <v>1</v>
      </c>
      <c r="M208" s="7"/>
      <c r="N208" s="16">
        <f>(1/N204)-1</f>
        <v>1</v>
      </c>
      <c r="O208" s="7"/>
      <c r="P208" s="7"/>
    </row>
    <row r="209" spans="1:23" x14ac:dyDescent="0.35">
      <c r="A209" s="7"/>
      <c r="B209" s="7"/>
      <c r="C209" s="7"/>
      <c r="D209" s="7"/>
      <c r="E209" s="7"/>
      <c r="F209" s="7"/>
      <c r="G209" s="18"/>
      <c r="H209" s="18"/>
      <c r="I209" s="18"/>
      <c r="J209" s="18"/>
      <c r="K209" s="18"/>
      <c r="L209" s="18"/>
      <c r="M209" s="7"/>
      <c r="N209" s="7"/>
      <c r="O209" s="7"/>
      <c r="P209" s="7"/>
    </row>
    <row r="210" spans="1:23" x14ac:dyDescent="0.35">
      <c r="A210" s="7" t="s">
        <v>9</v>
      </c>
      <c r="B210" s="7"/>
      <c r="C210" s="7"/>
      <c r="D210" s="7"/>
      <c r="E210" s="7"/>
      <c r="F210" s="7"/>
      <c r="G210" s="18"/>
      <c r="H210" s="18"/>
      <c r="I210" s="18"/>
      <c r="J210" s="18"/>
      <c r="K210" s="18"/>
      <c r="L210" s="18"/>
      <c r="M210" s="7"/>
      <c r="N210" s="7"/>
      <c r="O210" s="7"/>
      <c r="P210" s="7"/>
    </row>
    <row r="211" spans="1:23" x14ac:dyDescent="0.35">
      <c r="A211" s="7" t="s">
        <v>6</v>
      </c>
      <c r="B211" s="7"/>
      <c r="C211" s="7"/>
      <c r="D211" s="7"/>
      <c r="E211" s="7"/>
      <c r="F211" s="7"/>
      <c r="G211" s="21">
        <f>((G179/G177*(G198/G197)^G207))/(1+((G179/G177*(G198/G197)^G207)))</f>
        <v>0.11313995236188906</v>
      </c>
      <c r="H211" s="21"/>
      <c r="I211" s="21">
        <f>((I175/I173*(I198/I197)^I207))/(1+((I175/I173*(I198/I197)^I207)))</f>
        <v>0.98697881807532117</v>
      </c>
      <c r="J211" s="21"/>
      <c r="K211" s="21"/>
      <c r="L211" s="21">
        <f>((L179/L177*(L198/L197)^L207))/(1+((L179/L177*(L198/L197)^L207)))</f>
        <v>0.9950202984977522</v>
      </c>
      <c r="M211" s="7"/>
      <c r="N211" s="21">
        <f>((N175/N173*(N198/N197)^N207))/(1+((N175/N173*(N198/N197)^N207)))</f>
        <v>0.99531625075725405</v>
      </c>
      <c r="O211" s="7"/>
      <c r="P211" s="7"/>
    </row>
    <row r="212" spans="1:23" x14ac:dyDescent="0.35">
      <c r="A212" s="15" t="s">
        <v>152</v>
      </c>
      <c r="B212" s="7"/>
      <c r="C212" s="7"/>
      <c r="D212" s="7"/>
      <c r="E212" s="7"/>
      <c r="F212" s="7"/>
      <c r="G212" s="18">
        <f>(G178/(G177+G179)*(G196/(G197+G198))^G208)/(1+(G178/(G177+G179)*(G196/(G197+G198))^G208))</f>
        <v>8.0255605647581139E-4</v>
      </c>
      <c r="H212" s="18"/>
      <c r="I212" s="18">
        <f>(I174/(I173+I175)*(I196/(I197+I198))^I208)/(1+(I174/(I173+I175)*(I196/(I197+I198))^I208))</f>
        <v>5.5884440822768968E-4</v>
      </c>
      <c r="J212" s="18"/>
      <c r="K212" s="18"/>
      <c r="L212" s="18">
        <f>(L178/(L177+L179)*(L196/(L197+L198))^L208)/(1+(L178/(L177+L179)*(L196/(L197+L198))^L208))</f>
        <v>0.30771495267770177</v>
      </c>
      <c r="M212" s="7"/>
      <c r="N212" s="18">
        <f>(N174/(N173+N175)*(N196/(N197+N198))^N208)/(1+(N174/(N173+N175)*(N196/(N197+N198))^N208))</f>
        <v>0.235818353872532</v>
      </c>
      <c r="O212" s="7"/>
      <c r="P212" s="7"/>
    </row>
    <row r="213" spans="1:23" x14ac:dyDescent="0.35">
      <c r="A213" s="7"/>
      <c r="B213" s="7"/>
      <c r="C213" s="7"/>
      <c r="D213" s="7"/>
      <c r="E213" s="7"/>
      <c r="F213" s="7"/>
      <c r="G213" s="18"/>
      <c r="H213" s="18"/>
      <c r="I213" s="18"/>
      <c r="J213" s="18"/>
      <c r="K213" s="18"/>
      <c r="L213" s="18"/>
      <c r="M213" s="7"/>
      <c r="N213" s="7"/>
      <c r="O213" s="7"/>
      <c r="P213" s="7"/>
    </row>
    <row r="214" spans="1:23" x14ac:dyDescent="0.35">
      <c r="A214" s="7" t="s">
        <v>10</v>
      </c>
      <c r="B214" s="7"/>
      <c r="C214" s="7"/>
      <c r="D214" s="7"/>
      <c r="E214" s="7"/>
      <c r="F214" s="7"/>
      <c r="G214" s="18"/>
      <c r="H214" s="18"/>
      <c r="I214" s="18"/>
      <c r="J214" s="18"/>
      <c r="K214" s="18"/>
      <c r="L214" s="18"/>
      <c r="M214" s="7"/>
      <c r="N214" s="18"/>
      <c r="O214" s="7"/>
      <c r="P214" s="7"/>
    </row>
    <row r="215" spans="1:23" x14ac:dyDescent="0.35">
      <c r="A215" s="7" t="s">
        <v>5</v>
      </c>
      <c r="B215" s="7"/>
      <c r="C215" s="7"/>
      <c r="D215" s="7"/>
      <c r="E215" s="7"/>
      <c r="F215" s="7"/>
      <c r="G215" s="18">
        <f>(G197+G198)/(((G211*(G198^(-1*G207)))+((1-G211)*(G197^(-1*G207))))^(-1/G207))</f>
        <v>1.9151640138395589</v>
      </c>
      <c r="H215" s="18"/>
      <c r="I215" s="18">
        <f>(I197+I198)/(((I211*(I198^(-1*I207)))+((1-I211)*(I197^(-1*I207))))^(-1/I207))</f>
        <v>1.7641912164301545</v>
      </c>
      <c r="J215" s="18"/>
      <c r="K215" s="18"/>
      <c r="L215" s="18">
        <f>(L197+L198)/(((L211*(L198^(-1*L207)))+((1-L211)*(L197^(-1*L207))))^(-1/L207))</f>
        <v>1.6885134091327887</v>
      </c>
      <c r="M215" s="7"/>
      <c r="N215" s="18">
        <f>(N197+N198)/(((N211*(N198^(-1*N207)))+((1-N211)*(N197^(-1*N207))))^(-1/N207))</f>
        <v>1.6691961719830568</v>
      </c>
      <c r="O215" s="7"/>
      <c r="P215" s="7"/>
    </row>
    <row r="216" spans="1:23" x14ac:dyDescent="0.35">
      <c r="A216" s="7" t="s">
        <v>8</v>
      </c>
      <c r="B216" s="7"/>
      <c r="C216" s="7"/>
      <c r="D216" s="7"/>
      <c r="E216" s="7"/>
      <c r="F216" s="7"/>
      <c r="G216" s="18">
        <f>1/(((G212*(G196^(-1*G208)))+((1-G212)*((G197+G198)^(-1*G208))))^(-1/G208))</f>
        <v>6.9234069566596307E-2</v>
      </c>
      <c r="H216" s="18"/>
      <c r="I216" s="18">
        <f>1/(((I212*(I196^(-1*I208)))+((1-I212)*((I197+I198)^(-1*I208))))^(-1/I208))</f>
        <v>2.7600000526487003E-2</v>
      </c>
      <c r="J216" s="18"/>
      <c r="K216" s="18"/>
      <c r="L216" s="18">
        <f>1/(((L212*(L196^(-1*L208)))+((1-L212)*((L197+L198)^(-1*L208))))^(-1/L208))</f>
        <v>6.2204503801998351E-2</v>
      </c>
      <c r="M216" s="7"/>
      <c r="N216" s="18">
        <f>1/(((N212*(N196^(-1*N208)))+((1-N212)*((N197+N198)^(-1*N208))))^(-1/N208))</f>
        <v>2.3449804154653781E-2</v>
      </c>
      <c r="O216" s="7"/>
      <c r="P216" s="7"/>
    </row>
    <row r="217" spans="1:23" x14ac:dyDescent="0.35">
      <c r="A217" s="7"/>
      <c r="B217" s="7"/>
      <c r="C217" s="7"/>
      <c r="D217" s="7"/>
      <c r="E217" s="7"/>
      <c r="F217" s="7"/>
      <c r="G217" s="18"/>
      <c r="H217" s="18"/>
      <c r="I217" s="18"/>
      <c r="J217" s="18"/>
      <c r="K217" s="18"/>
      <c r="L217" s="18"/>
      <c r="M217" s="7"/>
      <c r="N217" s="18"/>
      <c r="O217" s="7"/>
      <c r="P217" s="7"/>
    </row>
    <row r="218" spans="1:23" x14ac:dyDescent="0.35">
      <c r="A218" s="7" t="s">
        <v>249</v>
      </c>
      <c r="B218" s="7"/>
      <c r="C218" s="7"/>
      <c r="D218" s="7"/>
      <c r="E218" s="36">
        <v>1</v>
      </c>
      <c r="F218" s="7"/>
      <c r="G218" s="18"/>
      <c r="H218" s="18"/>
      <c r="I218" s="18"/>
      <c r="J218" s="18"/>
      <c r="K218" s="18"/>
      <c r="L218" s="18"/>
      <c r="M218" s="7"/>
      <c r="N218" s="18"/>
      <c r="O218" s="7"/>
      <c r="P218" s="15"/>
      <c r="Q218" s="7"/>
      <c r="R218" s="7"/>
      <c r="S218" s="7"/>
      <c r="T218" s="7"/>
      <c r="U218" s="7"/>
      <c r="V218" s="7"/>
      <c r="W218" s="7"/>
    </row>
    <row r="219" spans="1:23" x14ac:dyDescent="0.35">
      <c r="A219" s="7" t="s">
        <v>5</v>
      </c>
      <c r="B219" s="7"/>
      <c r="C219" s="7"/>
      <c r="D219" s="7"/>
      <c r="F219" s="7"/>
      <c r="G219" s="18">
        <f>E218</f>
        <v>1</v>
      </c>
      <c r="H219" s="18"/>
      <c r="I219" s="18">
        <f>E218</f>
        <v>1</v>
      </c>
      <c r="J219" s="18"/>
      <c r="K219" s="18"/>
      <c r="L219" s="18">
        <f>E218</f>
        <v>1</v>
      </c>
      <c r="M219" s="7"/>
      <c r="N219" s="18">
        <f>E218</f>
        <v>1</v>
      </c>
      <c r="O219" s="7"/>
      <c r="P219" s="7"/>
      <c r="Q219" s="7"/>
      <c r="R219" s="7"/>
      <c r="S219" s="7"/>
      <c r="T219" s="7"/>
      <c r="U219" s="7"/>
      <c r="V219" s="7"/>
      <c r="W219" s="7"/>
    </row>
    <row r="220" spans="1:23" x14ac:dyDescent="0.35">
      <c r="A220" s="7" t="s">
        <v>250</v>
      </c>
      <c r="B220" s="7"/>
      <c r="C220" s="7"/>
      <c r="D220" s="7"/>
      <c r="E220" s="7"/>
      <c r="F220" s="7"/>
      <c r="G220" s="18">
        <f>E218</f>
        <v>1</v>
      </c>
      <c r="H220" s="18"/>
      <c r="I220" s="18">
        <f>E218</f>
        <v>1</v>
      </c>
      <c r="J220" s="18"/>
      <c r="K220" s="18"/>
      <c r="L220" s="18">
        <f>E218</f>
        <v>1</v>
      </c>
      <c r="M220" s="7"/>
      <c r="N220" s="18">
        <f>E218</f>
        <v>1</v>
      </c>
      <c r="O220" s="7"/>
      <c r="P220" s="15"/>
      <c r="Q220" s="7"/>
      <c r="R220" s="7"/>
      <c r="S220" s="7"/>
      <c r="T220" s="7"/>
      <c r="U220" s="7"/>
      <c r="V220" s="7"/>
      <c r="W220" s="7"/>
    </row>
    <row r="221" spans="1:23" x14ac:dyDescent="0.35">
      <c r="A221" s="7" t="s">
        <v>42</v>
      </c>
      <c r="B221" s="7"/>
      <c r="C221" s="7"/>
      <c r="D221" s="7"/>
      <c r="E221" s="7"/>
      <c r="F221" s="7"/>
      <c r="G221" s="7"/>
      <c r="H221" s="7"/>
      <c r="I221" s="7"/>
      <c r="J221" s="7"/>
      <c r="K221" s="7"/>
      <c r="L221" s="7"/>
      <c r="M221" s="7"/>
      <c r="N221" s="7"/>
      <c r="O221" s="7"/>
      <c r="P221" s="7"/>
      <c r="Q221" s="7"/>
      <c r="R221" s="7"/>
      <c r="S221" s="7"/>
      <c r="T221" s="7"/>
      <c r="U221" s="7"/>
      <c r="V221" s="7"/>
      <c r="W221" s="7"/>
    </row>
    <row r="222" spans="1:23" x14ac:dyDescent="0.35">
      <c r="A222" s="7" t="s">
        <v>55</v>
      </c>
      <c r="B222" s="7"/>
      <c r="C222" s="7"/>
      <c r="D222" s="7"/>
      <c r="E222" s="7"/>
      <c r="F222" s="7"/>
      <c r="G222" s="7"/>
      <c r="H222" s="7"/>
      <c r="I222" s="7"/>
      <c r="J222" s="7"/>
      <c r="K222" s="7"/>
      <c r="L222" s="7"/>
      <c r="M222" s="7"/>
      <c r="N222" s="7"/>
      <c r="O222" s="7"/>
      <c r="P222" s="7"/>
      <c r="Q222" s="7"/>
      <c r="R222" s="7"/>
      <c r="S222" s="7"/>
      <c r="T222" s="7"/>
      <c r="U222" s="7"/>
      <c r="V222" s="7"/>
      <c r="W222" s="7"/>
    </row>
    <row r="223" spans="1:23" x14ac:dyDescent="0.35">
      <c r="A223" s="7"/>
      <c r="B223" s="7"/>
      <c r="C223" s="7"/>
      <c r="D223" s="7"/>
      <c r="E223" s="7"/>
      <c r="F223" s="7"/>
      <c r="G223" s="8" t="s">
        <v>104</v>
      </c>
      <c r="H223" s="8"/>
      <c r="I223" s="8"/>
      <c r="J223" s="8"/>
      <c r="K223" s="8"/>
      <c r="L223" s="8" t="s">
        <v>105</v>
      </c>
      <c r="M223" s="8"/>
      <c r="N223" s="8"/>
      <c r="O223" s="8"/>
      <c r="P223" s="7"/>
      <c r="Q223" s="7"/>
      <c r="R223" s="7"/>
      <c r="S223" s="7"/>
      <c r="T223" s="7"/>
      <c r="U223" s="7"/>
      <c r="V223" s="7"/>
      <c r="W223" s="7"/>
    </row>
    <row r="224" spans="1:23" x14ac:dyDescent="0.35">
      <c r="A224" s="7"/>
      <c r="B224" s="7"/>
      <c r="C224" s="7"/>
      <c r="D224" s="7"/>
      <c r="E224" s="7"/>
      <c r="F224" s="7"/>
      <c r="G224" s="8" t="s">
        <v>74</v>
      </c>
      <c r="H224" s="8"/>
      <c r="I224" s="8" t="s">
        <v>72</v>
      </c>
      <c r="J224" s="8"/>
      <c r="K224" s="8"/>
      <c r="L224" s="8" t="s">
        <v>74</v>
      </c>
      <c r="M224" s="8"/>
      <c r="N224" s="8" t="s">
        <v>72</v>
      </c>
      <c r="O224" s="8"/>
      <c r="P224" s="7"/>
      <c r="Q224" s="7"/>
      <c r="R224" s="7"/>
      <c r="S224" s="7"/>
      <c r="T224" s="7"/>
      <c r="U224" s="7"/>
      <c r="V224" s="7"/>
      <c r="W224" s="7"/>
    </row>
    <row r="225" spans="1:24" x14ac:dyDescent="0.35">
      <c r="A225" s="7" t="s">
        <v>17</v>
      </c>
      <c r="B225" s="7"/>
      <c r="C225" s="7"/>
      <c r="D225" s="7"/>
      <c r="E225" s="7"/>
      <c r="F225" s="7"/>
      <c r="G225" s="16">
        <f>(1/(L215/L219))*(((G190/(L211^(-1/L207)))^(L207/(L207+1))+((G186/((1-L211)^(-1/L207)))^(L207/(L207+1))))^((L207+1)/L207))</f>
        <v>30.82836061556862</v>
      </c>
      <c r="H225" s="16"/>
      <c r="I225" s="16">
        <f>(1/(N215/N219))*(((I190/(N211^(-1/N207)))^(N207/(N207+1))+((I186/((1-N211)^(-1/N207)))^(N207/(N207+1))))^((N207+1)/N207))</f>
        <v>22.999662041579196</v>
      </c>
      <c r="J225" s="16"/>
      <c r="K225" s="16"/>
      <c r="L225" s="16">
        <f>(1/(G215*G219))*((((L190/(G211^(-1/G207)))^(G207/(G207+1)))+((L186/((1-G211)^(-1/G207)))^(G207/(G207+1))))^((G207+1)/G207))</f>
        <v>18.561677482729404</v>
      </c>
      <c r="M225" s="7"/>
      <c r="N225" s="16">
        <f>(1/(I215*I219))*((((N190/(I211^(-1/I207)))^(I207/(I207+1)))+((N186/((1-I211)^(-1/I207)))^(I207/(I207+1))))^((I207+1)/I207))</f>
        <v>15.447139771830182</v>
      </c>
      <c r="O225" s="7"/>
      <c r="P225" s="15"/>
      <c r="Q225" s="7"/>
      <c r="R225" s="7"/>
      <c r="S225" s="7"/>
      <c r="T225" s="7"/>
      <c r="U225" s="7"/>
      <c r="V225" s="7"/>
      <c r="W225" s="7"/>
    </row>
    <row r="226" spans="1:24" x14ac:dyDescent="0.35">
      <c r="A226" s="15" t="s">
        <v>113</v>
      </c>
      <c r="B226" s="7"/>
      <c r="C226" s="7"/>
      <c r="D226" s="7"/>
      <c r="E226" s="7"/>
      <c r="F226" s="7"/>
      <c r="G226" s="16">
        <f>(1/(L216/L220))*((((G187/(L212^(-1/L208)))^(L208/(L208+1)))+((G225/((1-L212)^(-1/L208)))^(L208/(L208+1))))^((L208+1)/L208))</f>
        <v>829.70141030008483</v>
      </c>
      <c r="H226" s="16"/>
      <c r="I226" s="16">
        <f>(1/(N216/N220))*((((I187/(N212^(-1/N208)))^(N208/(N208+1)))+((I225/((1-N212)^(-1/N208)))^(N208/(N208+1))))^((N208+1)/N208))</f>
        <v>1686.3917146311273</v>
      </c>
      <c r="J226" s="16"/>
      <c r="K226" s="16"/>
      <c r="L226" s="16">
        <f>(1/(G216*G220))*((((L187/(G212^(-1/G208)))^(G208/(G208+1)))+((L225/((1-G212)^(-1/G208)))^(G208/(G208+1))))^((G208+1)/G208))</f>
        <v>275.24503576053377</v>
      </c>
      <c r="M226" s="7"/>
      <c r="N226" s="16">
        <f>(1/(I216*I220))*((((N187/(I212^(-1/I208)))^(I208/(I208+1)))+((N225/((1-I212)^(-1/I208)))^(I208/(I208+1))))^((I208+1)/I208))</f>
        <v>571.71462906518434</v>
      </c>
      <c r="O226" s="7"/>
      <c r="P226" s="15"/>
      <c r="Q226" s="7"/>
      <c r="R226" s="7"/>
      <c r="S226" s="7"/>
      <c r="T226" s="7"/>
      <c r="U226" s="7"/>
      <c r="V226" s="7"/>
      <c r="W226" s="7"/>
    </row>
    <row r="227" spans="1:24" x14ac:dyDescent="0.35">
      <c r="A227" s="7"/>
      <c r="B227" s="7"/>
      <c r="C227" s="7"/>
      <c r="D227" s="7"/>
      <c r="E227" s="7"/>
      <c r="F227" s="7"/>
      <c r="G227" s="17"/>
      <c r="H227" s="17"/>
      <c r="I227" s="17"/>
      <c r="J227" s="17"/>
      <c r="K227" s="17"/>
      <c r="L227" s="17"/>
      <c r="M227" s="7"/>
      <c r="N227" s="7"/>
      <c r="O227" s="7"/>
      <c r="P227" s="7"/>
      <c r="Q227" s="7"/>
      <c r="R227" s="7"/>
      <c r="S227" s="7"/>
      <c r="T227" s="7"/>
      <c r="U227" s="7"/>
      <c r="V227" s="7"/>
      <c r="W227" s="7"/>
    </row>
    <row r="228" spans="1:24" x14ac:dyDescent="0.35">
      <c r="A228" s="7" t="s">
        <v>292</v>
      </c>
      <c r="B228" s="7"/>
      <c r="C228" s="7"/>
      <c r="D228" s="7"/>
      <c r="E228" s="7"/>
      <c r="F228" s="7"/>
      <c r="G228" s="14">
        <f>((1+L272)*L166+(1-L272)*L167+L172+G226)/1000</f>
        <v>1.4232493960064521</v>
      </c>
      <c r="H228" s="14"/>
      <c r="I228" s="14">
        <f>((1+N272)*N166+(1-N272)*N167+N176+I226)/1000</f>
        <v>1.875712298100614</v>
      </c>
      <c r="J228" s="14"/>
      <c r="K228" s="14"/>
      <c r="L228" s="14">
        <f>((1+L272)*G166+(1-L272)*G167+G172+L226)/1000</f>
        <v>0.76612455330469176</v>
      </c>
      <c r="M228" s="14"/>
      <c r="N228" s="14">
        <f>((1+N272)*I166+(1-N272)*I167+I176+N226)/1000</f>
        <v>0.68791412388514983</v>
      </c>
      <c r="O228" s="7"/>
      <c r="P228" s="15"/>
      <c r="Q228" s="7"/>
      <c r="R228" s="7"/>
      <c r="S228" s="7"/>
      <c r="T228" s="7"/>
      <c r="U228" s="7"/>
      <c r="V228" s="7"/>
      <c r="W228" s="7"/>
    </row>
    <row r="229" spans="1:24" x14ac:dyDescent="0.35">
      <c r="A229" s="7" t="s">
        <v>291</v>
      </c>
      <c r="B229" s="7"/>
      <c r="C229" s="7"/>
      <c r="D229" s="7"/>
      <c r="E229" s="7"/>
      <c r="F229" s="7"/>
      <c r="G229" s="14">
        <f>G228/(1+L272)*(1+L274)</f>
        <v>1.3456176107697366</v>
      </c>
      <c r="H229" s="14"/>
      <c r="I229" s="14">
        <f>I228/(1+N272)*(1+N274)</f>
        <v>1.7734007182042169</v>
      </c>
      <c r="J229" s="14"/>
      <c r="K229" s="14"/>
      <c r="L229" s="14">
        <f>L228*(1+L272)*(1+L273)</f>
        <v>0.99442967018948991</v>
      </c>
      <c r="M229" s="14"/>
      <c r="N229" s="14">
        <f>N228*(1+N272)*(1+N273)</f>
        <v>0.89291253280292449</v>
      </c>
      <c r="O229" s="7"/>
      <c r="P229" s="15"/>
      <c r="Q229" s="7"/>
      <c r="R229" s="7"/>
      <c r="S229" s="7"/>
      <c r="T229" s="7"/>
      <c r="U229" s="7"/>
      <c r="V229" s="7"/>
      <c r="W229" s="7"/>
    </row>
    <row r="230" spans="1:24" x14ac:dyDescent="0.35">
      <c r="A230" s="7"/>
      <c r="B230" s="7"/>
      <c r="C230" s="7"/>
      <c r="D230" s="7"/>
      <c r="E230" s="7"/>
      <c r="F230" s="7"/>
      <c r="G230" s="7"/>
      <c r="H230" s="7"/>
      <c r="I230" s="7"/>
      <c r="J230" s="7"/>
      <c r="K230" s="7"/>
      <c r="L230" s="7"/>
      <c r="M230" s="7"/>
      <c r="N230" s="7"/>
      <c r="O230" s="7"/>
      <c r="P230" s="7"/>
    </row>
    <row r="231" spans="1:24" x14ac:dyDescent="0.35">
      <c r="A231" s="7" t="s">
        <v>51</v>
      </c>
      <c r="B231" s="7"/>
      <c r="C231" s="7"/>
      <c r="D231" s="7"/>
      <c r="E231" s="7"/>
      <c r="F231" s="7"/>
      <c r="G231" s="7"/>
      <c r="H231" s="7"/>
      <c r="I231" s="7"/>
      <c r="J231" s="7"/>
      <c r="K231" s="7"/>
      <c r="L231" s="7"/>
      <c r="M231" s="7"/>
      <c r="N231" s="7"/>
      <c r="O231" s="7"/>
      <c r="P231" s="7"/>
    </row>
    <row r="232" spans="1:24" x14ac:dyDescent="0.35">
      <c r="A232" s="7"/>
      <c r="B232" s="7"/>
      <c r="C232" s="7"/>
      <c r="D232" s="7"/>
      <c r="E232" s="7"/>
      <c r="F232" s="7"/>
      <c r="G232" s="32" t="s">
        <v>41</v>
      </c>
      <c r="H232" s="7"/>
      <c r="I232" s="32" t="s">
        <v>41</v>
      </c>
      <c r="J232" s="7"/>
      <c r="K232" s="7"/>
      <c r="L232" s="32" t="s">
        <v>41</v>
      </c>
      <c r="M232" s="7"/>
      <c r="N232" s="7"/>
      <c r="O232" s="7"/>
      <c r="P232" s="7"/>
    </row>
    <row r="233" spans="1:24" x14ac:dyDescent="0.35">
      <c r="A233" s="7" t="s">
        <v>38</v>
      </c>
      <c r="B233" s="7"/>
      <c r="C233" s="7"/>
      <c r="D233" s="7"/>
      <c r="E233" s="7"/>
      <c r="F233" s="7"/>
      <c r="G233" s="7"/>
      <c r="H233" s="7"/>
      <c r="I233" s="7"/>
      <c r="J233" s="7"/>
      <c r="K233" s="7"/>
      <c r="L233" s="7"/>
      <c r="M233" s="7"/>
      <c r="N233" s="7"/>
      <c r="O233" s="7"/>
      <c r="P233" s="7"/>
    </row>
    <row r="234" spans="1:24" x14ac:dyDescent="0.35">
      <c r="A234" s="15" t="s">
        <v>101</v>
      </c>
      <c r="B234" s="7"/>
      <c r="C234" s="7"/>
      <c r="D234" s="7"/>
      <c r="E234" s="7"/>
      <c r="F234" s="14">
        <f>(1+L272)*L166</f>
        <v>188.63915344379024</v>
      </c>
      <c r="G234" s="14">
        <f>(1+L272)*L166/(G228*1000)*100</f>
        <v>13.25411793415123</v>
      </c>
      <c r="H234" s="14">
        <f>(1+N272)*N166</f>
        <v>59.241759386351667</v>
      </c>
      <c r="I234" s="14">
        <f>(1+N272)*N166/(I228*1000)*100</f>
        <v>3.1583606636444794</v>
      </c>
      <c r="J234" s="14"/>
      <c r="K234" s="14">
        <f>(1+L272)*G166</f>
        <v>44.223082598996669</v>
      </c>
      <c r="L234" s="14">
        <f>(1+L272)*G166/(L228*1000)*100</f>
        <v>5.7723097906521366</v>
      </c>
      <c r="M234" s="14">
        <f>(1+N272)*I166</f>
        <v>19.092567416915308</v>
      </c>
      <c r="N234" s="14">
        <f>(1+N272)*I166/(N228*1000)*100</f>
        <v>2.775428902242294</v>
      </c>
      <c r="O234" s="7"/>
      <c r="P234" s="15"/>
      <c r="Q234" s="7"/>
      <c r="R234" s="7"/>
      <c r="S234" s="7"/>
      <c r="T234" s="7"/>
      <c r="U234" s="7"/>
      <c r="V234" s="7"/>
      <c r="W234" s="7"/>
      <c r="X234" s="7"/>
    </row>
    <row r="235" spans="1:24" x14ac:dyDescent="0.35">
      <c r="A235" s="15" t="s">
        <v>102</v>
      </c>
      <c r="B235" s="7"/>
      <c r="C235" s="7"/>
      <c r="D235" s="7"/>
      <c r="E235" s="7"/>
      <c r="F235" s="14">
        <f>((1-L272)*L167)</f>
        <v>170.61374762518057</v>
      </c>
      <c r="G235" s="14">
        <f>((1-L272)*L167)/(G228*1000)*100</f>
        <v>11.987621291385189</v>
      </c>
      <c r="H235" s="14">
        <f>((1-N272)*N167)</f>
        <v>63.517027045903049</v>
      </c>
      <c r="I235" s="14">
        <f>((1-N272)*N167)/(I228*1000)*100</f>
        <v>3.3862883508425963</v>
      </c>
      <c r="J235" s="14"/>
      <c r="K235" s="14">
        <f>((1-L272)*G167)</f>
        <v>116.78511635043662</v>
      </c>
      <c r="L235" s="14">
        <f>((1-L272)*G167)/(L228*1000)*100</f>
        <v>15.243620093714785</v>
      </c>
      <c r="M235" s="14">
        <f>((1-N272)*I167)</f>
        <v>43.405003127240953</v>
      </c>
      <c r="N235" s="14">
        <f>((1-N272)*I167)/(N228*1000)*100</f>
        <v>6.3096543042467905</v>
      </c>
      <c r="O235" s="7"/>
      <c r="P235" s="7"/>
    </row>
    <row r="236" spans="1:24" x14ac:dyDescent="0.35">
      <c r="A236" s="7" t="s">
        <v>39</v>
      </c>
      <c r="B236" s="7"/>
      <c r="C236" s="7"/>
      <c r="D236" s="7"/>
      <c r="E236" s="7"/>
      <c r="F236" s="14"/>
      <c r="G236" s="14"/>
      <c r="H236" s="14"/>
      <c r="I236" s="14"/>
      <c r="J236" s="14"/>
      <c r="K236" s="14"/>
      <c r="L236" s="14"/>
      <c r="M236" s="14"/>
      <c r="N236" s="14"/>
      <c r="O236" s="7"/>
      <c r="P236" s="7"/>
    </row>
    <row r="237" spans="1:24" s="15" customFormat="1" x14ac:dyDescent="0.35">
      <c r="A237" s="15" t="s">
        <v>114</v>
      </c>
      <c r="F237" s="55">
        <f>L172</f>
        <v>234.29508463739637</v>
      </c>
      <c r="G237" s="55">
        <f>L172/(G228*1000)*100</f>
        <v>16.461983774229139</v>
      </c>
      <c r="H237" s="55">
        <f>N176</f>
        <v>66.561797037231813</v>
      </c>
      <c r="I237" s="55">
        <f>N176/(I228*1000)*100</f>
        <v>3.5486144172874332</v>
      </c>
      <c r="J237" s="55"/>
      <c r="K237" s="55">
        <f>G172</f>
        <v>329.87131859472464</v>
      </c>
      <c r="L237" s="55">
        <f>G172/(L228*1000)*100</f>
        <v>43.057139621986906</v>
      </c>
      <c r="M237" s="55">
        <f>I176</f>
        <v>53.701924275809183</v>
      </c>
      <c r="N237" s="55">
        <f>I176/(N228*1000)*100</f>
        <v>7.8064866545427911</v>
      </c>
      <c r="O237" s="55"/>
    </row>
    <row r="238" spans="1:24" x14ac:dyDescent="0.35">
      <c r="A238" s="15" t="s">
        <v>115</v>
      </c>
      <c r="B238" s="7"/>
      <c r="C238" s="7"/>
      <c r="D238" s="7"/>
      <c r="E238" s="7"/>
      <c r="F238" s="14">
        <f>G226</f>
        <v>829.70141030008483</v>
      </c>
      <c r="G238" s="14">
        <f>G226/(G228*1000)*100</f>
        <v>58.296277000234433</v>
      </c>
      <c r="H238" s="14">
        <f>I226</f>
        <v>1686.3917146311273</v>
      </c>
      <c r="I238" s="14">
        <f>I226/(I228*1000)*100</f>
        <v>89.906736568225483</v>
      </c>
      <c r="J238" s="14"/>
      <c r="K238" s="14">
        <f>L226</f>
        <v>275.24503576053377</v>
      </c>
      <c r="L238" s="14">
        <f>L226/(L228*1000)*100</f>
        <v>35.926930493646161</v>
      </c>
      <c r="M238" s="14">
        <f>N226</f>
        <v>571.71462906518434</v>
      </c>
      <c r="N238" s="14">
        <f>N226/(N228*1000)*100</f>
        <v>83.108430138968117</v>
      </c>
      <c r="O238" s="7"/>
      <c r="P238" s="7"/>
    </row>
    <row r="239" spans="1:24" x14ac:dyDescent="0.35">
      <c r="A239" s="15" t="s">
        <v>153</v>
      </c>
      <c r="B239" s="7"/>
      <c r="C239" s="7"/>
      <c r="D239" s="7"/>
      <c r="E239" s="7"/>
      <c r="F239" s="14">
        <f>G239*G228*10</f>
        <v>238.22939046798408</v>
      </c>
      <c r="G239" s="14">
        <f>G250*G184/(G228*1000)*100</f>
        <v>16.73841500558094</v>
      </c>
      <c r="H239" s="14">
        <f>I239*I228*10</f>
        <v>676.50246233730422</v>
      </c>
      <c r="I239" s="14">
        <f>I250*I184/(I228*1000)*100</f>
        <v>36.066429964890936</v>
      </c>
      <c r="J239" s="7"/>
      <c r="K239" s="14">
        <f>L250*L184</f>
        <v>92.18324321481758</v>
      </c>
      <c r="L239" s="14">
        <f>L250*L184/(L228*1000)*100</f>
        <v>12.032409458381608</v>
      </c>
      <c r="M239" s="14">
        <f>N250*N184</f>
        <v>187.65912491851105</v>
      </c>
      <c r="N239" s="14">
        <f>N250*N184/(N228*1000)*100</f>
        <v>27.279440616608351</v>
      </c>
      <c r="O239" s="7"/>
      <c r="P239" s="7"/>
    </row>
    <row r="240" spans="1:24" x14ac:dyDescent="0.35">
      <c r="A240" s="15" t="s">
        <v>154</v>
      </c>
      <c r="B240" s="7"/>
      <c r="C240" s="7"/>
      <c r="D240" s="7"/>
      <c r="E240" s="7"/>
      <c r="F240" s="14">
        <f>G240*G228*10</f>
        <v>296.16054347532429</v>
      </c>
      <c r="G240" s="14">
        <f>G251*G187/(G228*1000)*100</f>
        <v>20.808759470148523</v>
      </c>
      <c r="H240" s="14">
        <f>I240*I228*10</f>
        <v>562.12682365347393</v>
      </c>
      <c r="I240" s="14">
        <f>I251*I187/(I228*1000)*100</f>
        <v>29.968712377836169</v>
      </c>
      <c r="J240" s="14"/>
      <c r="K240" s="14">
        <f>L251*L187</f>
        <v>3.7048656326089113</v>
      </c>
      <c r="L240" s="14">
        <f>L251*L187/(L228*1000)*100</f>
        <v>0.48358528866199474</v>
      </c>
      <c r="M240" s="14">
        <f>N251*N187</f>
        <v>6.2079221186056346</v>
      </c>
      <c r="N240" s="14">
        <f>N251*N187/(N228*1000)*100</f>
        <v>0.90242690229196021</v>
      </c>
      <c r="O240" s="7"/>
      <c r="P240" s="7"/>
    </row>
    <row r="241" spans="1:18" x14ac:dyDescent="0.35">
      <c r="A241" s="7" t="s">
        <v>12</v>
      </c>
      <c r="B241" s="7"/>
      <c r="C241" s="7"/>
      <c r="D241" s="7"/>
      <c r="E241" s="7"/>
      <c r="F241" s="14">
        <f>G241*G228*10</f>
        <v>295.3114763567765</v>
      </c>
      <c r="G241" s="14">
        <f>G238-G240-G239</f>
        <v>20.74910252450497</v>
      </c>
      <c r="H241" s="14">
        <f>I241*I228*10</f>
        <v>447.76242864034907</v>
      </c>
      <c r="I241" s="14">
        <f>I238-I240-I239</f>
        <v>23.871594225498377</v>
      </c>
      <c r="J241" s="14"/>
      <c r="K241" s="14">
        <f>L241*L228*10</f>
        <v>179.35692691310726</v>
      </c>
      <c r="L241" s="14">
        <f>L238-L240-L239</f>
        <v>23.410935746602561</v>
      </c>
      <c r="M241" s="14">
        <f>N241*N228*10</f>
        <v>377.84758202806756</v>
      </c>
      <c r="N241" s="14">
        <f>N238-N240-N239</f>
        <v>54.926562620067799</v>
      </c>
      <c r="O241" s="7"/>
      <c r="P241" s="7"/>
    </row>
    <row r="242" spans="1:18" x14ac:dyDescent="0.35">
      <c r="A242" s="7" t="s">
        <v>40</v>
      </c>
      <c r="B242" s="7"/>
      <c r="C242" s="7"/>
      <c r="D242" s="7"/>
      <c r="E242" s="7"/>
      <c r="F242" s="14">
        <f>SUM(F234:F238)</f>
        <v>1423.2493960064521</v>
      </c>
      <c r="G242" s="14">
        <f>SUM(G234:G238)</f>
        <v>100</v>
      </c>
      <c r="H242" s="14">
        <f>SUM(H234:H238)</f>
        <v>1875.7122981006139</v>
      </c>
      <c r="I242" s="14">
        <f>SUM(I234:I238)</f>
        <v>100</v>
      </c>
      <c r="J242" s="14"/>
      <c r="K242" s="14">
        <f>SUM(K234:K238)</f>
        <v>766.12455330469174</v>
      </c>
      <c r="L242" s="14">
        <f>SUM(L234:L238)</f>
        <v>100</v>
      </c>
      <c r="M242" s="14">
        <f>SUM(M234:M238)</f>
        <v>687.91412388514982</v>
      </c>
      <c r="N242" s="14">
        <f>SUM(N234:N238)</f>
        <v>100</v>
      </c>
      <c r="O242" s="7"/>
      <c r="P242" s="7"/>
    </row>
    <row r="243" spans="1:18" x14ac:dyDescent="0.35">
      <c r="A243" s="7"/>
      <c r="B243" s="7"/>
      <c r="C243" s="7"/>
      <c r="D243" s="7"/>
      <c r="E243" s="7"/>
      <c r="F243" s="14"/>
      <c r="G243" s="14"/>
      <c r="H243" s="14"/>
      <c r="I243" s="14"/>
      <c r="J243" s="14"/>
      <c r="K243" s="14"/>
      <c r="L243" s="14"/>
      <c r="M243" s="7"/>
      <c r="N243" s="7"/>
      <c r="O243" s="7"/>
      <c r="P243" s="7"/>
    </row>
    <row r="244" spans="1:18" x14ac:dyDescent="0.35">
      <c r="A244" s="7" t="s">
        <v>13</v>
      </c>
      <c r="B244" s="7"/>
      <c r="C244" s="7"/>
      <c r="D244" s="7"/>
      <c r="E244" s="7"/>
      <c r="F244" s="14"/>
      <c r="G244" s="14"/>
      <c r="H244" s="14"/>
      <c r="I244" s="14"/>
      <c r="J244" s="14"/>
      <c r="K244" s="14"/>
      <c r="L244" s="14"/>
      <c r="M244" s="7"/>
      <c r="N244" s="7"/>
      <c r="O244" s="7"/>
      <c r="P244" s="7"/>
    </row>
    <row r="245" spans="1:18" x14ac:dyDescent="0.35">
      <c r="A245" s="7" t="s">
        <v>3</v>
      </c>
      <c r="B245" s="7"/>
      <c r="C245" s="7"/>
      <c r="D245" s="7"/>
      <c r="E245" s="7"/>
      <c r="F245" s="14"/>
      <c r="G245" s="18">
        <f>((G190/G186)*((1-L211)/L211))^(1/(1+L207))</f>
        <v>0.56851194626848833</v>
      </c>
      <c r="H245" s="14"/>
      <c r="I245" s="18">
        <f>((I190/I186)*((1-N211)/N211))^(1/(1+N207))</f>
        <v>0.52661119804785206</v>
      </c>
      <c r="J245" s="14"/>
      <c r="K245" s="14"/>
      <c r="L245" s="14">
        <f>(L190/L186*(1-G211)/G211)^(1/(1+G207))</f>
        <v>1.3535626540685666</v>
      </c>
      <c r="M245" s="7"/>
      <c r="N245" s="14">
        <f>(N190/N186*(1-I211)/I211)^(1/(1+I207))</f>
        <v>0.66822244550905507</v>
      </c>
      <c r="O245" s="7"/>
      <c r="P245" s="15"/>
      <c r="Q245" s="7"/>
      <c r="R245" s="7"/>
    </row>
    <row r="246" spans="1:18" x14ac:dyDescent="0.35">
      <c r="A246" s="15" t="s">
        <v>155</v>
      </c>
      <c r="B246" s="7"/>
      <c r="C246" s="7"/>
      <c r="D246" s="7"/>
      <c r="E246" s="7"/>
      <c r="F246" s="14"/>
      <c r="G246" s="18">
        <f>(G187/G225*(1-L212)/L212)^(1/(1+L208))</f>
        <v>1.2488085384178977</v>
      </c>
      <c r="H246" s="14"/>
      <c r="I246" s="18">
        <f>(I187/I225*(1-N212)/N212)^(1/(1+N208))</f>
        <v>1.6202598124095502</v>
      </c>
      <c r="J246" s="14"/>
      <c r="K246" s="14"/>
      <c r="L246" s="14">
        <f>(L187/L225*(1-G212)/G212)^(1/(1+G208))</f>
        <v>16.986907184397278</v>
      </c>
      <c r="M246" s="7"/>
      <c r="N246" s="14">
        <f>(N187/N225*(1-I212)/I212)^(1/(1+I208))</f>
        <v>19.632464424642929</v>
      </c>
      <c r="O246" s="7"/>
      <c r="P246" s="15"/>
      <c r="Q246" s="7"/>
      <c r="R246" s="7"/>
    </row>
    <row r="247" spans="1:18" x14ac:dyDescent="0.35">
      <c r="A247" s="7"/>
      <c r="B247" s="7"/>
      <c r="C247" s="7"/>
      <c r="D247" s="7"/>
      <c r="E247" s="7"/>
      <c r="F247" s="14"/>
      <c r="G247" s="14"/>
      <c r="H247" s="14"/>
      <c r="I247" s="14"/>
      <c r="J247" s="14"/>
      <c r="K247" s="14"/>
      <c r="L247" s="14"/>
      <c r="M247" s="7"/>
      <c r="N247" s="14"/>
      <c r="O247" s="7"/>
      <c r="P247" s="7"/>
    </row>
    <row r="248" spans="1:18" x14ac:dyDescent="0.35">
      <c r="A248" s="7" t="s">
        <v>14</v>
      </c>
      <c r="B248" s="7"/>
      <c r="C248" s="7"/>
      <c r="D248" s="7"/>
      <c r="E248" s="7"/>
      <c r="F248" s="14"/>
      <c r="G248" s="14"/>
      <c r="H248" s="14"/>
      <c r="I248" s="14"/>
      <c r="J248" s="14"/>
      <c r="K248" s="14"/>
      <c r="L248" s="14"/>
      <c r="M248" s="7"/>
      <c r="N248" s="14"/>
      <c r="O248" s="7"/>
      <c r="P248" s="7"/>
    </row>
    <row r="249" spans="1:18" x14ac:dyDescent="0.35">
      <c r="A249" s="7" t="s">
        <v>1</v>
      </c>
      <c r="B249" s="7"/>
      <c r="C249" s="7"/>
      <c r="D249" s="7"/>
      <c r="E249" s="7"/>
      <c r="F249" s="14"/>
      <c r="G249" s="14">
        <f>G250+G251</f>
        <v>20.078150976293308</v>
      </c>
      <c r="H249" s="14"/>
      <c r="I249" s="14">
        <f>I250+I251</f>
        <v>47.242822987824624</v>
      </c>
      <c r="J249" s="14"/>
      <c r="K249" s="14"/>
      <c r="L249" s="14">
        <f>L250+L251</f>
        <v>17.858434953063689</v>
      </c>
      <c r="M249" s="7"/>
      <c r="N249" s="14">
        <f>N250+N251</f>
        <v>30.826189982126166</v>
      </c>
      <c r="O249" s="7"/>
      <c r="P249" s="7"/>
    </row>
    <row r="250" spans="1:18" x14ac:dyDescent="0.35">
      <c r="A250" s="15" t="s">
        <v>156</v>
      </c>
      <c r="B250" s="7"/>
      <c r="C250" s="7"/>
      <c r="D250" s="7"/>
      <c r="E250" s="7"/>
      <c r="F250" s="14"/>
      <c r="G250" s="14">
        <f>G252/G185*100</f>
        <v>6.2194858739382974</v>
      </c>
      <c r="H250" s="14"/>
      <c r="I250" s="14">
        <f>I252/I185*100</f>
        <v>17.073710538324875</v>
      </c>
      <c r="J250" s="14"/>
      <c r="K250" s="14"/>
      <c r="L250" s="14">
        <f>L252/L185*100</f>
        <v>16.997237871144797</v>
      </c>
      <c r="M250" s="7"/>
      <c r="N250" s="14">
        <f>N252/N185*100</f>
        <v>28.961464675971254</v>
      </c>
      <c r="O250" s="7"/>
      <c r="P250" s="7"/>
    </row>
    <row r="251" spans="1:18" x14ac:dyDescent="0.35">
      <c r="A251" s="15" t="s">
        <v>157</v>
      </c>
      <c r="B251" s="7"/>
      <c r="C251" s="7"/>
      <c r="D251" s="7"/>
      <c r="E251" s="7"/>
      <c r="F251" s="14"/>
      <c r="G251" s="14">
        <f>G226/(G187+G225*G246)</f>
        <v>13.858665102355012</v>
      </c>
      <c r="H251" s="14"/>
      <c r="I251" s="14">
        <f>I226/(I187+I225*I246)</f>
        <v>30.169112449499746</v>
      </c>
      <c r="J251" s="14"/>
      <c r="K251" s="14"/>
      <c r="L251" s="14">
        <f>L226/(L187+L225*L246)</f>
        <v>0.86119708191889033</v>
      </c>
      <c r="M251" s="7"/>
      <c r="N251" s="14">
        <f>N226/(N187+N225*N246)</f>
        <v>1.8647253061549141</v>
      </c>
      <c r="O251" s="7"/>
      <c r="P251" s="7"/>
    </row>
    <row r="252" spans="1:18" x14ac:dyDescent="0.35">
      <c r="A252" s="7" t="s">
        <v>2</v>
      </c>
      <c r="B252" s="7"/>
      <c r="C252" s="7"/>
      <c r="D252" s="7"/>
      <c r="E252" s="7"/>
      <c r="F252" s="14"/>
      <c r="G252" s="14">
        <f>G253*G245</f>
        <v>6.2194858739382974</v>
      </c>
      <c r="H252" s="14"/>
      <c r="I252" s="14">
        <f>I253*I245</f>
        <v>17.073710538324875</v>
      </c>
      <c r="J252" s="14"/>
      <c r="K252" s="14"/>
      <c r="L252" s="14">
        <f>L253*L245</f>
        <v>8.4986189355723987</v>
      </c>
      <c r="M252" s="7"/>
      <c r="N252" s="14">
        <f>N253*N245</f>
        <v>14.480732337985629</v>
      </c>
      <c r="O252" s="7"/>
      <c r="P252" s="7"/>
    </row>
    <row r="253" spans="1:18" x14ac:dyDescent="0.35">
      <c r="A253" s="7" t="s">
        <v>0</v>
      </c>
      <c r="B253" s="7"/>
      <c r="C253" s="7"/>
      <c r="D253" s="7"/>
      <c r="E253" s="7"/>
      <c r="F253" s="14"/>
      <c r="G253" s="14">
        <f>G225/(G190+G186*G245)*(G251*G246)</f>
        <v>10.939938755484043</v>
      </c>
      <c r="H253" s="14"/>
      <c r="I253" s="14">
        <f>I225/(I190+I186*I245)*(I251*I246)</f>
        <v>32.421852405754237</v>
      </c>
      <c r="J253" s="14"/>
      <c r="K253" s="14"/>
      <c r="L253" s="14">
        <f>L225/(L190+L186*L245)*(L251*L246)</f>
        <v>6.2787037674444361</v>
      </c>
      <c r="M253" s="7"/>
      <c r="N253" s="14">
        <f>N225/(N190+N186*N245)*(N251*N246)</f>
        <v>21.670526686594815</v>
      </c>
      <c r="O253" s="7"/>
      <c r="P253" s="7"/>
    </row>
    <row r="254" spans="1:18" x14ac:dyDescent="0.35">
      <c r="A254" s="7"/>
      <c r="B254" s="7"/>
      <c r="C254" s="7"/>
      <c r="D254" s="7"/>
      <c r="E254" s="7"/>
      <c r="F254" s="7"/>
      <c r="G254" s="7"/>
      <c r="H254" s="7"/>
      <c r="I254" s="7"/>
      <c r="J254" s="7"/>
      <c r="K254" s="7"/>
      <c r="L254" s="7"/>
      <c r="M254" s="7"/>
      <c r="N254" s="7"/>
      <c r="O254" s="7"/>
      <c r="P254" s="7"/>
    </row>
    <row r="255" spans="1:18" x14ac:dyDescent="0.35">
      <c r="A255" s="15" t="s">
        <v>338</v>
      </c>
      <c r="B255" s="81"/>
      <c r="C255" s="81"/>
      <c r="D255" s="7"/>
      <c r="E255" s="7"/>
      <c r="F255" s="7"/>
      <c r="G255" s="14">
        <f>(G$194/G$176)/(G$249/G$226)</f>
        <v>0.70477881702631651</v>
      </c>
      <c r="H255" s="7"/>
      <c r="I255" s="14">
        <f>(I$194/I$172)/(I$249/I$226)</f>
        <v>0.59208628346830228</v>
      </c>
      <c r="J255" s="7"/>
      <c r="K255" s="7"/>
      <c r="L255" s="14">
        <f>(L194/L176)/(L249/L226)</f>
        <v>1.2544255680949314</v>
      </c>
      <c r="M255" s="7"/>
      <c r="N255" s="14">
        <f>(N194/N172)/(N249/N226)</f>
        <v>1.8386990481138554</v>
      </c>
      <c r="O255" s="7"/>
      <c r="P255" s="7"/>
    </row>
    <row r="256" spans="1:18" x14ac:dyDescent="0.35">
      <c r="A256" s="15" t="s">
        <v>339</v>
      </c>
      <c r="B256" s="81"/>
      <c r="C256" s="81"/>
      <c r="D256" s="7"/>
      <c r="E256" s="7"/>
      <c r="F256" s="7"/>
      <c r="G256" s="14">
        <f>(G$196/G$176)/(G$251/G$226)</f>
        <v>6.2347464297303569E-2</v>
      </c>
      <c r="H256" s="7"/>
      <c r="I256" s="14">
        <f>(I$196/I$172)/(I$251/I$226)</f>
        <v>6.2091713066538448E-2</v>
      </c>
      <c r="J256" s="7"/>
      <c r="K256" s="7"/>
      <c r="L256" s="14">
        <f>(L$196/L$176)/(L$251/L$226)</f>
        <v>17.037616999256059</v>
      </c>
      <c r="M256" s="7"/>
      <c r="N256" s="14">
        <f>(N$196/N$172)/(N$251/N$226)</f>
        <v>18.734479797564507</v>
      </c>
      <c r="O256" s="7"/>
      <c r="P256" s="7"/>
    </row>
    <row r="257" spans="1:46" x14ac:dyDescent="0.35">
      <c r="A257" s="15" t="s">
        <v>340</v>
      </c>
      <c r="B257" s="81"/>
      <c r="C257" s="81"/>
      <c r="D257" s="7"/>
      <c r="E257" s="7"/>
      <c r="F257" s="7"/>
      <c r="G257" s="14">
        <f>G$194/(G$249/G$228)</f>
        <v>0.60467916732823879</v>
      </c>
      <c r="H257" s="7"/>
      <c r="I257" s="14">
        <f>I$194/(I$249/I$228)</f>
        <v>0.5799991781365752</v>
      </c>
      <c r="J257" s="7"/>
      <c r="K257" s="7"/>
      <c r="L257" s="14">
        <f>L194/(L249/L228)</f>
        <v>1.4128557709385809</v>
      </c>
      <c r="M257" s="7"/>
      <c r="N257" s="14">
        <f>N194/(N249/N228)</f>
        <v>1.7898562994067868</v>
      </c>
      <c r="O257" s="7"/>
      <c r="P257" s="7"/>
    </row>
    <row r="258" spans="1:46" x14ac:dyDescent="0.35">
      <c r="A258" s="15" t="s">
        <v>341</v>
      </c>
      <c r="B258" s="81"/>
      <c r="C258" s="81"/>
      <c r="D258" s="7"/>
      <c r="E258" s="7"/>
      <c r="F258" s="7"/>
      <c r="G258" s="14">
        <f>(G194/G198)/(G249/G253)</f>
        <v>0.68846227370514101</v>
      </c>
      <c r="H258" s="7"/>
      <c r="I258" s="14">
        <f>(I194/I198)/(I249/I253)</f>
        <v>0.42940501517308177</v>
      </c>
      <c r="J258" s="7"/>
      <c r="K258" s="7"/>
      <c r="L258" s="14">
        <f>(L194/L198)/(L249/L253)</f>
        <v>1.3218876652892031</v>
      </c>
      <c r="M258" s="7"/>
      <c r="N258" s="14">
        <f>(N194/N198)/(N249/N253)</f>
        <v>2.2089822065850075</v>
      </c>
      <c r="O258" s="7"/>
      <c r="P258" s="7"/>
    </row>
    <row r="259" spans="1:46" x14ac:dyDescent="0.35">
      <c r="A259" s="81"/>
      <c r="B259" s="81"/>
      <c r="C259" s="81"/>
      <c r="D259" s="7"/>
      <c r="E259" s="7"/>
      <c r="F259" s="7"/>
      <c r="G259" s="7"/>
      <c r="H259" s="7"/>
      <c r="I259" s="7"/>
      <c r="J259" s="7"/>
      <c r="K259" s="7"/>
      <c r="L259" s="7"/>
      <c r="M259" s="7"/>
      <c r="N259" s="7"/>
      <c r="O259" s="7"/>
      <c r="P259" s="7"/>
    </row>
    <row r="260" spans="1:46" x14ac:dyDescent="0.35">
      <c r="A260" s="81" t="s">
        <v>15</v>
      </c>
      <c r="B260" s="81"/>
      <c r="C260" s="81"/>
      <c r="D260" s="7"/>
      <c r="E260" s="7"/>
      <c r="F260" s="7"/>
      <c r="G260" s="7"/>
      <c r="H260" s="7"/>
      <c r="I260" s="7"/>
      <c r="J260" s="7"/>
      <c r="K260" s="7"/>
      <c r="L260" s="7"/>
      <c r="M260" s="7"/>
      <c r="N260" s="7"/>
      <c r="O260" s="7"/>
      <c r="P260" s="7"/>
    </row>
    <row r="261" spans="1:46" x14ac:dyDescent="0.35">
      <c r="A261" s="81" t="s">
        <v>158</v>
      </c>
      <c r="B261" s="81"/>
      <c r="C261" s="81"/>
      <c r="D261" s="7"/>
      <c r="E261" s="7"/>
      <c r="F261" s="7"/>
      <c r="G261" s="14">
        <f>(G251/G253)/(G196/G198)</f>
        <v>16.419272111320339</v>
      </c>
      <c r="H261" s="7"/>
      <c r="I261" s="14">
        <f>(I251/I253)/(I196/I198)</f>
        <v>22.206711265070254</v>
      </c>
      <c r="J261" s="7"/>
      <c r="K261" s="7"/>
      <c r="L261" s="14">
        <f>1/((L251/L253)/(L196/L198))</f>
        <v>17.953887683779932</v>
      </c>
      <c r="M261" s="7"/>
      <c r="N261" s="14">
        <f>1/((N251/N253)/(N196/N198))</f>
        <v>22.507289904184312</v>
      </c>
      <c r="O261" s="7"/>
      <c r="P261" s="7"/>
    </row>
    <row r="262" spans="1:46" x14ac:dyDescent="0.35">
      <c r="A262" s="81" t="s">
        <v>159</v>
      </c>
      <c r="B262" s="81"/>
      <c r="C262" s="81"/>
      <c r="D262" s="7"/>
      <c r="E262" s="7"/>
      <c r="F262" s="7"/>
      <c r="G262" s="14">
        <f>1/((G196/G197)/(G251/G252))</f>
        <v>34.264206064841289</v>
      </c>
      <c r="H262" s="7"/>
      <c r="I262" s="14">
        <f>1/((I196/I197)/(I251/I252))</f>
        <v>24.618140683848225</v>
      </c>
      <c r="J262" s="7"/>
      <c r="K262" s="7"/>
      <c r="L262" s="14">
        <f>(L196/L197)/(L251/L252)</f>
        <v>37.466685678344767</v>
      </c>
      <c r="M262" s="7"/>
      <c r="N262" s="14">
        <f>(N196/N197)/(N251/N252)</f>
        <v>24.951359193151237</v>
      </c>
      <c r="O262" s="7"/>
      <c r="P262" s="7"/>
    </row>
    <row r="263" spans="1:46" x14ac:dyDescent="0.35">
      <c r="A263" s="81"/>
      <c r="B263" s="81"/>
      <c r="C263" s="81"/>
      <c r="D263" s="7"/>
      <c r="E263" s="7"/>
      <c r="F263" s="7"/>
      <c r="G263" s="7"/>
      <c r="H263" s="7"/>
      <c r="I263" s="7"/>
      <c r="J263" s="7"/>
      <c r="K263" s="7"/>
      <c r="L263" s="7"/>
      <c r="M263" s="7"/>
      <c r="N263" s="7"/>
      <c r="O263" s="7"/>
      <c r="P263" s="7"/>
    </row>
    <row r="264" spans="1:46" x14ac:dyDescent="0.35">
      <c r="A264" s="81" t="s">
        <v>48</v>
      </c>
      <c r="B264" s="81"/>
      <c r="C264" s="81"/>
      <c r="D264" s="7"/>
      <c r="E264" s="7"/>
      <c r="F264" s="7"/>
      <c r="G264" s="7"/>
      <c r="H264" s="7"/>
      <c r="I264" s="7"/>
      <c r="J264" s="7"/>
      <c r="K264" s="7"/>
      <c r="L264" s="7"/>
      <c r="M264" s="7"/>
      <c r="N264" s="7"/>
      <c r="O264" s="7"/>
    </row>
    <row r="265" spans="1:46" x14ac:dyDescent="0.35">
      <c r="A265" s="81"/>
      <c r="B265" s="81"/>
      <c r="C265" s="81"/>
      <c r="D265" s="7"/>
      <c r="E265" s="7"/>
      <c r="F265" s="7"/>
      <c r="G265" s="7"/>
      <c r="H265" s="7"/>
      <c r="I265" s="7"/>
      <c r="J265" s="7"/>
      <c r="K265" s="7"/>
      <c r="L265" s="7"/>
      <c r="M265" s="7"/>
      <c r="N265" s="7"/>
      <c r="O265" s="7"/>
    </row>
    <row r="266" spans="1:46" x14ac:dyDescent="0.35">
      <c r="A266" s="81" t="s">
        <v>43</v>
      </c>
      <c r="B266" s="81"/>
      <c r="C266" s="81"/>
      <c r="D266" s="7"/>
      <c r="E266" s="7"/>
      <c r="F266" s="7"/>
      <c r="G266" s="7"/>
      <c r="H266" s="7"/>
      <c r="I266" s="7"/>
      <c r="J266" s="7"/>
      <c r="K266" s="7"/>
      <c r="L266" s="42" t="s">
        <v>74</v>
      </c>
      <c r="M266" s="7"/>
      <c r="N266" s="8" t="s">
        <v>72</v>
      </c>
      <c r="O266" s="7"/>
    </row>
    <row r="267" spans="1:46" x14ac:dyDescent="0.35">
      <c r="A267" s="15" t="s">
        <v>337</v>
      </c>
      <c r="B267" s="81"/>
      <c r="C267" s="81"/>
      <c r="D267" s="7"/>
      <c r="E267" s="7"/>
      <c r="F267" s="7"/>
      <c r="G267" s="7"/>
      <c r="H267" s="7"/>
      <c r="I267" s="19"/>
      <c r="J267" s="19"/>
      <c r="K267" s="19"/>
      <c r="L267" s="35">
        <v>1</v>
      </c>
      <c r="M267" s="71"/>
      <c r="N267" s="35">
        <v>0.5</v>
      </c>
      <c r="O267" s="7"/>
      <c r="P267" s="15"/>
      <c r="Q267" s="7"/>
      <c r="R267" s="7"/>
      <c r="S267" s="7"/>
      <c r="T267" s="7"/>
      <c r="U267" s="7"/>
      <c r="V267" s="7"/>
      <c r="W267" s="7"/>
      <c r="X267" s="7"/>
      <c r="Y267" s="7"/>
      <c r="Z267" s="7"/>
    </row>
    <row r="268" spans="1:46" s="80" customFormat="1" x14ac:dyDescent="0.35">
      <c r="A268" s="81" t="s">
        <v>116</v>
      </c>
      <c r="B268" s="81"/>
      <c r="C268" s="81"/>
      <c r="D268" s="81"/>
      <c r="E268" s="81"/>
      <c r="F268" s="81"/>
      <c r="G268" s="81"/>
      <c r="H268" s="81"/>
      <c r="I268" s="81"/>
      <c r="J268" s="89">
        <v>0.5</v>
      </c>
      <c r="K268" s="81"/>
      <c r="L268" s="88">
        <f>J268</f>
        <v>0.5</v>
      </c>
      <c r="M268" s="121"/>
      <c r="N268" s="88">
        <f>J268</f>
        <v>0.5</v>
      </c>
      <c r="O268" s="81"/>
      <c r="P268" s="81"/>
      <c r="Q268" s="81"/>
      <c r="R268" s="81"/>
      <c r="S268" s="81"/>
      <c r="T268" s="81"/>
      <c r="U268" s="81"/>
      <c r="V268" s="81"/>
      <c r="W268" s="81"/>
      <c r="X268" s="81"/>
      <c r="Y268" s="81"/>
      <c r="Z268" s="81"/>
    </row>
    <row r="269" spans="1:46" s="80" customFormat="1" x14ac:dyDescent="0.35">
      <c r="A269" s="15" t="s">
        <v>315</v>
      </c>
      <c r="B269" s="81"/>
      <c r="C269" s="81"/>
      <c r="D269" s="81"/>
      <c r="E269" s="81"/>
      <c r="F269" s="81"/>
      <c r="G269" s="81"/>
      <c r="H269" s="81"/>
      <c r="I269" s="81"/>
      <c r="J269" s="89">
        <v>0</v>
      </c>
      <c r="K269" s="81"/>
      <c r="L269" s="88">
        <f>J269</f>
        <v>0</v>
      </c>
      <c r="M269" s="121"/>
      <c r="N269" s="88">
        <f>J269</f>
        <v>0</v>
      </c>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1"/>
      <c r="AR269" s="81"/>
      <c r="AS269" s="81"/>
      <c r="AT269" s="81"/>
    </row>
    <row r="270" spans="1:46" x14ac:dyDescent="0.35">
      <c r="A270" s="81" t="s">
        <v>251</v>
      </c>
      <c r="B270" s="81"/>
      <c r="C270" s="81"/>
      <c r="D270" s="7"/>
      <c r="E270" s="7"/>
      <c r="F270" s="7"/>
      <c r="G270" s="7"/>
      <c r="H270" s="7"/>
      <c r="I270" s="7"/>
      <c r="J270" s="7"/>
      <c r="K270" s="7"/>
      <c r="L270" s="36">
        <v>0.67</v>
      </c>
      <c r="M270" s="71"/>
      <c r="N270" s="14">
        <f>1-L270</f>
        <v>0.32999999999999996</v>
      </c>
      <c r="O270" s="7"/>
      <c r="P270" s="15"/>
      <c r="Q270" s="7"/>
      <c r="R270" s="7"/>
      <c r="S270" s="7"/>
      <c r="T270" s="7"/>
      <c r="U270" s="7"/>
      <c r="V270" s="7"/>
      <c r="W270" s="7"/>
      <c r="X270" s="7"/>
      <c r="Y270" s="7"/>
      <c r="Z270" s="7"/>
    </row>
    <row r="271" spans="1:46" x14ac:dyDescent="0.35">
      <c r="A271" s="81" t="s">
        <v>252</v>
      </c>
      <c r="B271" s="81"/>
      <c r="C271" s="81"/>
      <c r="D271" s="7"/>
      <c r="E271" s="7"/>
      <c r="F271" s="7"/>
      <c r="G271" s="7"/>
      <c r="H271" s="7"/>
      <c r="I271" s="7"/>
      <c r="J271" s="7"/>
      <c r="K271" s="7"/>
      <c r="L271" s="69">
        <v>7.1999999999999995E-2</v>
      </c>
      <c r="M271" s="71"/>
      <c r="N271" s="69">
        <v>5.1999999999999998E-2</v>
      </c>
      <c r="O271" s="7"/>
      <c r="P271" s="7"/>
      <c r="Q271" s="7"/>
      <c r="R271" s="7"/>
      <c r="S271" s="7"/>
      <c r="T271" s="7"/>
      <c r="U271" s="7"/>
      <c r="V271" s="7"/>
      <c r="W271" s="7"/>
      <c r="X271" s="7"/>
      <c r="Y271" s="7"/>
      <c r="Z271" s="7"/>
    </row>
    <row r="272" spans="1:46" x14ac:dyDescent="0.35">
      <c r="A272" s="81" t="s">
        <v>290</v>
      </c>
      <c r="B272" s="81"/>
      <c r="C272" s="81"/>
      <c r="D272" s="7"/>
      <c r="E272" s="7"/>
      <c r="F272" s="7"/>
      <c r="G272" s="7"/>
      <c r="H272" s="7"/>
      <c r="I272" s="7"/>
      <c r="J272" s="7"/>
      <c r="K272" s="7"/>
      <c r="L272" s="37">
        <v>0.1</v>
      </c>
      <c r="M272" s="71"/>
      <c r="N272" s="37">
        <v>0.1</v>
      </c>
      <c r="O272" s="7"/>
      <c r="P272" s="15"/>
      <c r="Q272" s="7"/>
      <c r="R272" s="7"/>
      <c r="S272" s="7"/>
      <c r="T272" s="7"/>
      <c r="U272" s="7"/>
      <c r="V272" s="7"/>
      <c r="W272" s="7"/>
      <c r="X272" s="7"/>
      <c r="Y272" s="7"/>
      <c r="Z272" s="7"/>
    </row>
    <row r="273" spans="1:26" x14ac:dyDescent="0.35">
      <c r="A273" s="81" t="s">
        <v>253</v>
      </c>
      <c r="B273" s="81"/>
      <c r="C273" s="81"/>
      <c r="D273" s="7"/>
      <c r="E273" s="7"/>
      <c r="F273" s="7"/>
      <c r="G273" s="7"/>
      <c r="H273" s="7"/>
      <c r="I273" s="7"/>
      <c r="J273" s="7"/>
      <c r="K273" s="7"/>
      <c r="L273" s="36">
        <v>0.18</v>
      </c>
      <c r="M273" s="71"/>
      <c r="N273" s="36">
        <v>0.18</v>
      </c>
      <c r="O273" s="7"/>
      <c r="P273" s="15"/>
      <c r="Q273" s="7"/>
      <c r="R273" s="7"/>
      <c r="S273" s="7"/>
      <c r="T273" s="7"/>
      <c r="U273" s="7"/>
      <c r="V273" s="7"/>
      <c r="W273" s="7"/>
      <c r="X273" s="7"/>
      <c r="Y273" s="7"/>
      <c r="Z273" s="7"/>
    </row>
    <row r="274" spans="1:26" x14ac:dyDescent="0.35">
      <c r="A274" s="81" t="s">
        <v>254</v>
      </c>
      <c r="B274" s="81"/>
      <c r="C274" s="81"/>
      <c r="D274" s="7"/>
      <c r="E274" s="7"/>
      <c r="F274" s="7"/>
      <c r="G274" s="7"/>
      <c r="H274" s="7"/>
      <c r="I274" s="7"/>
      <c r="J274" s="7"/>
      <c r="K274" s="7"/>
      <c r="L274" s="37">
        <v>0.04</v>
      </c>
      <c r="M274" s="71"/>
      <c r="N274" s="37">
        <v>0.04</v>
      </c>
      <c r="O274" s="7"/>
      <c r="P274" s="7"/>
      <c r="Q274" s="7"/>
      <c r="R274" s="7"/>
      <c r="S274" s="7"/>
      <c r="T274" s="7"/>
      <c r="U274" s="7"/>
      <c r="V274" s="7"/>
      <c r="W274" s="7"/>
      <c r="X274" s="7"/>
      <c r="Y274" s="7"/>
      <c r="Z274" s="7"/>
    </row>
    <row r="275" spans="1:26" s="80" customFormat="1" x14ac:dyDescent="0.35">
      <c r="A275" s="81" t="s">
        <v>248</v>
      </c>
      <c r="B275" s="81"/>
      <c r="C275" s="81"/>
      <c r="D275" s="81"/>
      <c r="E275" s="81"/>
      <c r="F275" s="81"/>
      <c r="G275" s="81"/>
      <c r="H275" s="81"/>
      <c r="I275" s="81"/>
      <c r="J275" s="123">
        <v>0.5</v>
      </c>
      <c r="K275" s="81"/>
      <c r="L275" s="88">
        <f>J275</f>
        <v>0.5</v>
      </c>
      <c r="M275" s="81"/>
      <c r="N275" s="88">
        <f>J275</f>
        <v>0.5</v>
      </c>
      <c r="O275" s="81"/>
      <c r="P275" s="81"/>
      <c r="Q275" s="81"/>
      <c r="R275" s="81"/>
      <c r="S275" s="81"/>
      <c r="T275" s="81"/>
      <c r="U275" s="81"/>
      <c r="V275" s="81"/>
      <c r="W275" s="81"/>
      <c r="X275" s="81"/>
      <c r="Y275" s="81"/>
      <c r="Z275" s="81"/>
    </row>
    <row r="276" spans="1:26" x14ac:dyDescent="0.35">
      <c r="A276" s="81"/>
      <c r="B276" s="15"/>
      <c r="C276" s="81"/>
      <c r="D276" s="7"/>
      <c r="E276" s="7"/>
      <c r="F276" s="7"/>
      <c r="G276" s="7"/>
      <c r="H276" s="7"/>
      <c r="I276" s="7"/>
      <c r="J276" s="7"/>
      <c r="K276" s="7"/>
      <c r="L276" s="16"/>
      <c r="M276" s="7"/>
      <c r="N276" s="16"/>
      <c r="O276" s="7"/>
      <c r="P276" s="7"/>
      <c r="Q276" s="7"/>
      <c r="R276" s="7"/>
      <c r="S276" s="7"/>
      <c r="T276" s="7"/>
      <c r="U276" s="7"/>
      <c r="V276" s="7"/>
      <c r="W276" s="7"/>
      <c r="X276" s="7"/>
      <c r="Y276" s="7"/>
      <c r="Z276" s="7"/>
    </row>
    <row r="277" spans="1:26" x14ac:dyDescent="0.3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x14ac:dyDescent="0.35">
      <c r="A278" s="15" t="s">
        <v>163</v>
      </c>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x14ac:dyDescent="0.3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x14ac:dyDescent="0.35">
      <c r="A280" s="7" t="s">
        <v>18</v>
      </c>
      <c r="B280" s="7"/>
      <c r="C280" s="7"/>
      <c r="D280" s="7"/>
      <c r="E280" s="7"/>
      <c r="F280" s="7"/>
      <c r="G280" s="7"/>
      <c r="H280" s="7"/>
      <c r="I280" s="8" t="s">
        <v>62</v>
      </c>
      <c r="J280" s="7"/>
      <c r="K280" s="7"/>
      <c r="L280" s="42" t="s">
        <v>74</v>
      </c>
      <c r="M280" s="7"/>
      <c r="N280" s="8" t="s">
        <v>72</v>
      </c>
      <c r="O280" s="15"/>
      <c r="P280" s="15"/>
      <c r="Q280" s="7"/>
      <c r="R280" s="7"/>
      <c r="S280" s="7"/>
      <c r="T280" s="7"/>
      <c r="U280" s="7"/>
      <c r="V280" s="7"/>
      <c r="W280" s="7"/>
      <c r="X280" s="7"/>
      <c r="Y280" s="7"/>
      <c r="Z280" s="7"/>
    </row>
    <row r="281" spans="1:26" x14ac:dyDescent="0.35">
      <c r="A281" s="7"/>
      <c r="B281" s="15" t="s">
        <v>117</v>
      </c>
      <c r="C281" s="7"/>
      <c r="D281" s="7"/>
      <c r="E281" s="7"/>
      <c r="F281" s="7"/>
      <c r="G281" s="7"/>
      <c r="H281" s="7"/>
      <c r="I281" s="19">
        <f t="shared" ref="I281:I286" ca="1" si="0">L281+N281</f>
        <v>2826.9462408873324</v>
      </c>
      <c r="J281" s="19"/>
      <c r="K281" s="19"/>
      <c r="L281" s="19">
        <f>O294</f>
        <v>2030.3992000000001</v>
      </c>
      <c r="M281" s="19"/>
      <c r="N281" s="19">
        <f ca="1">O296</f>
        <v>796.54704088733251</v>
      </c>
      <c r="O281" s="7"/>
      <c r="P281" s="15"/>
      <c r="Q281" s="7"/>
      <c r="R281" s="7"/>
      <c r="S281" s="7"/>
      <c r="T281" s="7"/>
      <c r="U281" s="7"/>
      <c r="V281" s="7"/>
      <c r="W281" s="7"/>
      <c r="X281" s="7"/>
      <c r="Y281" s="7"/>
      <c r="Z281" s="7"/>
    </row>
    <row r="282" spans="1:26" x14ac:dyDescent="0.35">
      <c r="A282" s="7"/>
      <c r="B282" s="15" t="s">
        <v>246</v>
      </c>
      <c r="C282" s="7"/>
      <c r="D282" s="7"/>
      <c r="E282" s="7"/>
      <c r="F282" s="7"/>
      <c r="G282" s="7"/>
      <c r="H282" s="7"/>
      <c r="I282" s="19">
        <f t="shared" ca="1" si="0"/>
        <v>-220.04099556333682</v>
      </c>
      <c r="J282" s="24" t="s">
        <v>245</v>
      </c>
      <c r="K282" s="19"/>
      <c r="L282" s="19">
        <f ca="1">G305*L36/100+G306*G43/100*(1-L272)</f>
        <v>-219.12207247455441</v>
      </c>
      <c r="M282" s="19"/>
      <c r="N282" s="19">
        <f ca="1">I305*N36/100+I306*I43/100*(1-N272)</f>
        <v>-0.91892308878239426</v>
      </c>
      <c r="O282" s="7"/>
      <c r="P282" s="15"/>
      <c r="Q282" s="7"/>
      <c r="R282" s="7"/>
      <c r="S282" s="7"/>
      <c r="T282" s="7"/>
      <c r="U282" s="7"/>
      <c r="V282" s="7"/>
      <c r="W282" s="7"/>
      <c r="X282" s="7"/>
      <c r="Y282" s="7"/>
      <c r="Z282" s="7"/>
    </row>
    <row r="283" spans="1:26" x14ac:dyDescent="0.35">
      <c r="A283" s="7"/>
      <c r="B283" s="15" t="s">
        <v>118</v>
      </c>
      <c r="C283" s="7"/>
      <c r="D283" s="7"/>
      <c r="E283" s="7"/>
      <c r="F283" s="7"/>
      <c r="G283" s="7"/>
      <c r="H283" s="7"/>
      <c r="I283" s="19">
        <f t="shared" ca="1" si="0"/>
        <v>-21.1637103261025</v>
      </c>
      <c r="J283" s="24" t="s">
        <v>247</v>
      </c>
      <c r="K283" s="19"/>
      <c r="L283" s="19">
        <f ca="1">L305*L43/100+L306*G43/100</f>
        <v>-16.95072034878298</v>
      </c>
      <c r="M283" s="19"/>
      <c r="N283" s="19">
        <f ca="1">N305*N43/100+N306*I43/100</f>
        <v>-4.212989977319519</v>
      </c>
      <c r="P283" s="15"/>
      <c r="Q283" s="15"/>
      <c r="R283" s="7"/>
      <c r="S283" s="7"/>
      <c r="T283" s="7"/>
      <c r="U283" s="7"/>
      <c r="V283" s="7"/>
      <c r="W283" s="7"/>
      <c r="X283" s="7"/>
      <c r="Y283" s="7"/>
      <c r="Z283" s="7"/>
    </row>
    <row r="284" spans="1:26" x14ac:dyDescent="0.35">
      <c r="A284" s="7"/>
      <c r="B284" s="15" t="s">
        <v>119</v>
      </c>
      <c r="C284" s="7"/>
      <c r="D284" s="7"/>
      <c r="E284" s="7"/>
      <c r="F284" s="7"/>
      <c r="G284" s="7"/>
      <c r="H284" s="7"/>
      <c r="I284" s="19">
        <f t="shared" ca="1" si="0"/>
        <v>175.81378530619097</v>
      </c>
      <c r="J284" s="24" t="s">
        <v>247</v>
      </c>
      <c r="K284" s="19"/>
      <c r="L284" s="19">
        <f ca="1">L305*L44/100</f>
        <v>155.34346691003904</v>
      </c>
      <c r="M284" s="19"/>
      <c r="N284" s="19">
        <f ca="1">N305*N44/100</f>
        <v>20.470318396151931</v>
      </c>
      <c r="P284" s="15"/>
      <c r="Q284" s="15"/>
      <c r="R284" s="7"/>
      <c r="S284" s="7"/>
      <c r="T284" s="7"/>
      <c r="U284" s="7"/>
      <c r="V284" s="7"/>
      <c r="W284" s="7"/>
      <c r="X284" s="7"/>
      <c r="Y284" s="7"/>
      <c r="Z284" s="7"/>
    </row>
    <row r="285" spans="1:26" x14ac:dyDescent="0.35">
      <c r="A285" s="7"/>
      <c r="B285" s="15" t="s">
        <v>120</v>
      </c>
      <c r="C285" s="7"/>
      <c r="D285" s="7"/>
      <c r="E285" s="7"/>
      <c r="F285" s="7"/>
      <c r="G285" s="7"/>
      <c r="H285" s="7"/>
      <c r="I285" s="19">
        <f t="shared" ca="1" si="0"/>
        <v>245.28908998481728</v>
      </c>
      <c r="J285" s="24" t="s">
        <v>247</v>
      </c>
      <c r="K285" s="19"/>
      <c r="L285" s="19">
        <f ca="1">L305*L45/100</f>
        <v>197.61911079442856</v>
      </c>
      <c r="M285" s="19"/>
      <c r="N285" s="19">
        <f ca="1">N305*N45/100</f>
        <v>47.669979190388702</v>
      </c>
      <c r="P285" s="15"/>
      <c r="Q285" s="15"/>
      <c r="R285" s="7"/>
      <c r="S285" s="7"/>
      <c r="T285" s="7"/>
      <c r="U285" s="7"/>
      <c r="V285" s="7"/>
      <c r="W285" s="7"/>
      <c r="X285" s="7"/>
      <c r="Y285" s="7"/>
      <c r="Z285" s="7"/>
    </row>
    <row r="286" spans="1:26" x14ac:dyDescent="0.35">
      <c r="A286" s="7"/>
      <c r="B286" s="15" t="s">
        <v>121</v>
      </c>
      <c r="C286" s="7"/>
      <c r="D286" s="7"/>
      <c r="E286" s="7"/>
      <c r="F286" s="7"/>
      <c r="G286" s="7"/>
      <c r="H286" s="7"/>
      <c r="I286" s="19">
        <f t="shared" ca="1" si="0"/>
        <v>2206.96608035909</v>
      </c>
      <c r="J286" s="19"/>
      <c r="K286" s="19"/>
      <c r="L286" s="19">
        <f ca="1">L281+L282-SUM(L283:L285)</f>
        <v>1475.2652701697612</v>
      </c>
      <c r="M286" s="19"/>
      <c r="N286" s="19">
        <f ca="1">N281+N282-SUM(N283:N285)</f>
        <v>731.70081018932899</v>
      </c>
      <c r="O286" s="7"/>
      <c r="P286" s="15"/>
      <c r="Q286" s="7"/>
      <c r="R286" s="7"/>
      <c r="S286" s="7"/>
      <c r="T286" s="7"/>
      <c r="U286" s="7"/>
      <c r="V286" s="7"/>
      <c r="W286" s="7"/>
      <c r="X286" s="7"/>
    </row>
    <row r="287" spans="1:26" x14ac:dyDescent="0.35">
      <c r="A287" s="7"/>
      <c r="B287" s="15"/>
      <c r="C287" s="15" t="s">
        <v>123</v>
      </c>
      <c r="D287" s="7"/>
      <c r="E287" s="7"/>
      <c r="F287" s="7"/>
      <c r="G287" s="7"/>
      <c r="H287" s="7"/>
      <c r="I287" s="44">
        <v>0</v>
      </c>
      <c r="J287" s="19"/>
      <c r="K287" s="19"/>
      <c r="L287" s="19"/>
      <c r="M287" s="19"/>
      <c r="N287" s="19"/>
      <c r="O287" s="7"/>
      <c r="P287" s="15"/>
      <c r="Q287" s="7"/>
      <c r="R287" s="7"/>
      <c r="S287" s="7"/>
      <c r="T287" s="7"/>
      <c r="U287" s="7"/>
      <c r="V287" s="7"/>
      <c r="W287" s="7"/>
      <c r="X287" s="7"/>
    </row>
    <row r="288" spans="1:26" x14ac:dyDescent="0.35">
      <c r="A288" s="7"/>
      <c r="B288" s="15"/>
      <c r="C288" s="15" t="s">
        <v>122</v>
      </c>
      <c r="D288" s="7"/>
      <c r="E288" s="7"/>
      <c r="F288" s="7"/>
      <c r="G288" s="7"/>
      <c r="H288" s="7"/>
      <c r="I288" s="19">
        <f ca="1">I286-I287</f>
        <v>2206.96608035909</v>
      </c>
      <c r="J288" s="19"/>
      <c r="K288" s="19"/>
      <c r="L288" s="19">
        <f ca="1">I288*L270</f>
        <v>1478.6672738405905</v>
      </c>
      <c r="M288" s="19"/>
      <c r="N288" s="19">
        <f ca="1">I288*N270</f>
        <v>728.29880651849965</v>
      </c>
      <c r="O288" s="7"/>
      <c r="P288" s="24"/>
      <c r="Q288" s="7"/>
      <c r="R288" s="7"/>
      <c r="S288" s="7"/>
      <c r="T288" s="7"/>
      <c r="U288" s="7"/>
      <c r="V288" s="7"/>
      <c r="W288" s="7"/>
      <c r="X288" s="7"/>
    </row>
    <row r="289" spans="1:34" x14ac:dyDescent="0.35">
      <c r="A289" s="7"/>
      <c r="B289" s="7"/>
      <c r="C289" s="7"/>
      <c r="D289" s="7"/>
      <c r="E289" s="7"/>
      <c r="F289" s="7"/>
      <c r="G289" s="7"/>
      <c r="H289" s="7"/>
      <c r="I289" s="7"/>
      <c r="J289" s="7"/>
      <c r="K289" s="7"/>
      <c r="L289" s="7"/>
      <c r="M289" s="7"/>
      <c r="N289" s="7"/>
      <c r="O289" s="7"/>
      <c r="S289" s="15"/>
      <c r="T289" s="7"/>
      <c r="U289" s="7"/>
      <c r="V289" s="7"/>
      <c r="W289" s="7"/>
      <c r="X289" s="7"/>
      <c r="Y289" s="7"/>
      <c r="Z289" s="7"/>
    </row>
    <row r="290" spans="1:34" x14ac:dyDescent="0.35">
      <c r="A290" s="15" t="s">
        <v>160</v>
      </c>
      <c r="B290" s="7"/>
      <c r="C290" s="7"/>
      <c r="D290" s="7"/>
      <c r="E290" s="7"/>
      <c r="F290" s="7"/>
      <c r="G290" s="15"/>
      <c r="H290" s="7"/>
      <c r="I290" s="7"/>
      <c r="J290" s="7"/>
      <c r="K290" s="7"/>
      <c r="L290" s="7"/>
      <c r="M290" s="7"/>
      <c r="N290" s="7"/>
      <c r="O290" s="7"/>
      <c r="P290" s="7"/>
      <c r="Q290" s="7"/>
      <c r="S290" s="15"/>
      <c r="T290" s="7"/>
      <c r="U290" s="7"/>
      <c r="V290" s="7"/>
      <c r="W290" s="7"/>
      <c r="X290" s="7"/>
      <c r="Y290" s="7"/>
      <c r="Z290" s="7"/>
    </row>
    <row r="291" spans="1:34" x14ac:dyDescent="0.35">
      <c r="A291" s="7"/>
      <c r="B291" s="7"/>
      <c r="C291" s="7"/>
      <c r="D291" s="7"/>
      <c r="E291" s="38" t="s">
        <v>161</v>
      </c>
      <c r="F291" s="7"/>
      <c r="G291" s="7"/>
      <c r="H291" s="7"/>
      <c r="I291" s="45" t="s">
        <v>162</v>
      </c>
      <c r="J291" s="6"/>
      <c r="K291" s="7"/>
      <c r="L291" s="7"/>
      <c r="M291" s="7"/>
      <c r="N291" s="7"/>
      <c r="O291" s="46" t="s">
        <v>124</v>
      </c>
      <c r="S291" s="15"/>
      <c r="T291" s="7"/>
      <c r="U291" s="7"/>
      <c r="V291" s="7"/>
      <c r="W291" s="7"/>
      <c r="X291" s="7"/>
      <c r="Y291" s="7"/>
      <c r="Z291" s="7"/>
    </row>
    <row r="292" spans="1:34" x14ac:dyDescent="0.35">
      <c r="A292" s="7"/>
      <c r="D292" s="7"/>
      <c r="E292" s="7" t="s">
        <v>56</v>
      </c>
      <c r="F292" s="7" t="s">
        <v>57</v>
      </c>
      <c r="G292" s="7" t="s">
        <v>49</v>
      </c>
      <c r="H292" s="7"/>
      <c r="K292" s="7" t="s">
        <v>56</v>
      </c>
      <c r="L292" s="7" t="s">
        <v>57</v>
      </c>
      <c r="M292" s="7" t="s">
        <v>49</v>
      </c>
      <c r="N292" s="27"/>
      <c r="O292" s="7" t="s">
        <v>56</v>
      </c>
      <c r="P292" s="7" t="s">
        <v>57</v>
      </c>
      <c r="Q292" s="7" t="s">
        <v>49</v>
      </c>
      <c r="R292" s="15"/>
      <c r="S292" s="7"/>
      <c r="T292" s="7"/>
      <c r="U292" s="7"/>
      <c r="V292" s="7"/>
      <c r="W292" s="7"/>
      <c r="X292" s="7"/>
    </row>
    <row r="293" spans="1:34" x14ac:dyDescent="0.35">
      <c r="A293" s="7"/>
      <c r="B293" s="15" t="s">
        <v>70</v>
      </c>
      <c r="C293" s="7"/>
      <c r="D293" s="7"/>
      <c r="E293" s="19">
        <f ca="1">K293-O293</f>
        <v>904.57279556333697</v>
      </c>
      <c r="F293" s="19">
        <f ca="1">L293-P293</f>
        <v>235.65261032610252</v>
      </c>
      <c r="G293" s="19">
        <f ca="1">E293-F293</f>
        <v>668.92018523723448</v>
      </c>
      <c r="H293" s="7"/>
      <c r="I293" s="6" t="s">
        <v>70</v>
      </c>
      <c r="J293" s="6"/>
      <c r="K293" s="43">
        <f>E25</f>
        <v>684.53180000000009</v>
      </c>
      <c r="L293" s="43">
        <f>C25</f>
        <v>214.48890000000003</v>
      </c>
      <c r="M293" s="19">
        <f>K293-L293</f>
        <v>470.04290000000003</v>
      </c>
      <c r="N293" s="27"/>
      <c r="O293" s="25">
        <f ca="1">I282</f>
        <v>-220.04099556333682</v>
      </c>
      <c r="P293" s="25">
        <f ca="1">I283</f>
        <v>-21.1637103261025</v>
      </c>
      <c r="Q293" s="23">
        <f ca="1">M293-G293</f>
        <v>-198.87728523723445</v>
      </c>
      <c r="R293" s="7"/>
      <c r="S293" s="7"/>
      <c r="T293" s="7"/>
      <c r="U293" s="7"/>
      <c r="V293" s="7"/>
      <c r="W293" s="7"/>
      <c r="X293" s="7"/>
    </row>
    <row r="294" spans="1:34" x14ac:dyDescent="0.35">
      <c r="A294" s="7"/>
      <c r="B294" s="15" t="s">
        <v>127</v>
      </c>
      <c r="C294" s="7"/>
      <c r="D294" s="7"/>
      <c r="E294" s="19">
        <v>0</v>
      </c>
      <c r="F294" s="19">
        <f ca="1">L294-P294</f>
        <v>412.61414085321826</v>
      </c>
      <c r="G294" s="19">
        <f ca="1">E294-F294</f>
        <v>-412.61414085321826</v>
      </c>
      <c r="H294" s="7"/>
      <c r="I294" s="6" t="s">
        <v>71</v>
      </c>
      <c r="J294" s="6"/>
      <c r="K294" s="43">
        <f>E26</f>
        <v>2030.3992000000001</v>
      </c>
      <c r="L294" s="43">
        <f>C26</f>
        <v>2067.0951999999997</v>
      </c>
      <c r="M294" s="19">
        <f>K294-L294</f>
        <v>-36.695999999999685</v>
      </c>
      <c r="N294" s="27"/>
      <c r="O294" s="25">
        <f>K294-E294</f>
        <v>2030.3992000000001</v>
      </c>
      <c r="P294" s="25">
        <f ca="1">L288+I284</f>
        <v>1654.4810591467815</v>
      </c>
      <c r="Q294" s="23">
        <f ca="1">M294-G294</f>
        <v>375.91814085321857</v>
      </c>
      <c r="R294" s="7"/>
      <c r="S294" s="7"/>
      <c r="T294" s="7"/>
      <c r="U294" s="7"/>
      <c r="V294" s="7"/>
      <c r="W294" s="7"/>
      <c r="X294" s="7"/>
    </row>
    <row r="295" spans="1:34" x14ac:dyDescent="0.35">
      <c r="A295" s="7"/>
      <c r="B295" s="7" t="s">
        <v>28</v>
      </c>
      <c r="C295" s="7"/>
      <c r="D295" s="7"/>
      <c r="E295" s="19">
        <f>E294</f>
        <v>0</v>
      </c>
      <c r="F295" s="19">
        <f ca="1">G293*L270*L269</f>
        <v>0</v>
      </c>
      <c r="G295" s="24"/>
      <c r="H295" s="15"/>
      <c r="I295" s="15"/>
      <c r="J295" s="7"/>
      <c r="K295" s="25">
        <f>K294</f>
        <v>2030.3992000000001</v>
      </c>
      <c r="L295" s="7">
        <v>0</v>
      </c>
      <c r="M295" s="19"/>
      <c r="N295" s="7"/>
      <c r="O295" s="25">
        <f>K295-E295</f>
        <v>2030.3992000000001</v>
      </c>
      <c r="P295" s="25">
        <f ca="1">L295-F295</f>
        <v>0</v>
      </c>
      <c r="R295" s="7"/>
      <c r="S295" s="7"/>
      <c r="T295" s="7"/>
      <c r="U295" s="7"/>
      <c r="V295" s="7"/>
      <c r="W295" s="7"/>
      <c r="X295" s="7"/>
    </row>
    <row r="296" spans="1:34" x14ac:dyDescent="0.35">
      <c r="A296" s="7"/>
      <c r="B296" s="15" t="s">
        <v>128</v>
      </c>
      <c r="C296" s="7"/>
      <c r="D296" s="7"/>
      <c r="E296" s="19">
        <f ca="1">E293*2*L272</f>
        <v>180.9145591126674</v>
      </c>
      <c r="F296" s="19">
        <f ca="1">L296-P296</f>
        <v>202.16440349668324</v>
      </c>
      <c r="G296" s="19">
        <f ca="1">E296-F296</f>
        <v>-21.24984438401583</v>
      </c>
      <c r="H296" s="7"/>
      <c r="I296" s="6" t="s">
        <v>72</v>
      </c>
      <c r="J296" s="6"/>
      <c r="K296" s="43">
        <f>E27</f>
        <v>977.46159999999986</v>
      </c>
      <c r="L296" s="43">
        <f>C27</f>
        <v>1175.7523000000001</v>
      </c>
      <c r="M296" s="19">
        <f>K296-L296</f>
        <v>-198.29070000000024</v>
      </c>
      <c r="N296" s="27"/>
      <c r="O296" s="25">
        <f ca="1">K296-E296</f>
        <v>796.54704088733251</v>
      </c>
      <c r="P296" s="25">
        <f ca="1">N288+I285</f>
        <v>973.58789650331687</v>
      </c>
      <c r="Q296" s="23">
        <f ca="1">M296-G296</f>
        <v>-177.04085561598441</v>
      </c>
      <c r="R296" s="15"/>
      <c r="S296" s="7"/>
      <c r="T296" s="7"/>
      <c r="U296" s="7"/>
      <c r="V296" s="7"/>
      <c r="W296" s="7"/>
      <c r="X296" s="7"/>
      <c r="Y296" s="7"/>
      <c r="Z296" s="7"/>
      <c r="AA296" s="7"/>
      <c r="AB296" s="7"/>
      <c r="AC296" s="7"/>
      <c r="AD296" s="7"/>
      <c r="AE296" s="7"/>
      <c r="AF296" s="7"/>
      <c r="AG296" s="7"/>
      <c r="AH296" s="7"/>
    </row>
    <row r="297" spans="1:34" x14ac:dyDescent="0.35">
      <c r="A297" s="7"/>
      <c r="B297" s="7" t="s">
        <v>28</v>
      </c>
      <c r="C297" s="7"/>
      <c r="D297" s="7"/>
      <c r="E297" s="19">
        <f ca="1">E296</f>
        <v>180.9145591126674</v>
      </c>
      <c r="F297" s="19">
        <f ca="1">G293*N270*N269</f>
        <v>0</v>
      </c>
      <c r="G297" s="19"/>
      <c r="H297" s="7"/>
      <c r="I297" s="6"/>
      <c r="J297" s="6"/>
      <c r="K297" s="43">
        <f>K296</f>
        <v>977.46159999999986</v>
      </c>
      <c r="L297" s="43">
        <v>0</v>
      </c>
      <c r="M297" s="19"/>
      <c r="N297" s="27"/>
      <c r="O297" s="25">
        <f ca="1">K297-E297</f>
        <v>796.54704088733251</v>
      </c>
      <c r="P297" s="25">
        <f ca="1">L297-F297</f>
        <v>0</v>
      </c>
      <c r="Q297" s="23"/>
    </row>
    <row r="298" spans="1:34" x14ac:dyDescent="0.35">
      <c r="A298" s="7"/>
      <c r="B298" s="15" t="s">
        <v>62</v>
      </c>
      <c r="C298" s="7"/>
      <c r="D298" s="7"/>
      <c r="E298" s="19">
        <f ca="1">E293+E294+E296</f>
        <v>1085.4873546760043</v>
      </c>
      <c r="F298" s="19">
        <f ca="1">F293+F294+F296</f>
        <v>850.43115467600398</v>
      </c>
      <c r="G298" s="19">
        <f ca="1">G293+G294+G296</f>
        <v>235.05620000000039</v>
      </c>
      <c r="H298" s="15"/>
      <c r="I298" s="6" t="s">
        <v>62</v>
      </c>
      <c r="J298" s="6"/>
      <c r="K298" s="43">
        <f>E28</f>
        <v>3692.3926000000001</v>
      </c>
      <c r="L298" s="43">
        <f>C28</f>
        <v>3457.3363999999997</v>
      </c>
      <c r="M298" s="19">
        <f>K298-L298</f>
        <v>235.05620000000044</v>
      </c>
      <c r="N298" s="27"/>
      <c r="O298" s="25">
        <f ca="1">K298-E298</f>
        <v>2606.9052453239956</v>
      </c>
      <c r="P298" s="23">
        <f ca="1">L298-F298</f>
        <v>2606.9052453239956</v>
      </c>
      <c r="Q298" s="23">
        <f ca="1">M298-G298</f>
        <v>0</v>
      </c>
    </row>
    <row r="299" spans="1:34" x14ac:dyDescent="0.35">
      <c r="A299" s="7"/>
      <c r="B299" s="7"/>
      <c r="C299" s="7"/>
      <c r="D299" s="7"/>
      <c r="E299" s="7"/>
      <c r="F299" s="7"/>
      <c r="G299" s="7"/>
      <c r="H299" s="7"/>
      <c r="I299" s="7"/>
      <c r="J299" s="7"/>
      <c r="K299" s="7"/>
      <c r="L299" s="7"/>
      <c r="M299" s="7"/>
      <c r="N299" s="7"/>
      <c r="O299" s="7"/>
    </row>
    <row r="300" spans="1:34" x14ac:dyDescent="0.35">
      <c r="A300" s="7" t="s">
        <v>50</v>
      </c>
      <c r="B300" s="7"/>
      <c r="C300" s="7"/>
      <c r="D300" s="7"/>
      <c r="E300" s="7"/>
      <c r="F300" s="7"/>
      <c r="G300" s="7"/>
      <c r="H300" s="7"/>
      <c r="I300" s="15"/>
      <c r="J300" s="7"/>
      <c r="K300" s="7"/>
      <c r="L300" s="7"/>
      <c r="M300" s="7"/>
      <c r="N300" s="7"/>
      <c r="O300" s="7"/>
    </row>
    <row r="301" spans="1:34" x14ac:dyDescent="0.35">
      <c r="A301" s="7"/>
      <c r="B301" s="7"/>
      <c r="C301" s="7"/>
      <c r="D301" s="7"/>
      <c r="E301" s="7"/>
      <c r="F301" s="7"/>
      <c r="G301" s="7"/>
      <c r="H301" s="7"/>
      <c r="I301" s="7"/>
      <c r="J301" s="7"/>
      <c r="K301" s="7"/>
      <c r="L301" s="7"/>
      <c r="M301" s="7"/>
      <c r="N301" s="7"/>
      <c r="O301" s="7"/>
    </row>
    <row r="302" spans="1:34" x14ac:dyDescent="0.35">
      <c r="A302" s="15" t="s">
        <v>125</v>
      </c>
      <c r="B302" s="7"/>
      <c r="C302" s="7"/>
      <c r="D302" s="7"/>
      <c r="E302" s="7"/>
      <c r="F302" s="7"/>
      <c r="G302" s="7" t="s">
        <v>53</v>
      </c>
      <c r="H302" s="7"/>
      <c r="I302" s="7" t="s">
        <v>53</v>
      </c>
      <c r="J302" s="7"/>
      <c r="K302" s="7"/>
      <c r="L302" s="7" t="s">
        <v>54</v>
      </c>
      <c r="M302" s="7"/>
      <c r="N302" s="7" t="s">
        <v>54</v>
      </c>
      <c r="O302" s="7"/>
    </row>
    <row r="303" spans="1:34" x14ac:dyDescent="0.35">
      <c r="A303" s="7"/>
      <c r="B303" s="7"/>
      <c r="C303" s="7"/>
      <c r="D303" s="7"/>
      <c r="E303" s="7"/>
      <c r="F303" s="7"/>
      <c r="G303" s="7" t="s">
        <v>52</v>
      </c>
      <c r="H303" s="7"/>
      <c r="I303" s="7" t="s">
        <v>52</v>
      </c>
      <c r="J303" s="7"/>
      <c r="K303" s="7"/>
      <c r="L303" s="7" t="s">
        <v>52</v>
      </c>
      <c r="M303" s="7"/>
      <c r="N303" s="7" t="s">
        <v>52</v>
      </c>
      <c r="O303" s="7"/>
    </row>
    <row r="304" spans="1:34" x14ac:dyDescent="0.35">
      <c r="A304" s="7"/>
      <c r="B304" s="7"/>
      <c r="C304" s="7"/>
      <c r="D304" s="7"/>
      <c r="E304" s="7"/>
      <c r="F304" s="7"/>
      <c r="G304" s="15" t="s">
        <v>59</v>
      </c>
      <c r="H304" s="7"/>
      <c r="I304" s="15" t="s">
        <v>72</v>
      </c>
      <c r="J304" s="7"/>
      <c r="K304" s="7"/>
      <c r="L304" s="15" t="s">
        <v>59</v>
      </c>
      <c r="M304" s="7"/>
      <c r="N304" s="15" t="s">
        <v>72</v>
      </c>
      <c r="O304" s="7"/>
    </row>
    <row r="305" spans="1:26" x14ac:dyDescent="0.35">
      <c r="A305" s="15" t="s">
        <v>131</v>
      </c>
      <c r="B305" s="7"/>
      <c r="C305" s="7"/>
      <c r="D305" s="7"/>
      <c r="E305" s="7"/>
      <c r="F305" s="7"/>
      <c r="G305" s="16">
        <f ca="1">(-F295/G228-L267*O295*(EXP(-L268*LN(G228/((1+L272)*(1+L274))))))*(1-L271)</f>
        <v>-1689.2810800588945</v>
      </c>
      <c r="H305" s="16"/>
      <c r="I305" s="16">
        <f ca="1">(-F297/I228-N267*O297*(EXP(-N268*LN(I228/((1+N272)*(1+N274))))))*(1-N271)</f>
        <v>-294.86258565924066</v>
      </c>
      <c r="J305" s="16"/>
      <c r="K305" s="7"/>
      <c r="L305" s="16">
        <f ca="1">((F295/G228*EXP(-L268*LN(1/(G228*(1+L272)*(1+L273)))))+O295+N305*N37/L37+N306*I37/G37)*(1-L271)</f>
        <v>1995.522951439561</v>
      </c>
      <c r="M305" s="14"/>
      <c r="N305" s="16">
        <f ca="1">((F297/I228*EXP(-N268*LN(1/(I228*(1+N272)*(1+N273)))))+O297+L305*L38/N38+L306*G38/I38)*(1-N271)</f>
        <v>1030.4116776784631</v>
      </c>
      <c r="O305" s="14"/>
      <c r="P305" s="204"/>
      <c r="Q305" s="7"/>
      <c r="R305" s="7"/>
      <c r="S305" s="7"/>
      <c r="T305" s="7"/>
      <c r="U305" s="7"/>
      <c r="V305" s="7"/>
      <c r="W305" s="7"/>
      <c r="X305" s="7"/>
      <c r="Y305" s="7"/>
      <c r="Z305" s="7"/>
    </row>
    <row r="306" spans="1:26" x14ac:dyDescent="0.35">
      <c r="A306" s="15" t="s">
        <v>132</v>
      </c>
      <c r="B306" s="7"/>
      <c r="C306" s="7"/>
      <c r="D306" s="7"/>
      <c r="E306" s="7"/>
      <c r="F306" s="7"/>
      <c r="G306" s="16">
        <f ca="1">((1-L272)*P294+I306*I37/G37+I305*N37/L37)*(1-L271)</f>
        <v>1423.736318976936</v>
      </c>
      <c r="H306" s="16"/>
      <c r="I306" s="16">
        <f ca="1">((1-N272)*P296+G306*G38/I38+G305*L38/N38)*(1-N271)</f>
        <v>872.40683177131064</v>
      </c>
      <c r="J306" s="16"/>
      <c r="K306" s="7"/>
      <c r="L306" s="16">
        <f ca="1">-L275*P294*(1-L271)</f>
        <v>-767.67921144410661</v>
      </c>
      <c r="M306" s="7"/>
      <c r="N306" s="16">
        <f ca="1">-N275*P296*(1-N271)</f>
        <v>-461.48066294257217</v>
      </c>
      <c r="P306" s="205"/>
      <c r="Q306" s="7"/>
      <c r="R306" s="7"/>
      <c r="S306" s="7"/>
      <c r="T306" s="7"/>
      <c r="U306" s="7"/>
      <c r="V306" s="7"/>
      <c r="W306" s="7"/>
      <c r="X306" s="7"/>
      <c r="Y306" s="7"/>
      <c r="Z306" s="7"/>
    </row>
    <row r="307" spans="1:26" x14ac:dyDescent="0.35">
      <c r="A307" s="7" t="s">
        <v>35</v>
      </c>
      <c r="B307" s="7"/>
      <c r="C307" s="7"/>
      <c r="D307" s="7"/>
      <c r="E307" s="7"/>
      <c r="F307" s="7"/>
      <c r="G307" s="16">
        <f ca="1">G305*G228+G306</f>
        <v>-980.53195790201266</v>
      </c>
      <c r="H307" s="7"/>
      <c r="I307" s="16">
        <f ca="1">I305*I228+I306</f>
        <v>319.32945360052713</v>
      </c>
      <c r="J307" s="7"/>
      <c r="K307" s="7"/>
      <c r="L307" s="16">
        <f ca="1">L305+L306*L228</f>
        <v>1407.3850584906468</v>
      </c>
      <c r="M307" s="7"/>
      <c r="N307" s="16">
        <f ca="1">N305+N306*N228</f>
        <v>712.95261174038546</v>
      </c>
      <c r="O307" s="7"/>
    </row>
    <row r="308" spans="1:26" x14ac:dyDescent="0.35">
      <c r="A308" s="7"/>
      <c r="B308" s="7"/>
      <c r="C308" s="7"/>
      <c r="D308" s="7"/>
      <c r="E308" s="7"/>
      <c r="F308" s="7"/>
      <c r="G308" s="7"/>
      <c r="H308" s="7"/>
      <c r="I308" s="7"/>
      <c r="J308" s="7"/>
      <c r="K308" s="7"/>
      <c r="L308" s="7"/>
      <c r="M308" s="7"/>
      <c r="N308" s="7"/>
      <c r="O308" s="7"/>
    </row>
    <row r="309" spans="1:26" x14ac:dyDescent="0.35">
      <c r="A309" s="15" t="s">
        <v>126</v>
      </c>
      <c r="B309" s="7"/>
      <c r="C309" s="7"/>
      <c r="D309" s="7"/>
      <c r="E309" s="7"/>
      <c r="F309" s="7"/>
      <c r="G309" s="7"/>
      <c r="H309" s="7"/>
      <c r="I309" s="7"/>
      <c r="J309" s="7"/>
      <c r="K309" s="7"/>
      <c r="L309" s="7"/>
      <c r="M309" s="7"/>
      <c r="N309" s="7"/>
      <c r="O309" s="7"/>
    </row>
    <row r="310" spans="1:26" x14ac:dyDescent="0.35">
      <c r="A310" s="7" t="s">
        <v>32</v>
      </c>
      <c r="B310" s="7"/>
      <c r="C310" s="7"/>
      <c r="D310" s="7"/>
      <c r="E310" s="7"/>
      <c r="F310" s="16"/>
      <c r="G310" s="16">
        <f ca="1">(G305*G226+G306*G176)/1000</f>
        <v>-689.4963329996117</v>
      </c>
      <c r="H310" s="16"/>
      <c r="I310" s="16">
        <f ca="1">(I305*I226+I306*I172)/1000</f>
        <v>271.08657940063222</v>
      </c>
      <c r="J310" s="16"/>
      <c r="K310" s="7"/>
      <c r="L310" s="16">
        <f ca="1">(L305*L176+L306*L226)/1000</f>
        <v>596.17638774842692</v>
      </c>
      <c r="M310" s="7"/>
      <c r="N310" s="16">
        <f ca="1">(N305*N172+N306*N226)/1000</f>
        <v>569.77561448321399</v>
      </c>
      <c r="O310" s="15"/>
      <c r="P310" s="7"/>
      <c r="Q310" s="7"/>
    </row>
    <row r="311" spans="1:26" x14ac:dyDescent="0.35">
      <c r="A311" s="7"/>
      <c r="B311" s="7"/>
      <c r="C311" s="7"/>
      <c r="D311" s="7"/>
      <c r="E311" s="7"/>
      <c r="F311" s="7"/>
      <c r="G311" s="7"/>
      <c r="H311" s="7"/>
      <c r="I311" s="7"/>
      <c r="J311" s="7"/>
      <c r="K311" s="7"/>
      <c r="L311" s="7"/>
      <c r="M311" s="7"/>
      <c r="N311" s="7"/>
      <c r="O311" s="7"/>
    </row>
    <row r="312" spans="1:26" x14ac:dyDescent="0.35">
      <c r="A312" s="7"/>
      <c r="B312" s="7"/>
      <c r="C312" s="7"/>
      <c r="D312" s="7"/>
      <c r="E312" s="7"/>
      <c r="F312" s="7"/>
      <c r="G312" s="7"/>
      <c r="H312" s="7"/>
      <c r="I312" s="7"/>
      <c r="J312" s="7"/>
      <c r="K312" s="7"/>
      <c r="L312" s="7"/>
      <c r="M312" s="7"/>
      <c r="N312" s="7"/>
      <c r="O312" s="7"/>
    </row>
    <row r="313" spans="1:26" x14ac:dyDescent="0.35">
      <c r="A313" s="29" t="s">
        <v>143</v>
      </c>
      <c r="B313" s="27"/>
      <c r="C313" s="27"/>
      <c r="D313" s="27"/>
      <c r="E313" s="27"/>
      <c r="F313" s="27"/>
      <c r="G313" s="27"/>
      <c r="H313" s="27"/>
      <c r="I313" s="27"/>
      <c r="J313" s="27"/>
      <c r="K313" s="27"/>
      <c r="L313" s="27"/>
      <c r="M313" s="27"/>
      <c r="N313" s="27"/>
      <c r="O313" s="27"/>
      <c r="P313" s="27"/>
      <c r="Q313" s="27"/>
      <c r="R313" s="7"/>
      <c r="S313" s="7"/>
      <c r="T313" s="7"/>
    </row>
    <row r="314" spans="1:26" x14ac:dyDescent="0.35">
      <c r="A314" s="27"/>
      <c r="B314" s="27"/>
      <c r="C314" s="27"/>
      <c r="D314" s="27"/>
      <c r="E314" s="27"/>
      <c r="F314" s="27"/>
      <c r="G314" s="27"/>
      <c r="H314" s="27"/>
      <c r="I314" s="27"/>
      <c r="J314" s="27"/>
      <c r="K314" s="27"/>
      <c r="L314" s="27"/>
      <c r="M314" s="27"/>
      <c r="N314" s="27"/>
      <c r="O314" s="27"/>
      <c r="P314" s="27"/>
      <c r="Q314" s="27"/>
      <c r="R314" s="7"/>
      <c r="S314" s="7"/>
      <c r="T314" s="7"/>
    </row>
    <row r="315" spans="1:26" x14ac:dyDescent="0.35">
      <c r="A315" s="27"/>
      <c r="B315" s="27"/>
      <c r="C315" s="27"/>
      <c r="D315" s="27"/>
      <c r="E315" s="27"/>
      <c r="F315" s="28" t="s">
        <v>59</v>
      </c>
      <c r="G315" s="27"/>
      <c r="H315" s="27"/>
      <c r="I315" s="28" t="s">
        <v>72</v>
      </c>
      <c r="J315" s="27"/>
      <c r="K315" s="27"/>
      <c r="L315" s="27"/>
      <c r="M315" s="28" t="s">
        <v>59</v>
      </c>
      <c r="N315" s="27"/>
      <c r="O315" s="27"/>
      <c r="P315" s="28" t="s">
        <v>72</v>
      </c>
      <c r="Q315" s="27"/>
      <c r="R315" s="7"/>
      <c r="S315" s="7"/>
      <c r="T315" s="7"/>
    </row>
    <row r="316" spans="1:26" x14ac:dyDescent="0.35">
      <c r="A316" s="27"/>
      <c r="B316" s="27"/>
      <c r="C316" s="27"/>
      <c r="D316" s="27"/>
      <c r="E316" s="27" t="s">
        <v>21</v>
      </c>
      <c r="F316" s="27"/>
      <c r="G316" s="27"/>
      <c r="H316" s="27" t="s">
        <v>21</v>
      </c>
      <c r="I316" s="27"/>
      <c r="J316" s="27"/>
      <c r="K316" s="27"/>
      <c r="L316" s="27" t="s">
        <v>31</v>
      </c>
      <c r="M316" s="27"/>
      <c r="N316" s="27"/>
      <c r="O316" s="27" t="s">
        <v>31</v>
      </c>
      <c r="P316" s="27"/>
      <c r="Q316" s="27"/>
      <c r="R316" s="7"/>
      <c r="S316" s="7"/>
      <c r="T316" s="7"/>
    </row>
    <row r="317" spans="1:26" x14ac:dyDescent="0.35">
      <c r="A317" s="27" t="s">
        <v>44</v>
      </c>
      <c r="B317" s="27"/>
      <c r="C317" s="27"/>
      <c r="D317" s="27"/>
      <c r="E317" s="27" t="s">
        <v>61</v>
      </c>
      <c r="F317" s="27" t="s">
        <v>58</v>
      </c>
      <c r="G317" s="27" t="s">
        <v>60</v>
      </c>
      <c r="H317" s="27" t="s">
        <v>61</v>
      </c>
      <c r="I317" s="27" t="s">
        <v>58</v>
      </c>
      <c r="J317" s="27" t="s">
        <v>60</v>
      </c>
      <c r="K317" s="27"/>
      <c r="L317" s="27" t="s">
        <v>61</v>
      </c>
      <c r="M317" s="27" t="s">
        <v>58</v>
      </c>
      <c r="N317" s="27" t="s">
        <v>60</v>
      </c>
      <c r="O317" s="27" t="s">
        <v>61</v>
      </c>
      <c r="P317" s="27" t="s">
        <v>58</v>
      </c>
      <c r="Q317" s="27" t="s">
        <v>60</v>
      </c>
      <c r="R317" s="7"/>
      <c r="S317" s="7"/>
      <c r="T317" s="7"/>
    </row>
    <row r="318" spans="1:26" x14ac:dyDescent="0.35">
      <c r="A318" s="27" t="s">
        <v>34</v>
      </c>
      <c r="B318" s="27"/>
      <c r="C318" s="27"/>
      <c r="D318" s="27"/>
      <c r="E318" s="27">
        <f ca="1">G306*G197/1000</f>
        <v>11.403408282696038</v>
      </c>
      <c r="F318" s="27">
        <f ca="1">G305*G252/1000</f>
        <v>-10.506459814537523</v>
      </c>
      <c r="G318" s="27">
        <f ca="1">(G305*G252+G306*G197)/1000</f>
        <v>0.89694846815851448</v>
      </c>
      <c r="H318" s="27">
        <f ca="1">I306*I197/1000</f>
        <v>11.890825761653563</v>
      </c>
      <c r="I318" s="27">
        <f ca="1">I305*I252/1000</f>
        <v>-5.0343984361278977</v>
      </c>
      <c r="J318" s="27">
        <f ca="1">(I305*I252+I306*I197)/1000</f>
        <v>6.8564273255256651</v>
      </c>
      <c r="K318" s="27"/>
      <c r="L318" s="27">
        <f ca="1">L306*L252/1000</f>
        <v>-6.524213082824172</v>
      </c>
      <c r="M318" s="27">
        <f ca="1">L305*L197/1000</f>
        <v>11.337628163435657</v>
      </c>
      <c r="N318" s="27">
        <f ca="1">(L305*L197+L306*L252)/1000</f>
        <v>4.8134150806114846</v>
      </c>
      <c r="O318" s="27">
        <f ca="1">N306*N252/1000</f>
        <v>-6.6825779592275509</v>
      </c>
      <c r="P318" s="27">
        <f ca="1">N305*N197/1000</f>
        <v>15.853385319525733</v>
      </c>
      <c r="Q318" s="27">
        <f ca="1">(N305*N197+N306*N252)/1000</f>
        <v>9.1708073602981823</v>
      </c>
      <c r="R318" s="7"/>
      <c r="S318" s="7"/>
      <c r="T318" s="7"/>
      <c r="U318" s="7"/>
    </row>
    <row r="319" spans="1:26" x14ac:dyDescent="0.35">
      <c r="A319" s="29" t="s">
        <v>244</v>
      </c>
      <c r="B319" s="27"/>
      <c r="C319" s="27"/>
      <c r="D319" s="27"/>
      <c r="E319" s="27">
        <f ca="1">G306*G196/1000</f>
        <v>0.74158496275582786</v>
      </c>
      <c r="F319" s="27">
        <f ca="1">G305*G251/1000</f>
        <v>-23.411180752280782</v>
      </c>
      <c r="G319" s="27">
        <f ca="1">(G305*G251+G306*G196)/1000</f>
        <v>-22.669595789524955</v>
      </c>
      <c r="H319" s="27">
        <f ca="1">I306*I196/1000</f>
        <v>0.8534761425599191</v>
      </c>
      <c r="I319" s="27">
        <f ca="1">I305*I251/1000</f>
        <v>-8.8957425039038824</v>
      </c>
      <c r="J319" s="27">
        <f ca="1">(I305*I251+I306*I196)/1000</f>
        <v>-8.0422663613439642</v>
      </c>
      <c r="K319" s="27"/>
      <c r="L319" s="27">
        <f ca="1">L306*L251/1000</f>
        <v>-0.66112309674545944</v>
      </c>
      <c r="M319" s="27">
        <f ca="1">L305*L196/1000</f>
        <v>43.044897632903755</v>
      </c>
      <c r="N319" s="27">
        <f ca="1">(L305*L196+L306*L251)/1000</f>
        <v>42.383774536158292</v>
      </c>
      <c r="O319" s="27">
        <f ca="1">N306*N251/1000</f>
        <v>-0.86053467049016052</v>
      </c>
      <c r="P319" s="27">
        <f ca="1">N305*N196/1000</f>
        <v>50.937844366873307</v>
      </c>
      <c r="Q319" s="27">
        <f ca="1">(N305*N196+N306*N251)/1000</f>
        <v>50.077309696383146</v>
      </c>
      <c r="R319" s="7"/>
      <c r="S319" s="7"/>
      <c r="T319" s="7"/>
      <c r="U319" s="7"/>
    </row>
    <row r="320" spans="1:26" x14ac:dyDescent="0.35">
      <c r="A320" s="27" t="s">
        <v>29</v>
      </c>
      <c r="B320" s="27"/>
      <c r="C320" s="27"/>
      <c r="D320" s="27"/>
      <c r="E320" s="27">
        <f ca="1">G306*G198/10</f>
        <v>961.187924207072</v>
      </c>
      <c r="F320" s="27">
        <f ca="1">G305*G253/10</f>
        <v>-1848.0631556642243</v>
      </c>
      <c r="G320" s="27">
        <f ca="1">G305/10*G253+G306/10*G198</f>
        <v>-886.87523145715204</v>
      </c>
      <c r="H320" s="27">
        <f ca="1">I306*I198/10</f>
        <v>2036.8118928991025</v>
      </c>
      <c r="I320" s="27">
        <f ca="1">I305*I253/10</f>
        <v>-955.9991232222967</v>
      </c>
      <c r="J320" s="27">
        <f ca="1">I305/10*I253+I306/10*I198</f>
        <v>1080.8127696768056</v>
      </c>
      <c r="K320" s="27"/>
      <c r="L320" s="27">
        <f ca="1">L306*L253/10*L188/100</f>
        <v>-289.20182142497316</v>
      </c>
      <c r="M320" s="27">
        <f ca="1">L305*L198/10*L188/100</f>
        <v>1048.7738965372293</v>
      </c>
      <c r="N320" s="27">
        <f ca="1">(L305*L198+L306*L253)/10*L188/100</f>
        <v>759.57207511225602</v>
      </c>
      <c r="O320" s="27">
        <f ca="1">N306*N253/10*N188/100</f>
        <v>-600.03174129866863</v>
      </c>
      <c r="P320" s="27">
        <f ca="1">N305*N198/10*N188/100</f>
        <v>1578.0589026281198</v>
      </c>
      <c r="Q320" s="27">
        <f ca="1">(N305*N198+N306*N253)/10*N188/100</f>
        <v>978.02716132945091</v>
      </c>
      <c r="R320" s="7"/>
      <c r="S320" s="7"/>
      <c r="T320" s="7"/>
      <c r="U320" s="7"/>
    </row>
    <row r="321" spans="1:25" x14ac:dyDescent="0.35">
      <c r="A321" s="27"/>
      <c r="B321" s="27"/>
      <c r="C321" s="27"/>
      <c r="D321" s="27"/>
      <c r="E321" s="27"/>
      <c r="F321" s="27"/>
      <c r="G321" s="27"/>
      <c r="H321" s="27"/>
      <c r="I321" s="27"/>
      <c r="J321" s="27"/>
      <c r="K321" s="27"/>
      <c r="L321" s="27"/>
      <c r="M321" s="27"/>
      <c r="N321" s="27"/>
      <c r="O321" s="27"/>
      <c r="P321" s="27"/>
      <c r="Q321" s="27"/>
      <c r="R321" s="7"/>
      <c r="S321" s="7"/>
      <c r="T321" s="7"/>
      <c r="U321" s="7"/>
    </row>
    <row r="322" spans="1:25" x14ac:dyDescent="0.35">
      <c r="A322" s="29" t="s">
        <v>130</v>
      </c>
      <c r="B322" s="25"/>
      <c r="C322" s="25"/>
      <c r="D322" s="25"/>
      <c r="E322" s="25"/>
      <c r="F322" s="25"/>
      <c r="G322" s="25">
        <f>G98</f>
        <v>1903.4354964816262</v>
      </c>
      <c r="H322" s="26"/>
      <c r="I322" s="25"/>
      <c r="J322" s="25">
        <f>I98</f>
        <v>1744.8264268960127</v>
      </c>
      <c r="K322" s="25"/>
      <c r="L322" s="25"/>
      <c r="M322" s="25"/>
      <c r="N322" s="25">
        <f>L98</f>
        <v>2282.6452304394425</v>
      </c>
      <c r="O322" s="25"/>
      <c r="P322" s="25"/>
      <c r="Q322" s="25">
        <f>N98</f>
        <v>2125.7963558413712</v>
      </c>
      <c r="R322" s="25"/>
      <c r="S322" s="7"/>
      <c r="T322" s="7"/>
      <c r="U322" s="7"/>
    </row>
    <row r="323" spans="1:25" x14ac:dyDescent="0.35">
      <c r="A323" s="27"/>
      <c r="B323" s="27"/>
      <c r="C323" s="27"/>
      <c r="D323" s="27"/>
      <c r="E323" s="27"/>
      <c r="F323" s="27"/>
      <c r="G323" s="27"/>
      <c r="H323" s="27"/>
      <c r="I323" s="27"/>
      <c r="J323" s="27"/>
      <c r="K323" s="33" t="s">
        <v>142</v>
      </c>
      <c r="L323" s="27"/>
      <c r="M323" s="27"/>
      <c r="N323" s="27"/>
      <c r="O323" s="27"/>
      <c r="P323" s="27"/>
      <c r="Q323" s="27"/>
      <c r="R323" s="33" t="s">
        <v>142</v>
      </c>
      <c r="S323" s="7"/>
      <c r="T323" s="7"/>
    </row>
    <row r="324" spans="1:25" x14ac:dyDescent="0.35">
      <c r="A324" s="29" t="s">
        <v>258</v>
      </c>
      <c r="B324" s="27"/>
      <c r="C324" s="27"/>
      <c r="D324" s="27"/>
      <c r="E324" s="27">
        <f ca="1">E318*1000/G322*100/G185</f>
        <v>5.9909612402282502</v>
      </c>
      <c r="F324" s="27">
        <f ca="1">F318*1000/G322*100/G185</f>
        <v>-5.5197351493959301</v>
      </c>
      <c r="G324" s="27">
        <f ca="1">G318*1000/G322*100/G185</f>
        <v>0.47122609083232087</v>
      </c>
      <c r="H324" s="27">
        <f ca="1">H318*1000/J322*100/I185</f>
        <v>6.8149046680860632</v>
      </c>
      <c r="I324" s="27">
        <f ca="1">I318*1000/J322*100/I185</f>
        <v>-2.8853290840418566</v>
      </c>
      <c r="J324" s="27">
        <f ca="1">J318*1000/J322*100/I185</f>
        <v>3.9295755840442066</v>
      </c>
      <c r="K324" s="27">
        <f ca="1">G324+J324</f>
        <v>4.4008016748765275</v>
      </c>
      <c r="L324" s="27">
        <f ca="1">L318*1000/N322*100/L185</f>
        <v>-5.7163618733412775</v>
      </c>
      <c r="M324" s="27">
        <f ca="1">M318*1000/N322*100/L185</f>
        <v>9.9337628224014445</v>
      </c>
      <c r="N324" s="27">
        <f ca="1">N318*1000/N322*100/L185</f>
        <v>4.2174009490601678</v>
      </c>
      <c r="O324" s="27">
        <f ca="1">O318*1000/Q322*100/N185</f>
        <v>-6.2871290007293741</v>
      </c>
      <c r="P324" s="27">
        <f ca="1">P318*1000/Q322*100/N185</f>
        <v>14.915243669472851</v>
      </c>
      <c r="Q324" s="27">
        <f ca="1">Q318*1000/Q322*100/N185</f>
        <v>8.6281146687434767</v>
      </c>
      <c r="R324" s="27">
        <f ca="1">N324+Q324</f>
        <v>12.845515617803645</v>
      </c>
      <c r="S324" s="7"/>
      <c r="T324" s="7"/>
    </row>
    <row r="325" spans="1:25" x14ac:dyDescent="0.35">
      <c r="A325" s="29" t="s">
        <v>259</v>
      </c>
      <c r="B325" s="27"/>
      <c r="C325" s="27"/>
      <c r="D325" s="27"/>
      <c r="E325" s="27">
        <f ca="1">E319*1000/G322</f>
        <v>0.38960341137201565</v>
      </c>
      <c r="F325" s="27">
        <f ca="1">F319*1000/G322</f>
        <v>-12.299434782820217</v>
      </c>
      <c r="G325" s="27">
        <f ca="1">G319*1000/$G$322</f>
        <v>-11.909831371448202</v>
      </c>
      <c r="H325" s="27">
        <f ca="1">H319*1000/J322</f>
        <v>0.48914673081735954</v>
      </c>
      <c r="I325" s="27">
        <f ca="1">I319*1000/J322</f>
        <v>-5.0983538343863284</v>
      </c>
      <c r="J325" s="27">
        <f ca="1">J319*1000/J322</f>
        <v>-4.609207103568969</v>
      </c>
      <c r="K325" s="27">
        <f ca="1">G325+J325</f>
        <v>-16.519038475017172</v>
      </c>
      <c r="L325" s="27">
        <f ca="1">L319*1000/N322</f>
        <v>-0.28963024473942611</v>
      </c>
      <c r="M325" s="27">
        <f ca="1">M319*1000/N322</f>
        <v>18.857462850071091</v>
      </c>
      <c r="N325" s="27">
        <f ca="1">N319*1000/N322</f>
        <v>18.567832605331667</v>
      </c>
      <c r="O325" s="27">
        <f ca="1">O319*1000/Q322</f>
        <v>-0.40480578872267781</v>
      </c>
      <c r="P325" s="27">
        <f ca="1">P319*1000/Q322</f>
        <v>23.961770480461929</v>
      </c>
      <c r="Q325" s="27">
        <f ca="1">Q319*1000/Q322</f>
        <v>23.55696469173925</v>
      </c>
      <c r="R325" s="27">
        <f ca="1">N325+Q325</f>
        <v>42.124797297070913</v>
      </c>
      <c r="S325" s="7"/>
      <c r="T325" s="7"/>
    </row>
    <row r="326" spans="1:25" x14ac:dyDescent="0.35">
      <c r="A326" s="27" t="s">
        <v>37</v>
      </c>
      <c r="B326" s="27"/>
      <c r="C326" s="27"/>
      <c r="D326" s="27"/>
      <c r="E326" s="27">
        <f t="shared" ref="E326:J326" ca="1" si="1">E324+E325</f>
        <v>6.3805646516002659</v>
      </c>
      <c r="F326" s="27">
        <f t="shared" ca="1" si="1"/>
        <v>-17.819169932216148</v>
      </c>
      <c r="G326" s="27">
        <f t="shared" ca="1" si="1"/>
        <v>-11.438605280615882</v>
      </c>
      <c r="H326" s="27">
        <f t="shared" ca="1" si="1"/>
        <v>7.3040513989034226</v>
      </c>
      <c r="I326" s="27">
        <f t="shared" ca="1" si="1"/>
        <v>-7.983682918428185</v>
      </c>
      <c r="J326" s="27">
        <f t="shared" ca="1" si="1"/>
        <v>-0.67963151952476242</v>
      </c>
      <c r="K326" s="27">
        <f ca="1">G326+J326</f>
        <v>-12.118236800140643</v>
      </c>
      <c r="L326" s="27">
        <f t="shared" ref="L326:Q326" ca="1" si="2">L324+L325</f>
        <v>-6.0059921180807034</v>
      </c>
      <c r="M326" s="27">
        <f t="shared" ca="1" si="2"/>
        <v>28.791225672472535</v>
      </c>
      <c r="N326" s="27">
        <f t="shared" ca="1" si="2"/>
        <v>22.785233554391834</v>
      </c>
      <c r="O326" s="27">
        <f t="shared" ca="1" si="2"/>
        <v>-6.691934789452052</v>
      </c>
      <c r="P326" s="27">
        <f t="shared" ca="1" si="2"/>
        <v>38.87701414993478</v>
      </c>
      <c r="Q326" s="27">
        <f t="shared" ca="1" si="2"/>
        <v>32.185079360482725</v>
      </c>
      <c r="R326" s="27">
        <f ca="1">N326+Q326</f>
        <v>54.970312914874555</v>
      </c>
      <c r="S326" s="7"/>
      <c r="T326" s="7"/>
    </row>
    <row r="327" spans="1:25" x14ac:dyDescent="0.35">
      <c r="A327" s="27" t="s">
        <v>30</v>
      </c>
      <c r="B327" s="27"/>
      <c r="C327" s="27"/>
      <c r="D327" s="27"/>
      <c r="E327" s="27">
        <f t="shared" ref="E327:J327" ca="1" si="3">E320*$G$188/100</f>
        <v>961.18792420707211</v>
      </c>
      <c r="F327" s="27">
        <f t="shared" ca="1" si="3"/>
        <v>-1848.0631556642243</v>
      </c>
      <c r="G327" s="27">
        <f t="shared" ca="1" si="3"/>
        <v>-886.87523145715215</v>
      </c>
      <c r="H327" s="27">
        <f t="shared" ca="1" si="3"/>
        <v>2036.8118928991025</v>
      </c>
      <c r="I327" s="27">
        <f t="shared" ca="1" si="3"/>
        <v>-955.99912322229682</v>
      </c>
      <c r="J327" s="27">
        <f t="shared" ca="1" si="3"/>
        <v>1080.8127696768056</v>
      </c>
      <c r="K327" s="27"/>
      <c r="L327" s="27">
        <f ca="1">L320*$L$188/100</f>
        <v>-173.52109285498392</v>
      </c>
      <c r="M327" s="27">
        <f ca="1">M320*$L$188/100</f>
        <v>629.26433792233763</v>
      </c>
      <c r="N327" s="27">
        <f ca="1">N320*$L$188/100</f>
        <v>455.74324506735366</v>
      </c>
      <c r="O327" s="27">
        <f ca="1">O320*N188/100</f>
        <v>-360.01904477920124</v>
      </c>
      <c r="P327" s="27">
        <f ca="1">P320*N188/100</f>
        <v>946.83534157687188</v>
      </c>
      <c r="Q327" s="27">
        <f ca="1">Q320*N188/100</f>
        <v>586.81629679767047</v>
      </c>
      <c r="R327" s="7"/>
      <c r="S327" s="7"/>
      <c r="T327" s="7"/>
    </row>
    <row r="328" spans="1:25" x14ac:dyDescent="0.35">
      <c r="A328" s="27"/>
      <c r="B328" s="27"/>
      <c r="C328" s="27"/>
      <c r="D328" s="27"/>
      <c r="E328" s="27"/>
      <c r="F328" s="27"/>
      <c r="G328" s="27"/>
      <c r="H328" s="27"/>
      <c r="I328" s="27"/>
      <c r="J328" s="27"/>
      <c r="K328" s="27"/>
      <c r="L328" s="27"/>
      <c r="M328" s="27"/>
      <c r="N328" s="27"/>
      <c r="O328" s="27"/>
      <c r="P328" s="27"/>
      <c r="Q328" s="27"/>
      <c r="R328" s="7"/>
      <c r="S328" s="7"/>
      <c r="T328" s="7"/>
    </row>
    <row r="329" spans="1:25" s="81" customFormat="1" x14ac:dyDescent="0.35">
      <c r="A329" s="81" t="s">
        <v>289</v>
      </c>
    </row>
    <row r="330" spans="1:25" s="81" customFormat="1" x14ac:dyDescent="0.35">
      <c r="A330" s="81" t="s">
        <v>36</v>
      </c>
      <c r="G330" s="100">
        <f ca="1">G326/F10*100</f>
        <v>-21.655002235083643</v>
      </c>
      <c r="J330" s="100">
        <f ca="1">J326/F11*100</f>
        <v>-0.18768544525582206</v>
      </c>
      <c r="N330" s="100">
        <f ca="1">N326/O10*100</f>
        <v>6.769332151217883</v>
      </c>
      <c r="Q330" s="100">
        <f ca="1">Q326/O11*100</f>
        <v>2.7886609487473994</v>
      </c>
    </row>
    <row r="331" spans="1:25" x14ac:dyDescent="0.35">
      <c r="A331" s="7"/>
      <c r="B331" s="7"/>
      <c r="C331" s="7"/>
      <c r="D331" s="7"/>
      <c r="E331" s="7"/>
      <c r="F331" s="7"/>
      <c r="G331" s="7"/>
      <c r="H331" s="7"/>
      <c r="I331" s="7"/>
      <c r="J331" s="7"/>
      <c r="K331" s="7"/>
      <c r="L331" s="15" t="s">
        <v>310</v>
      </c>
      <c r="M331" s="81"/>
      <c r="N331" s="81"/>
      <c r="O331" s="81"/>
      <c r="P331" s="81"/>
      <c r="Q331" s="81"/>
      <c r="R331" s="81"/>
      <c r="S331" s="7"/>
      <c r="T331" s="7"/>
    </row>
    <row r="332" spans="1:25" x14ac:dyDescent="0.35">
      <c r="A332" s="15" t="s">
        <v>309</v>
      </c>
      <c r="B332" s="7"/>
      <c r="C332" s="7"/>
      <c r="D332" s="7"/>
      <c r="E332" s="7"/>
      <c r="F332" s="7"/>
      <c r="G332" s="31" t="s">
        <v>139</v>
      </c>
      <c r="H332" s="31" t="s">
        <v>140</v>
      </c>
      <c r="I332" s="31" t="s">
        <v>141</v>
      </c>
      <c r="J332" s="32"/>
      <c r="K332" s="32"/>
      <c r="L332" s="32"/>
      <c r="M332" s="32"/>
      <c r="N332" s="31" t="s">
        <v>139</v>
      </c>
      <c r="O332" s="31" t="s">
        <v>140</v>
      </c>
      <c r="P332" s="31" t="s">
        <v>141</v>
      </c>
      <c r="Q332" s="7"/>
      <c r="R332" s="7"/>
      <c r="S332" s="7"/>
      <c r="T332" s="7"/>
    </row>
    <row r="333" spans="1:25" x14ac:dyDescent="0.35">
      <c r="A333" s="15" t="s">
        <v>260</v>
      </c>
      <c r="B333" s="7"/>
      <c r="C333" s="7"/>
      <c r="D333" s="7"/>
      <c r="E333" s="7"/>
      <c r="F333" s="7"/>
      <c r="G333" s="59">
        <f ca="1">G324/(C12+D12)*100</f>
        <v>0.14565660153047158</v>
      </c>
      <c r="H333" s="59">
        <f ca="1">J324/(C12+D12)*100</f>
        <v>1.2146369570030162</v>
      </c>
      <c r="I333" s="59">
        <f ca="1">100*K324/(C12+D12)</f>
        <v>1.3602935585334879</v>
      </c>
      <c r="J333" s="65"/>
      <c r="K333" s="65"/>
      <c r="L333" s="65"/>
      <c r="M333" s="65"/>
      <c r="N333" s="59">
        <f ca="1">N324/(K12+L12)*100</f>
        <v>0.53992293535247715</v>
      </c>
      <c r="O333" s="59">
        <f ca="1">Q324/(K12+L12)*100</f>
        <v>1.1045942879924369</v>
      </c>
      <c r="P333" s="59">
        <f ca="1">N333+O333</f>
        <v>1.6445172233449141</v>
      </c>
      <c r="Q333" s="7"/>
      <c r="R333" s="7"/>
      <c r="S333" s="58" t="s">
        <v>294</v>
      </c>
      <c r="T333" s="65"/>
      <c r="U333" s="65"/>
      <c r="V333" s="65"/>
      <c r="W333" s="65"/>
      <c r="X333" s="65"/>
      <c r="Y333" s="65"/>
    </row>
    <row r="334" spans="1:25" x14ac:dyDescent="0.35">
      <c r="A334" s="15" t="s">
        <v>261</v>
      </c>
      <c r="B334" s="7"/>
      <c r="C334" s="7"/>
      <c r="D334" s="7"/>
      <c r="E334" s="7"/>
      <c r="F334" s="7"/>
      <c r="G334" s="59">
        <f ca="1">G325/E12*100</f>
        <v>-11.402808498507435</v>
      </c>
      <c r="H334" s="59">
        <f ca="1">J325/E12*100</f>
        <v>-4.4129848939721956</v>
      </c>
      <c r="I334" s="59">
        <f ca="1">100*K325/E12</f>
        <v>-15.815793392479632</v>
      </c>
      <c r="J334" s="65"/>
      <c r="K334" s="65"/>
      <c r="L334" s="65"/>
      <c r="M334" s="65"/>
      <c r="N334" s="59">
        <f ca="1">N325/M12*100</f>
        <v>1.7338872807003192</v>
      </c>
      <c r="O334" s="59">
        <f ca="1">Q325/M12*100</f>
        <v>2.1997786343240033</v>
      </c>
      <c r="P334" s="59">
        <f ca="1">N334+O334</f>
        <v>3.9336659150243225</v>
      </c>
      <c r="Q334" s="7"/>
      <c r="R334" s="7"/>
      <c r="S334" s="7"/>
      <c r="T334" s="7"/>
    </row>
    <row r="335" spans="1:25" x14ac:dyDescent="0.35">
      <c r="A335" s="15" t="s">
        <v>165</v>
      </c>
      <c r="B335" s="7"/>
      <c r="C335" s="7"/>
      <c r="D335" s="7"/>
      <c r="E335" s="7"/>
      <c r="F335" s="7"/>
      <c r="G335" s="14">
        <f ca="1">100*((1+G333/100)/(1+G334/100)-1)</f>
        <v>13.034798173984274</v>
      </c>
      <c r="H335" s="14">
        <f ca="1">100*((1+H333/100)/(1+H334/100)-1)</f>
        <v>5.8874333974472171</v>
      </c>
      <c r="I335" s="14">
        <f ca="1">100*((1+I333/100)/(1+I334/100)-1)</f>
        <v>20.402980135087169</v>
      </c>
      <c r="J335" s="7"/>
      <c r="K335" s="7"/>
      <c r="L335" s="7"/>
      <c r="M335" s="7"/>
      <c r="N335" s="14">
        <f ca="1">100*((1+N333/100)/(1+N334/100)-1)</f>
        <v>-1.1736151810001094</v>
      </c>
      <c r="O335" s="14">
        <f ca="1">100*((1+O333/100)/(1+O334/100)-1)</f>
        <v>-1.0716112705588143</v>
      </c>
      <c r="P335" s="14">
        <f ca="1">100*((1+P333/100)/(1+P334/100)-1)</f>
        <v>-2.2025093327806</v>
      </c>
      <c r="Q335" s="7"/>
      <c r="R335" s="7"/>
      <c r="S335" s="15"/>
      <c r="T335" s="7"/>
      <c r="U335" s="7"/>
      <c r="V335" s="7"/>
      <c r="W335" s="7"/>
      <c r="X335" s="7"/>
      <c r="Y335" s="7"/>
    </row>
    <row r="336" spans="1:25" x14ac:dyDescent="0.35">
      <c r="A336" s="15" t="s">
        <v>164</v>
      </c>
      <c r="B336" s="7"/>
      <c r="C336" s="7"/>
      <c r="D336" s="7"/>
      <c r="E336" s="7"/>
      <c r="F336" s="7"/>
      <c r="G336" s="14">
        <f ca="1">G326/F12*100</f>
        <v>-2.6727898965139398</v>
      </c>
      <c r="H336" s="14">
        <f ca="1">J326/F12*100</f>
        <v>-0.15880539752661141</v>
      </c>
      <c r="I336" s="14">
        <f ca="1">G336+H336</f>
        <v>-2.8315952940405511</v>
      </c>
      <c r="J336" s="7"/>
      <c r="K336" s="7"/>
      <c r="L336" s="15" t="s">
        <v>311</v>
      </c>
      <c r="M336" s="81"/>
      <c r="N336" s="14">
        <f ca="1">N326/N12*100</f>
        <v>3.4123705821015218</v>
      </c>
      <c r="O336" s="14">
        <f ca="1">Q326/N12*100</f>
        <v>4.8201137693032328</v>
      </c>
      <c r="P336" s="14">
        <f ca="1">N336+O336</f>
        <v>8.2324843514047537</v>
      </c>
      <c r="Q336" s="7"/>
      <c r="R336" s="7"/>
      <c r="S336" s="7"/>
      <c r="T336" s="7"/>
    </row>
    <row r="337" spans="1:20" x14ac:dyDescent="0.35">
      <c r="A337" s="7"/>
      <c r="B337" s="7"/>
      <c r="C337" s="7"/>
      <c r="D337" s="7"/>
      <c r="E337" s="7"/>
      <c r="F337" s="7"/>
      <c r="G337" s="7"/>
      <c r="H337" s="7"/>
      <c r="I337" s="14"/>
      <c r="J337" s="7"/>
      <c r="K337" s="7"/>
      <c r="L337" s="7"/>
      <c r="M337" s="7"/>
      <c r="N337" s="7"/>
      <c r="O337" s="7"/>
      <c r="P337" s="14"/>
      <c r="Q337" s="7"/>
      <c r="R337" s="7"/>
      <c r="S337" s="7"/>
      <c r="T337" s="7"/>
    </row>
    <row r="338" spans="1:20" x14ac:dyDescent="0.35">
      <c r="A338" s="7"/>
      <c r="B338" s="7"/>
      <c r="C338" s="7"/>
      <c r="D338" s="7"/>
      <c r="E338" s="7"/>
      <c r="F338" s="7"/>
      <c r="G338" s="48" t="s">
        <v>167</v>
      </c>
      <c r="H338" s="7"/>
      <c r="I338" s="48" t="s">
        <v>167</v>
      </c>
      <c r="J338" s="7"/>
      <c r="K338" s="7"/>
      <c r="L338" s="7"/>
      <c r="M338" s="7"/>
      <c r="N338" s="48" t="s">
        <v>167</v>
      </c>
      <c r="O338" s="7"/>
      <c r="P338" s="48" t="s">
        <v>167</v>
      </c>
      <c r="Q338" s="7"/>
      <c r="R338" s="7"/>
      <c r="S338" s="7"/>
      <c r="T338" s="7"/>
    </row>
    <row r="339" spans="1:20" x14ac:dyDescent="0.35">
      <c r="A339" s="7"/>
      <c r="B339" s="7"/>
      <c r="C339" s="7"/>
      <c r="D339" s="7"/>
      <c r="E339" s="7"/>
      <c r="F339" s="7"/>
      <c r="G339" s="48" t="s">
        <v>168</v>
      </c>
      <c r="H339" s="7"/>
      <c r="I339" s="48" t="s">
        <v>171</v>
      </c>
      <c r="J339" s="7"/>
      <c r="K339" s="7"/>
      <c r="L339" s="7"/>
      <c r="M339" s="7"/>
      <c r="N339" s="48" t="s">
        <v>168</v>
      </c>
      <c r="O339" s="7"/>
      <c r="P339" s="48" t="s">
        <v>171</v>
      </c>
      <c r="Q339" s="7"/>
      <c r="R339" s="7"/>
      <c r="S339" s="7"/>
      <c r="T339" s="7"/>
    </row>
    <row r="340" spans="1:20" x14ac:dyDescent="0.35">
      <c r="A340" s="7"/>
      <c r="B340" s="7"/>
      <c r="C340" s="7"/>
      <c r="D340" s="7"/>
      <c r="E340" s="7"/>
      <c r="F340" s="7"/>
      <c r="G340" s="48" t="s">
        <v>169</v>
      </c>
      <c r="H340" s="7"/>
      <c r="I340" s="48" t="s">
        <v>172</v>
      </c>
      <c r="J340" s="7"/>
      <c r="K340" s="7"/>
      <c r="L340" s="7"/>
      <c r="M340" s="7"/>
      <c r="N340" s="48" t="s">
        <v>169</v>
      </c>
      <c r="O340" s="7"/>
      <c r="P340" s="48" t="s">
        <v>172</v>
      </c>
      <c r="Q340" s="7"/>
      <c r="R340" s="7"/>
      <c r="S340" s="7"/>
      <c r="T340" s="7"/>
    </row>
    <row r="341" spans="1:20" x14ac:dyDescent="0.35">
      <c r="A341" s="6" t="s">
        <v>166</v>
      </c>
      <c r="B341" s="7"/>
      <c r="C341" s="7"/>
      <c r="D341" s="7"/>
      <c r="E341" s="7"/>
      <c r="F341" s="7"/>
      <c r="G341" s="48" t="s">
        <v>170</v>
      </c>
      <c r="H341" s="7"/>
      <c r="I341" s="48" t="s">
        <v>173</v>
      </c>
      <c r="J341" s="1"/>
      <c r="K341" s="1"/>
      <c r="L341" s="1"/>
      <c r="M341" s="1"/>
      <c r="N341" s="48" t="s">
        <v>170</v>
      </c>
      <c r="O341" s="7"/>
      <c r="P341" s="48" t="s">
        <v>173</v>
      </c>
      <c r="Q341" s="7"/>
      <c r="R341" s="7"/>
      <c r="S341" s="7"/>
      <c r="T341" s="7"/>
    </row>
    <row r="343" spans="1:20" x14ac:dyDescent="0.35">
      <c r="A343" s="2"/>
      <c r="B343" s="2"/>
      <c r="C343" s="2"/>
      <c r="D343" s="2"/>
      <c r="E343" s="2"/>
      <c r="F343" s="2"/>
      <c r="G343" s="2">
        <f ca="1">G326</f>
        <v>-11.438605280615882</v>
      </c>
      <c r="H343" s="2"/>
      <c r="I343" s="2">
        <f ca="1">I335</f>
        <v>20.402980135087169</v>
      </c>
      <c r="J343" s="2"/>
      <c r="K343" s="2"/>
      <c r="L343" s="2"/>
      <c r="M343" s="2"/>
      <c r="N343" s="2">
        <f ca="1">N326</f>
        <v>22.785233554391834</v>
      </c>
      <c r="O343" s="2"/>
      <c r="P343" s="2">
        <f ca="1">P335</f>
        <v>-2.2025093327806</v>
      </c>
      <c r="Q343" s="2"/>
      <c r="R343" s="2"/>
    </row>
    <row r="345" spans="1:20" x14ac:dyDescent="0.35">
      <c r="A345" t="s">
        <v>287</v>
      </c>
      <c r="C345" s="78"/>
      <c r="D345" s="78"/>
      <c r="E345" s="78"/>
      <c r="F345" s="78" t="s">
        <v>59</v>
      </c>
      <c r="G345" s="78"/>
      <c r="H345" s="78"/>
      <c r="I345" s="78"/>
      <c r="J345" s="78" t="s">
        <v>72</v>
      </c>
      <c r="K345" s="78"/>
      <c r="L345" s="75"/>
      <c r="M345" s="75" t="s">
        <v>272</v>
      </c>
      <c r="N345" s="75"/>
    </row>
    <row r="346" spans="1:20" x14ac:dyDescent="0.35">
      <c r="C346" s="78"/>
      <c r="D346" s="78"/>
      <c r="E346" s="77" t="s">
        <v>273</v>
      </c>
      <c r="F346" s="77" t="s">
        <v>274</v>
      </c>
      <c r="G346" s="77" t="s">
        <v>60</v>
      </c>
      <c r="H346" s="78"/>
      <c r="I346" s="77" t="s">
        <v>273</v>
      </c>
      <c r="J346" s="77" t="s">
        <v>274</v>
      </c>
      <c r="K346" s="77" t="s">
        <v>60</v>
      </c>
      <c r="L346" s="75"/>
      <c r="M346" s="77" t="s">
        <v>60</v>
      </c>
      <c r="N346" s="75"/>
    </row>
    <row r="347" spans="1:20" x14ac:dyDescent="0.35">
      <c r="C347" s="78"/>
      <c r="D347" s="78"/>
      <c r="E347" s="77" t="s">
        <v>275</v>
      </c>
      <c r="F347" s="77" t="s">
        <v>276</v>
      </c>
      <c r="G347" s="77" t="s">
        <v>277</v>
      </c>
      <c r="H347" s="78"/>
      <c r="I347" s="77" t="s">
        <v>275</v>
      </c>
      <c r="J347" s="77" t="s">
        <v>276</v>
      </c>
      <c r="K347" s="77" t="s">
        <v>277</v>
      </c>
      <c r="L347" s="75"/>
      <c r="M347" s="77" t="s">
        <v>277</v>
      </c>
      <c r="N347" s="75"/>
    </row>
    <row r="348" spans="1:20" x14ac:dyDescent="0.35">
      <c r="C348" s="78" t="s">
        <v>278</v>
      </c>
      <c r="D348" s="78"/>
      <c r="E348" s="78"/>
      <c r="F348" s="78"/>
      <c r="G348" s="78"/>
      <c r="H348" s="78"/>
      <c r="I348" s="78"/>
      <c r="J348" s="78"/>
      <c r="K348" s="78"/>
      <c r="L348" s="75"/>
      <c r="M348" s="75"/>
      <c r="N348" s="75"/>
    </row>
    <row r="349" spans="1:20" x14ac:dyDescent="0.35">
      <c r="C349" s="78" t="s">
        <v>279</v>
      </c>
      <c r="D349" s="78"/>
      <c r="E349" s="78">
        <f t="shared" ref="E349:G351" ca="1" si="4">E324</f>
        <v>5.9909612402282502</v>
      </c>
      <c r="F349" s="78">
        <f t="shared" ca="1" si="4"/>
        <v>-5.5197351493959301</v>
      </c>
      <c r="G349" s="78">
        <f t="shared" ca="1" si="4"/>
        <v>0.47122609083232087</v>
      </c>
      <c r="H349" s="78"/>
      <c r="I349" s="78">
        <f t="shared" ref="I349:K351" ca="1" si="5">H324</f>
        <v>6.8149046680860632</v>
      </c>
      <c r="J349" s="78">
        <f t="shared" ca="1" si="5"/>
        <v>-2.8853290840418566</v>
      </c>
      <c r="K349" s="78">
        <f t="shared" ca="1" si="5"/>
        <v>3.9295755840442066</v>
      </c>
      <c r="L349" s="75"/>
      <c r="M349" s="78">
        <f ca="1">K324</f>
        <v>4.4008016748765275</v>
      </c>
      <c r="N349" s="75"/>
    </row>
    <row r="350" spans="1:20" x14ac:dyDescent="0.35">
      <c r="C350" s="78" t="s">
        <v>280</v>
      </c>
      <c r="D350" s="78"/>
      <c r="E350" s="78">
        <f t="shared" ca="1" si="4"/>
        <v>0.38960341137201565</v>
      </c>
      <c r="F350" s="78">
        <f t="shared" ca="1" si="4"/>
        <v>-12.299434782820217</v>
      </c>
      <c r="G350" s="78">
        <f t="shared" ca="1" si="4"/>
        <v>-11.909831371448202</v>
      </c>
      <c r="H350" s="78"/>
      <c r="I350" s="78">
        <f t="shared" ca="1" si="5"/>
        <v>0.48914673081735954</v>
      </c>
      <c r="J350" s="78">
        <f t="shared" ca="1" si="5"/>
        <v>-5.0983538343863284</v>
      </c>
      <c r="K350" s="78">
        <f t="shared" ca="1" si="5"/>
        <v>-4.609207103568969</v>
      </c>
      <c r="L350" s="75"/>
      <c r="M350" s="78">
        <f ca="1">K325</f>
        <v>-16.519038475017172</v>
      </c>
      <c r="N350" s="75"/>
    </row>
    <row r="351" spans="1:20" x14ac:dyDescent="0.35">
      <c r="C351" s="78" t="s">
        <v>281</v>
      </c>
      <c r="D351" s="78"/>
      <c r="E351" s="78">
        <f t="shared" ca="1" si="4"/>
        <v>6.3805646516002659</v>
      </c>
      <c r="F351" s="78">
        <f t="shared" ca="1" si="4"/>
        <v>-17.819169932216148</v>
      </c>
      <c r="G351" s="78">
        <f t="shared" ca="1" si="4"/>
        <v>-11.438605280615882</v>
      </c>
      <c r="H351" s="78"/>
      <c r="I351" s="78">
        <f t="shared" ca="1" si="5"/>
        <v>7.3040513989034226</v>
      </c>
      <c r="J351" s="78">
        <f t="shared" ca="1" si="5"/>
        <v>-7.983682918428185</v>
      </c>
      <c r="K351" s="78">
        <f t="shared" ca="1" si="5"/>
        <v>-0.67963151952476242</v>
      </c>
      <c r="L351" s="75"/>
      <c r="M351" s="78">
        <f ca="1">K326</f>
        <v>-12.118236800140643</v>
      </c>
      <c r="N351" s="75"/>
    </row>
    <row r="352" spans="1:20" x14ac:dyDescent="0.35">
      <c r="C352" s="78" t="s">
        <v>282</v>
      </c>
      <c r="D352" s="78"/>
      <c r="E352" s="78"/>
      <c r="F352" s="78"/>
      <c r="G352" s="78"/>
      <c r="H352" s="78"/>
      <c r="I352" s="78"/>
      <c r="J352" s="78"/>
      <c r="K352" s="78"/>
      <c r="L352" s="75"/>
      <c r="M352" s="75"/>
      <c r="N352" s="75"/>
    </row>
    <row r="353" spans="2:14" x14ac:dyDescent="0.35">
      <c r="C353" s="78" t="s">
        <v>286</v>
      </c>
      <c r="D353" s="72"/>
      <c r="E353" s="72"/>
      <c r="F353" s="72"/>
      <c r="G353" s="79">
        <f ca="1">G330</f>
        <v>-21.655002235083643</v>
      </c>
      <c r="H353" s="73"/>
      <c r="I353" s="73"/>
      <c r="J353" s="73"/>
      <c r="K353" s="79">
        <f ca="1">J330</f>
        <v>-0.18768544525582206</v>
      </c>
      <c r="L353" s="73"/>
      <c r="M353" s="79">
        <f ca="1">I336</f>
        <v>-2.8315952940405511</v>
      </c>
      <c r="N353" s="75" t="s">
        <v>295</v>
      </c>
    </row>
    <row r="354" spans="2:14" x14ac:dyDescent="0.35">
      <c r="C354" s="78" t="s">
        <v>283</v>
      </c>
      <c r="D354" s="72"/>
      <c r="E354" s="72"/>
      <c r="F354" s="72"/>
      <c r="G354" s="79">
        <f ca="1">G333</f>
        <v>0.14565660153047158</v>
      </c>
      <c r="H354" s="74"/>
      <c r="I354" s="74"/>
      <c r="J354" s="74"/>
      <c r="K354" s="79">
        <f ca="1">H333</f>
        <v>1.2146369570030162</v>
      </c>
      <c r="L354" s="74"/>
      <c r="M354" s="79">
        <f ca="1">I333</f>
        <v>1.3602935585334879</v>
      </c>
      <c r="N354" s="75"/>
    </row>
    <row r="355" spans="2:14" x14ac:dyDescent="0.35">
      <c r="C355" s="78" t="s">
        <v>284</v>
      </c>
      <c r="D355" s="72"/>
      <c r="E355" s="72"/>
      <c r="F355" s="72"/>
      <c r="G355" s="134">
        <f ca="1">G334</f>
        <v>-11.402808498507435</v>
      </c>
      <c r="H355" s="74"/>
      <c r="I355" s="74"/>
      <c r="J355" s="74"/>
      <c r="K355" s="79">
        <f ca="1">H334</f>
        <v>-4.4129848939721956</v>
      </c>
      <c r="L355" s="74"/>
      <c r="M355" s="79">
        <f ca="1">I334</f>
        <v>-15.815793392479632</v>
      </c>
      <c r="N355" s="75"/>
    </row>
    <row r="356" spans="2:14" x14ac:dyDescent="0.35">
      <c r="C356" s="78" t="s">
        <v>285</v>
      </c>
      <c r="D356" s="72"/>
      <c r="E356" s="72"/>
      <c r="F356" s="72"/>
      <c r="G356" s="76">
        <f ca="1">G335</f>
        <v>13.034798173984274</v>
      </c>
      <c r="H356" s="74"/>
      <c r="I356" s="74"/>
      <c r="J356" s="74"/>
      <c r="K356" s="79">
        <f ca="1">H335</f>
        <v>5.8874333974472171</v>
      </c>
      <c r="L356" s="74"/>
      <c r="M356" s="79">
        <f ca="1">I335</f>
        <v>20.402980135087169</v>
      </c>
      <c r="N356" s="75"/>
    </row>
    <row r="358" spans="2:14" x14ac:dyDescent="0.35">
      <c r="C358" s="72"/>
      <c r="D358" s="72"/>
      <c r="E358" s="72"/>
      <c r="F358" s="72"/>
      <c r="G358" s="72"/>
      <c r="H358" s="72"/>
      <c r="I358" s="72"/>
      <c r="J358" s="72"/>
      <c r="K358" s="72"/>
      <c r="L358" s="72"/>
      <c r="M358" s="72"/>
      <c r="N358" s="75"/>
    </row>
    <row r="359" spans="2:14" x14ac:dyDescent="0.35">
      <c r="J359" s="163" t="s">
        <v>326</v>
      </c>
      <c r="K359" s="163" t="s">
        <v>326</v>
      </c>
    </row>
    <row r="360" spans="2:14" x14ac:dyDescent="0.35">
      <c r="B360" s="9"/>
      <c r="C360" s="9"/>
      <c r="D360" s="161"/>
      <c r="E360" s="162"/>
      <c r="F360" s="162"/>
      <c r="G360" s="162"/>
      <c r="H360" s="162"/>
      <c r="I360" s="162"/>
      <c r="J360" s="163" t="s">
        <v>327</v>
      </c>
      <c r="K360" s="164" t="s">
        <v>328</v>
      </c>
    </row>
    <row r="361" spans="2:14" x14ac:dyDescent="0.35">
      <c r="C361" s="157" t="s">
        <v>329</v>
      </c>
      <c r="D361" s="165"/>
      <c r="E361" s="166"/>
      <c r="F361" s="166"/>
      <c r="G361" s="166"/>
      <c r="H361" s="166"/>
      <c r="I361" s="166"/>
      <c r="J361" s="167">
        <f>G52</f>
        <v>0.36436041834271921</v>
      </c>
      <c r="K361" s="167">
        <f>F241/F238</f>
        <v>0.35592500228482049</v>
      </c>
    </row>
    <row r="362" spans="2:14" x14ac:dyDescent="0.35">
      <c r="C362" s="157" t="s">
        <v>330</v>
      </c>
      <c r="D362" s="165"/>
      <c r="E362" s="166"/>
      <c r="F362" s="166"/>
      <c r="G362" s="166"/>
      <c r="H362" s="166"/>
      <c r="I362" s="166"/>
      <c r="J362" s="167">
        <f>G179/1000</f>
        <v>0.18224019697990657</v>
      </c>
      <c r="K362" s="167">
        <f>F241/F242</f>
        <v>0.2074910252450497</v>
      </c>
    </row>
    <row r="363" spans="2:14" x14ac:dyDescent="0.35">
      <c r="C363" s="157" t="s">
        <v>331</v>
      </c>
      <c r="D363" s="165"/>
      <c r="E363" s="166"/>
      <c r="F363" s="166"/>
      <c r="G363" s="166"/>
      <c r="H363" s="166"/>
      <c r="I363" s="166"/>
      <c r="J363" s="167">
        <f>G54*G60</f>
        <v>0.61338475759482747</v>
      </c>
      <c r="K363" s="167">
        <f>F239/F238</f>
        <v>0.28712665485505406</v>
      </c>
    </row>
    <row r="364" spans="2:14" x14ac:dyDescent="0.35">
      <c r="C364" s="157" t="s">
        <v>332</v>
      </c>
      <c r="D364" s="165"/>
      <c r="E364" s="166"/>
      <c r="F364" s="166"/>
      <c r="G364" s="166"/>
      <c r="H364" s="166"/>
      <c r="I364" s="166"/>
      <c r="J364" s="167">
        <f>G177/1000</f>
        <v>0.30679336563778342</v>
      </c>
      <c r="K364" s="167">
        <f>F239/F242</f>
        <v>0.16738415005580939</v>
      </c>
    </row>
    <row r="365" spans="2:14" x14ac:dyDescent="0.35">
      <c r="C365" s="157" t="s">
        <v>333</v>
      </c>
      <c r="D365" s="165"/>
      <c r="E365" s="166"/>
      <c r="F365" s="166"/>
      <c r="J365" s="1">
        <f>J361+J363</f>
        <v>0.97774517593754662</v>
      </c>
      <c r="K365" s="1">
        <f>K361+K363</f>
        <v>0.64305165713987456</v>
      </c>
    </row>
    <row r="366" spans="2:14" x14ac:dyDescent="0.35">
      <c r="C366" s="157" t="s">
        <v>334</v>
      </c>
      <c r="D366" s="165"/>
      <c r="E366" s="166"/>
      <c r="F366" s="166"/>
      <c r="J366" s="1">
        <f>J362+J364</f>
        <v>0.48903356261768999</v>
      </c>
      <c r="K366" s="1">
        <f>K362+K364</f>
        <v>0.37487517530085912</v>
      </c>
    </row>
    <row r="367" spans="2:14" x14ac:dyDescent="0.35">
      <c r="C367" s="157" t="s">
        <v>335</v>
      </c>
      <c r="D367" s="165"/>
      <c r="E367" s="166"/>
      <c r="F367" s="166"/>
      <c r="G367" s="166"/>
      <c r="H367" s="166"/>
      <c r="I367" s="166"/>
      <c r="J367" s="167">
        <f>G54*G62</f>
        <v>2.2254824062453347E-2</v>
      </c>
      <c r="K367" s="167">
        <f>1-K361-K363</f>
        <v>0.35694834286012544</v>
      </c>
    </row>
    <row r="368" spans="2:14" x14ac:dyDescent="0.35">
      <c r="C368" s="157" t="s">
        <v>336</v>
      </c>
      <c r="D368" s="165"/>
      <c r="E368" s="166"/>
      <c r="F368" s="166"/>
      <c r="G368" s="166"/>
      <c r="H368" s="166"/>
      <c r="I368" s="166"/>
      <c r="J368" s="167">
        <f>G178/1000</f>
        <v>1.1131076035487008E-2</v>
      </c>
      <c r="K368" s="167">
        <f>F240/F242</f>
        <v>0.20808759470148525</v>
      </c>
    </row>
  </sheetData>
  <pageMargins left="0.39370078740157483" right="0.39370078740157483" top="0.98425196850393704" bottom="0.98425196850393704" header="0.51181102362204722" footer="0.51181102362204722"/>
  <pageSetup paperSize="9" scale="65" fitToHeight="0" orientation="landscape" r:id="rId1"/>
  <headerFooter>
    <oddHeader>&amp;LAdrian Wood&amp;CPage &amp;P&amp;R&amp;D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7"/>
  <sheetViews>
    <sheetView topLeftCell="A308" zoomScale="90" zoomScaleNormal="90" workbookViewId="0">
      <selection activeCell="S339" sqref="S339"/>
    </sheetView>
  </sheetViews>
  <sheetFormatPr defaultColWidth="8" defaultRowHeight="15.5" x14ac:dyDescent="0.35"/>
  <cols>
    <col min="1" max="1" width="14.33203125" customWidth="1"/>
    <col min="3" max="5" width="7.9140625" customWidth="1"/>
    <col min="6" max="6" width="9.6640625" customWidth="1"/>
    <col min="7" max="8" width="8.6640625" customWidth="1"/>
    <col min="9" max="9" width="9.6640625" customWidth="1"/>
    <col min="10" max="10" width="8.6640625" customWidth="1"/>
    <col min="11" max="11" width="7.08203125" customWidth="1"/>
    <col min="12" max="13" width="8.6640625" customWidth="1"/>
    <col min="14" max="14" width="9.6640625" customWidth="1"/>
  </cols>
  <sheetData>
    <row r="1" spans="1:19" x14ac:dyDescent="0.35">
      <c r="A1" s="158" t="s">
        <v>345</v>
      </c>
      <c r="B1" s="159"/>
      <c r="C1" s="159"/>
      <c r="D1" s="159"/>
      <c r="E1" s="159"/>
      <c r="F1" s="159"/>
      <c r="G1" s="159"/>
      <c r="H1" s="159"/>
      <c r="I1" s="159"/>
      <c r="J1" s="159"/>
      <c r="K1" s="7"/>
      <c r="L1" s="7"/>
      <c r="M1" s="7"/>
      <c r="N1" s="7"/>
      <c r="O1" s="7"/>
    </row>
    <row r="3" spans="1:19" x14ac:dyDescent="0.35">
      <c r="A3" s="8" t="s">
        <v>149</v>
      </c>
      <c r="B3" s="7"/>
      <c r="C3" s="7"/>
      <c r="D3" s="7"/>
      <c r="E3" s="7"/>
      <c r="F3" s="7"/>
      <c r="G3" s="7"/>
      <c r="H3" s="7"/>
      <c r="I3" s="7"/>
      <c r="J3" s="7"/>
      <c r="K3" s="7"/>
      <c r="L3" s="7"/>
      <c r="M3" s="7"/>
      <c r="N3" s="7"/>
      <c r="O3" s="7"/>
      <c r="P3" s="7"/>
      <c r="Q3" s="7"/>
      <c r="R3" s="7"/>
    </row>
    <row r="4" spans="1:19" x14ac:dyDescent="0.35">
      <c r="A4" s="7"/>
      <c r="B4" s="7"/>
      <c r="C4" s="7"/>
      <c r="D4" s="7"/>
      <c r="E4" s="7"/>
      <c r="F4" s="7"/>
      <c r="G4" s="7"/>
      <c r="H4" s="7"/>
      <c r="I4" s="7"/>
      <c r="J4" s="7"/>
      <c r="K4" s="7"/>
      <c r="L4" s="7"/>
      <c r="M4" s="7"/>
      <c r="N4" s="7"/>
      <c r="O4" s="7"/>
      <c r="P4" s="7"/>
      <c r="Q4" s="7"/>
      <c r="R4" s="7"/>
    </row>
    <row r="5" spans="1:19" x14ac:dyDescent="0.35">
      <c r="A5" s="38" t="s">
        <v>305</v>
      </c>
      <c r="B5" s="7"/>
      <c r="C5" s="7"/>
      <c r="D5" s="7"/>
      <c r="E5" s="7"/>
      <c r="F5" s="7"/>
      <c r="G5" s="7"/>
      <c r="H5" s="7"/>
      <c r="I5" s="7"/>
      <c r="J5" s="7"/>
      <c r="K5" s="7"/>
      <c r="L5" s="7"/>
      <c r="M5" s="7"/>
      <c r="N5" s="7"/>
      <c r="O5" s="7" t="s">
        <v>297</v>
      </c>
      <c r="P5" s="7"/>
      <c r="Q5" s="7"/>
      <c r="R5" s="7"/>
    </row>
    <row r="6" spans="1:19" x14ac:dyDescent="0.35">
      <c r="A6" s="38"/>
      <c r="B6" s="7"/>
      <c r="C6" s="7"/>
      <c r="D6" s="7"/>
      <c r="E6" s="7"/>
      <c r="F6" s="7"/>
      <c r="G6" s="7"/>
      <c r="H6" s="7"/>
      <c r="I6" s="7"/>
      <c r="J6" s="7"/>
      <c r="K6" s="7"/>
      <c r="L6" s="7"/>
      <c r="M6" s="7"/>
      <c r="N6" s="7"/>
      <c r="O6" s="7"/>
      <c r="P6" s="7"/>
      <c r="Q6" s="7"/>
      <c r="R6" s="7"/>
      <c r="S6" s="7"/>
    </row>
    <row r="7" spans="1:19" x14ac:dyDescent="0.35">
      <c r="A7" s="7"/>
      <c r="B7" s="7"/>
      <c r="C7" s="7"/>
      <c r="D7" s="150" t="s">
        <v>323</v>
      </c>
      <c r="E7" s="151"/>
      <c r="F7" s="7"/>
      <c r="G7" s="7"/>
      <c r="H7" s="7"/>
      <c r="I7" s="7"/>
      <c r="J7" s="7"/>
      <c r="K7" s="7"/>
      <c r="L7" s="150" t="s">
        <v>324</v>
      </c>
      <c r="M7" s="151"/>
      <c r="N7" s="7"/>
      <c r="O7" s="7"/>
      <c r="P7" s="7"/>
      <c r="Q7" s="7"/>
      <c r="R7" s="7"/>
      <c r="S7" s="7"/>
    </row>
    <row r="8" spans="1:19" x14ac:dyDescent="0.35">
      <c r="A8" s="15" t="s">
        <v>306</v>
      </c>
      <c r="B8" s="7"/>
      <c r="C8" s="31" t="s">
        <v>133</v>
      </c>
      <c r="D8" s="31" t="s">
        <v>136</v>
      </c>
      <c r="E8" s="31" t="s">
        <v>134</v>
      </c>
      <c r="F8" s="32" t="s">
        <v>62</v>
      </c>
      <c r="G8" s="31"/>
      <c r="I8" s="7"/>
      <c r="J8" s="7"/>
      <c r="K8" s="31" t="s">
        <v>137</v>
      </c>
      <c r="L8" s="31" t="s">
        <v>136</v>
      </c>
      <c r="M8" s="31" t="s">
        <v>134</v>
      </c>
      <c r="N8" s="31" t="s">
        <v>134</v>
      </c>
      <c r="O8" s="32" t="s">
        <v>62</v>
      </c>
      <c r="Q8" s="7"/>
      <c r="R8" s="7"/>
      <c r="S8" s="80"/>
    </row>
    <row r="9" spans="1:19" x14ac:dyDescent="0.35">
      <c r="A9" s="7"/>
      <c r="B9" s="7"/>
      <c r="C9" s="32"/>
      <c r="D9" s="31" t="s">
        <v>135</v>
      </c>
      <c r="E9" s="32"/>
      <c r="F9" s="32"/>
      <c r="G9" s="52"/>
      <c r="I9" s="7"/>
      <c r="J9" s="7"/>
      <c r="K9" s="31" t="s">
        <v>135</v>
      </c>
      <c r="L9" s="31" t="s">
        <v>135</v>
      </c>
      <c r="M9" s="31" t="s">
        <v>301</v>
      </c>
      <c r="N9" s="53" t="s">
        <v>302</v>
      </c>
      <c r="O9" s="32"/>
      <c r="Q9" s="7"/>
      <c r="R9" s="7"/>
      <c r="S9" s="80"/>
    </row>
    <row r="10" spans="1:19" x14ac:dyDescent="0.35">
      <c r="A10" s="15" t="s">
        <v>138</v>
      </c>
      <c r="B10" s="7"/>
      <c r="C10" s="16"/>
      <c r="D10" s="16"/>
      <c r="E10" s="16"/>
      <c r="F10" s="152">
        <v>52.822000000000003</v>
      </c>
      <c r="H10" s="4" t="s">
        <v>307</v>
      </c>
      <c r="I10" s="16"/>
      <c r="J10" s="16"/>
      <c r="K10" s="30"/>
      <c r="L10" s="30"/>
      <c r="M10" s="30"/>
      <c r="O10" s="152">
        <v>336.59500000000003</v>
      </c>
      <c r="P10" s="4" t="s">
        <v>307</v>
      </c>
      <c r="Q10" s="16"/>
      <c r="R10" s="16"/>
      <c r="S10" s="80"/>
    </row>
    <row r="11" spans="1:19" x14ac:dyDescent="0.35">
      <c r="A11" s="7" t="s">
        <v>288</v>
      </c>
      <c r="B11" s="7"/>
      <c r="C11" s="16"/>
      <c r="D11" s="16"/>
      <c r="E11" s="16"/>
      <c r="F11" s="152">
        <v>362.11200000000002</v>
      </c>
      <c r="H11" s="4" t="s">
        <v>308</v>
      </c>
      <c r="I11" s="16"/>
      <c r="J11" s="16"/>
      <c r="K11" s="30"/>
      <c r="L11" s="30"/>
      <c r="M11" s="30"/>
      <c r="O11" s="152">
        <v>1154.1410000000001</v>
      </c>
      <c r="P11" s="4" t="s">
        <v>308</v>
      </c>
      <c r="Q11" s="16"/>
      <c r="R11" s="16"/>
      <c r="S11" s="80"/>
    </row>
    <row r="12" spans="1:19" x14ac:dyDescent="0.35">
      <c r="A12" s="15" t="s">
        <v>62</v>
      </c>
      <c r="B12" s="7"/>
      <c r="C12" s="16">
        <f>C15*F12</f>
        <v>83.645692864529465</v>
      </c>
      <c r="D12" s="16">
        <f>D15*F12</f>
        <v>239.87283350568771</v>
      </c>
      <c r="E12" s="16">
        <f>E15*F12</f>
        <v>104.44647362978283</v>
      </c>
      <c r="F12" s="152">
        <v>427.96499999999997</v>
      </c>
      <c r="G12" s="16"/>
      <c r="H12" s="2">
        <f>F12-F10-F11</f>
        <v>13.030999999999949</v>
      </c>
      <c r="I12" s="139">
        <f>100*H12/F12</f>
        <v>3.0448751650251658</v>
      </c>
      <c r="J12" s="139" t="s">
        <v>41</v>
      </c>
      <c r="K12" s="16">
        <f>K14*O12</f>
        <v>120.94632000000001</v>
      </c>
      <c r="L12" s="16">
        <f>L14*O12</f>
        <v>660.16533000000004</v>
      </c>
      <c r="M12" s="16">
        <f>(M14-N14)*O12</f>
        <v>1070.8788749999999</v>
      </c>
      <c r="N12" s="16">
        <f>N14*O12</f>
        <v>667.7244750000001</v>
      </c>
      <c r="O12" s="152">
        <v>2519.7150000000001</v>
      </c>
      <c r="P12" s="2">
        <f>O12-O10-O11</f>
        <v>1028.9789999999998</v>
      </c>
      <c r="Q12" s="139">
        <f>100*P12/O12</f>
        <v>40.837118483638022</v>
      </c>
      <c r="R12" s="139" t="s">
        <v>41</v>
      </c>
      <c r="S12" s="80"/>
    </row>
    <row r="13" spans="1:19" x14ac:dyDescent="0.35">
      <c r="A13" s="15" t="s">
        <v>299</v>
      </c>
      <c r="B13" s="7"/>
      <c r="C13" s="16"/>
      <c r="D13" s="16"/>
      <c r="E13" s="139" t="s">
        <v>303</v>
      </c>
      <c r="F13" s="16"/>
      <c r="G13" s="139" t="s">
        <v>302</v>
      </c>
      <c r="I13" s="16"/>
      <c r="J13" s="16"/>
      <c r="K13" s="16"/>
      <c r="L13" s="16"/>
      <c r="M13" s="139" t="s">
        <v>312</v>
      </c>
      <c r="N13" s="139"/>
      <c r="O13" s="16"/>
      <c r="Q13" s="7"/>
      <c r="R13" s="7"/>
      <c r="S13" s="80"/>
    </row>
    <row r="14" spans="1:19" s="138" customFormat="1" x14ac:dyDescent="0.35">
      <c r="A14" s="64"/>
      <c r="B14" s="22"/>
      <c r="C14" s="153">
        <v>0.189</v>
      </c>
      <c r="D14" s="153">
        <v>0.54200000000000004</v>
      </c>
      <c r="E14" s="153">
        <v>0.26900000000000002</v>
      </c>
      <c r="F14" s="140"/>
      <c r="G14" s="153">
        <v>3.3000000000000002E-2</v>
      </c>
      <c r="I14" s="22"/>
      <c r="J14" s="22"/>
      <c r="K14" s="153">
        <v>4.8000000000000001E-2</v>
      </c>
      <c r="L14" s="153">
        <v>0.26200000000000001</v>
      </c>
      <c r="M14" s="153">
        <v>0.69</v>
      </c>
      <c r="N14" s="153">
        <v>0.26500000000000001</v>
      </c>
      <c r="O14" s="22"/>
      <c r="Q14" s="22"/>
      <c r="R14" s="22"/>
    </row>
    <row r="15" spans="1:19" s="138" customFormat="1" x14ac:dyDescent="0.35">
      <c r="A15" s="64" t="s">
        <v>300</v>
      </c>
      <c r="B15" s="22"/>
      <c r="C15" s="22">
        <f>C14/(1-G14)</f>
        <v>0.1954498448810755</v>
      </c>
      <c r="D15" s="22">
        <f>D14/(1-G14)</f>
        <v>0.56049638055842821</v>
      </c>
      <c r="E15" s="22">
        <f>(E14-G14)/(1-G14)</f>
        <v>0.2440537745604964</v>
      </c>
      <c r="F15" s="22"/>
      <c r="G15" s="22"/>
      <c r="I15" s="22"/>
      <c r="J15" s="22"/>
      <c r="K15" s="22"/>
      <c r="L15" s="22"/>
      <c r="M15" s="22"/>
      <c r="N15" s="22"/>
      <c r="O15" s="22"/>
      <c r="P15" s="2"/>
      <c r="Q15" s="64" t="s">
        <v>208</v>
      </c>
      <c r="R15" s="22"/>
      <c r="S15" s="22"/>
    </row>
    <row r="16" spans="1:19" x14ac:dyDescent="0.35">
      <c r="A16" s="15" t="s">
        <v>304</v>
      </c>
      <c r="B16" s="7"/>
      <c r="C16" s="16"/>
      <c r="D16" s="16"/>
      <c r="E16" s="16"/>
      <c r="F16" s="16"/>
      <c r="G16" s="16"/>
      <c r="H16" s="16"/>
      <c r="I16" s="16"/>
      <c r="J16" s="16"/>
      <c r="K16" s="16"/>
      <c r="L16" s="16"/>
      <c r="M16" s="16"/>
      <c r="N16" s="16"/>
      <c r="O16" s="16"/>
      <c r="P16" s="7"/>
      <c r="Q16" s="7"/>
      <c r="R16" s="7"/>
      <c r="S16" s="7"/>
    </row>
    <row r="17" spans="1:23" x14ac:dyDescent="0.35">
      <c r="A17" s="15" t="s">
        <v>313</v>
      </c>
      <c r="B17" s="7"/>
      <c r="C17" s="16"/>
      <c r="D17" s="16"/>
      <c r="E17" s="16"/>
      <c r="F17" s="16"/>
      <c r="G17" s="16"/>
      <c r="H17" s="16"/>
      <c r="I17" s="16"/>
      <c r="J17" s="16"/>
      <c r="K17" s="16"/>
      <c r="L17" s="16"/>
      <c r="M17" s="16"/>
      <c r="N17" s="16"/>
      <c r="O17" s="16"/>
      <c r="P17" s="7"/>
      <c r="Q17" s="7"/>
      <c r="R17" s="7"/>
      <c r="S17" s="7"/>
    </row>
    <row r="18" spans="1:23" x14ac:dyDescent="0.35">
      <c r="A18" s="15" t="s">
        <v>314</v>
      </c>
      <c r="B18" s="7"/>
      <c r="C18" s="16"/>
      <c r="D18" s="16"/>
      <c r="E18" s="16"/>
      <c r="F18" s="16"/>
      <c r="G18" s="16"/>
      <c r="H18" s="16"/>
      <c r="I18" s="16"/>
      <c r="J18" s="16"/>
      <c r="K18" s="16"/>
      <c r="L18" s="16"/>
      <c r="M18" s="16"/>
      <c r="N18" s="16"/>
      <c r="O18" s="16"/>
      <c r="P18" s="7"/>
      <c r="Q18" s="7"/>
      <c r="R18" s="7"/>
      <c r="S18" s="7"/>
    </row>
    <row r="19" spans="1:23" s="80" customFormat="1" x14ac:dyDescent="0.35">
      <c r="A19" s="80" t="s">
        <v>42</v>
      </c>
    </row>
    <row r="20" spans="1:23" s="80" customFormat="1" x14ac:dyDescent="0.35">
      <c r="A20" s="38" t="s">
        <v>325</v>
      </c>
      <c r="B20" s="85"/>
      <c r="C20" s="85"/>
      <c r="D20" s="85"/>
    </row>
    <row r="21" spans="1:23" s="80" customFormat="1" x14ac:dyDescent="0.35"/>
    <row r="22" spans="1:23" s="80" customFormat="1" x14ac:dyDescent="0.35">
      <c r="C22" s="148" t="s">
        <v>318</v>
      </c>
      <c r="D22" s="148"/>
      <c r="E22" s="148" t="s">
        <v>319</v>
      </c>
      <c r="F22" s="149"/>
      <c r="G22" s="149" t="s">
        <v>66</v>
      </c>
      <c r="H22" s="150"/>
      <c r="J22" s="80" t="s">
        <v>192</v>
      </c>
      <c r="L22" s="80" t="s">
        <v>193</v>
      </c>
    </row>
    <row r="23" spans="1:23" s="80" customFormat="1" x14ac:dyDescent="0.35">
      <c r="C23" s="148" t="s">
        <v>320</v>
      </c>
      <c r="D23" s="148"/>
      <c r="E23" s="148" t="s">
        <v>321</v>
      </c>
      <c r="F23" s="149"/>
      <c r="G23" s="149" t="s">
        <v>322</v>
      </c>
      <c r="H23" s="150"/>
      <c r="J23" s="80" t="s">
        <v>68</v>
      </c>
      <c r="L23" s="80" t="s">
        <v>68</v>
      </c>
    </row>
    <row r="24" spans="1:23" s="80" customFormat="1" x14ac:dyDescent="0.35">
      <c r="C24" s="90"/>
      <c r="D24" s="90"/>
      <c r="E24" s="90"/>
      <c r="F24" s="91"/>
      <c r="G24" s="91"/>
    </row>
    <row r="25" spans="1:23" s="80" customFormat="1" x14ac:dyDescent="0.35">
      <c r="A25" s="80" t="s">
        <v>70</v>
      </c>
      <c r="C25" s="154">
        <v>214.48890000000003</v>
      </c>
      <c r="D25" s="103"/>
      <c r="E25" s="154">
        <v>684.53180000000009</v>
      </c>
      <c r="F25" s="91"/>
      <c r="G25" s="90">
        <f>E25-C25</f>
        <v>470.04290000000003</v>
      </c>
      <c r="J25" s="93">
        <f>6.7+4.1</f>
        <v>10.8</v>
      </c>
      <c r="L25" s="90">
        <f>E25-J25</f>
        <v>673.73180000000013</v>
      </c>
    </row>
    <row r="26" spans="1:23" s="80" customFormat="1" x14ac:dyDescent="0.35">
      <c r="A26" s="80" t="s">
        <v>71</v>
      </c>
      <c r="C26" s="154">
        <v>2067.0951999999997</v>
      </c>
      <c r="D26" s="103"/>
      <c r="E26" s="154">
        <v>2030.3992000000001</v>
      </c>
      <c r="F26" s="91"/>
      <c r="G26" s="90">
        <f>E26-C26</f>
        <v>-36.695999999999685</v>
      </c>
      <c r="J26" s="93">
        <v>995</v>
      </c>
      <c r="L26" s="90">
        <f>E26-J26</f>
        <v>1035.3992000000001</v>
      </c>
    </row>
    <row r="27" spans="1:23" s="80" customFormat="1" x14ac:dyDescent="0.35">
      <c r="A27" s="80" t="s">
        <v>72</v>
      </c>
      <c r="C27" s="154">
        <v>1175.7523000000001</v>
      </c>
      <c r="D27" s="103"/>
      <c r="E27" s="154">
        <v>977.46159999999986</v>
      </c>
      <c r="F27" s="91"/>
      <c r="G27" s="90">
        <f>E27-C27</f>
        <v>-198.29070000000024</v>
      </c>
      <c r="J27" s="93">
        <f>287.8+0.2</f>
        <v>288</v>
      </c>
      <c r="L27" s="90">
        <f>E27-J27</f>
        <v>689.46159999999986</v>
      </c>
    </row>
    <row r="28" spans="1:23" s="80" customFormat="1" x14ac:dyDescent="0.35">
      <c r="A28" s="80" t="s">
        <v>62</v>
      </c>
      <c r="C28" s="154">
        <v>3457.3363999999997</v>
      </c>
      <c r="D28" s="103"/>
      <c r="E28" s="154">
        <v>3692.3926000000001</v>
      </c>
      <c r="F28" s="91"/>
      <c r="G28" s="90">
        <f>E28-C28</f>
        <v>235.05620000000044</v>
      </c>
      <c r="J28" s="93">
        <v>1293.8</v>
      </c>
      <c r="L28" s="90">
        <f>E28-J28</f>
        <v>2398.5925999999999</v>
      </c>
    </row>
    <row r="29" spans="1:23" x14ac:dyDescent="0.35">
      <c r="J29" s="54"/>
      <c r="U29" s="4"/>
    </row>
    <row r="30" spans="1:23" x14ac:dyDescent="0.35">
      <c r="A30" s="4" t="s">
        <v>81</v>
      </c>
      <c r="P30" s="4" t="s">
        <v>195</v>
      </c>
      <c r="U30" s="4"/>
    </row>
    <row r="31" spans="1:23" x14ac:dyDescent="0.35">
      <c r="P31" s="4" t="s">
        <v>196</v>
      </c>
      <c r="U31" s="4"/>
    </row>
    <row r="32" spans="1:23" x14ac:dyDescent="0.35">
      <c r="G32" s="8" t="s">
        <v>73</v>
      </c>
      <c r="H32" s="8"/>
      <c r="I32" s="8"/>
      <c r="J32" s="8"/>
      <c r="K32" s="8"/>
      <c r="L32" s="8" t="s">
        <v>75</v>
      </c>
      <c r="M32" s="8"/>
      <c r="N32" s="8"/>
      <c r="O32" s="8"/>
      <c r="P32" s="8" t="s">
        <v>194</v>
      </c>
      <c r="Q32" s="8"/>
      <c r="R32" s="8"/>
      <c r="U32" s="8"/>
      <c r="V32" s="8"/>
      <c r="W32" s="8"/>
    </row>
    <row r="33" spans="1:25" x14ac:dyDescent="0.35">
      <c r="G33" s="8" t="s">
        <v>74</v>
      </c>
      <c r="H33" s="8"/>
      <c r="I33" s="8" t="s">
        <v>72</v>
      </c>
      <c r="J33" s="8"/>
      <c r="K33" s="8"/>
      <c r="L33" s="8" t="s">
        <v>74</v>
      </c>
      <c r="M33" s="8"/>
      <c r="N33" s="8" t="s">
        <v>72</v>
      </c>
      <c r="O33" s="8"/>
      <c r="P33" s="8" t="s">
        <v>74</v>
      </c>
      <c r="Q33" s="8"/>
      <c r="R33" s="8" t="s">
        <v>72</v>
      </c>
      <c r="U33" s="8"/>
      <c r="V33" s="8"/>
      <c r="W33" s="8"/>
      <c r="Y33" s="4"/>
    </row>
    <row r="34" spans="1:25" x14ac:dyDescent="0.35">
      <c r="A34" s="39" t="s">
        <v>175</v>
      </c>
      <c r="W34" s="40"/>
      <c r="Y34" s="4"/>
    </row>
    <row r="35" spans="1:25" x14ac:dyDescent="0.35">
      <c r="D35" s="12" t="s">
        <v>76</v>
      </c>
      <c r="T35" s="39"/>
    </row>
    <row r="36" spans="1:25" x14ac:dyDescent="0.35">
      <c r="D36" s="9" t="s">
        <v>70</v>
      </c>
      <c r="G36" s="35">
        <v>4.0202802362724244</v>
      </c>
      <c r="H36" s="35"/>
      <c r="I36" s="35">
        <v>1.7356879469923003</v>
      </c>
      <c r="J36" s="35"/>
      <c r="K36" s="35"/>
      <c r="L36" s="35">
        <v>17.149013949435474</v>
      </c>
      <c r="M36" s="35"/>
      <c r="N36" s="35">
        <v>5.3856144896683329</v>
      </c>
      <c r="P36" s="35">
        <v>8.0059524144868615</v>
      </c>
      <c r="Q36" s="35"/>
      <c r="R36" s="35">
        <v>5.9145679451497877</v>
      </c>
      <c r="T36" s="4"/>
    </row>
    <row r="37" spans="1:25" x14ac:dyDescent="0.35">
      <c r="D37" s="9" t="s">
        <v>71</v>
      </c>
      <c r="G37" s="35">
        <v>50.016463865317704</v>
      </c>
      <c r="H37" s="35"/>
      <c r="I37" s="35">
        <v>5.3701924275809185</v>
      </c>
      <c r="J37" s="35"/>
      <c r="K37" s="35"/>
      <c r="L37" s="35">
        <v>40.464394517360411</v>
      </c>
      <c r="M37" s="35"/>
      <c r="N37" s="35">
        <v>6.6561797037231818</v>
      </c>
      <c r="P37" s="35">
        <v>37.01395592066514</v>
      </c>
      <c r="Q37" s="35"/>
      <c r="R37" s="35">
        <v>10.916212151478616</v>
      </c>
      <c r="T37" s="4"/>
    </row>
    <row r="38" spans="1:25" x14ac:dyDescent="0.35">
      <c r="D38" s="9" t="s">
        <v>72</v>
      </c>
      <c r="G38" s="35">
        <v>32.987131859472463</v>
      </c>
      <c r="H38" s="35"/>
      <c r="I38" s="35">
        <v>88.071341583956851</v>
      </c>
      <c r="J38" s="35"/>
      <c r="K38" s="35"/>
      <c r="L38" s="35">
        <v>23.429508463739637</v>
      </c>
      <c r="M38" s="35"/>
      <c r="N38" s="35">
        <v>80.900758267445397</v>
      </c>
      <c r="P38" s="35">
        <v>14.881202990786226</v>
      </c>
      <c r="Q38" s="35"/>
      <c r="R38" s="35">
        <v>76.68437492495849</v>
      </c>
      <c r="T38" s="4"/>
    </row>
    <row r="39" spans="1:25" x14ac:dyDescent="0.35">
      <c r="D39" s="9" t="s">
        <v>77</v>
      </c>
      <c r="G39" s="35">
        <v>87.0238759610626</v>
      </c>
      <c r="H39" s="35"/>
      <c r="I39" s="35">
        <v>95.177221874750998</v>
      </c>
      <c r="J39" s="35"/>
      <c r="K39" s="35"/>
      <c r="L39" s="35">
        <v>81.042916930535497</v>
      </c>
      <c r="M39" s="35"/>
      <c r="N39" s="35">
        <v>92.942552550455218</v>
      </c>
      <c r="P39" s="35">
        <v>59.901111325938224</v>
      </c>
      <c r="Q39" s="35"/>
      <c r="R39" s="35">
        <v>93.51515524148877</v>
      </c>
      <c r="T39" s="4"/>
    </row>
    <row r="40" spans="1:25" x14ac:dyDescent="0.35">
      <c r="D40" s="9" t="s">
        <v>78</v>
      </c>
      <c r="G40" s="35">
        <v>69.246845797821081</v>
      </c>
      <c r="H40" s="35"/>
      <c r="I40" s="35">
        <v>86.736365991658886</v>
      </c>
      <c r="J40" s="35"/>
      <c r="K40" s="35"/>
      <c r="L40" s="35">
        <v>65.487226153179719</v>
      </c>
      <c r="M40" s="35"/>
      <c r="N40" s="35">
        <v>86.786285811208714</v>
      </c>
      <c r="P40" s="2"/>
      <c r="Q40" s="2"/>
      <c r="R40" s="2"/>
      <c r="T40" s="4"/>
    </row>
    <row r="41" spans="1:25" x14ac:dyDescent="0.35">
      <c r="D41" s="9" t="s">
        <v>79</v>
      </c>
      <c r="G41" s="35">
        <v>17.777030163241523</v>
      </c>
      <c r="H41" s="35"/>
      <c r="I41" s="35">
        <v>8.4408558830921159</v>
      </c>
      <c r="J41" s="35"/>
      <c r="K41" s="35"/>
      <c r="L41" s="35">
        <v>15.555690777355789</v>
      </c>
      <c r="M41" s="35"/>
      <c r="N41" s="35">
        <v>6.1562667392465098</v>
      </c>
      <c r="P41" s="2"/>
      <c r="Q41" s="2"/>
      <c r="R41" s="2"/>
      <c r="T41" s="4"/>
    </row>
    <row r="42" spans="1:25" x14ac:dyDescent="0.35">
      <c r="D42" s="12" t="s">
        <v>80</v>
      </c>
      <c r="G42" s="16"/>
      <c r="H42" s="16"/>
      <c r="I42" s="16"/>
      <c r="J42" s="16"/>
      <c r="K42" s="16"/>
      <c r="L42" s="16"/>
      <c r="M42" s="16"/>
      <c r="N42" s="16"/>
      <c r="O42" s="7"/>
      <c r="P42" s="2"/>
      <c r="Q42" s="2"/>
      <c r="R42" s="2"/>
      <c r="T42" s="39"/>
    </row>
    <row r="43" spans="1:25" x14ac:dyDescent="0.35">
      <c r="D43" s="9" t="s">
        <v>70</v>
      </c>
      <c r="G43" s="35">
        <v>5.5076502774389953</v>
      </c>
      <c r="H43" s="35"/>
      <c r="I43" s="35">
        <v>1.9054870202797327</v>
      </c>
      <c r="J43" s="35"/>
      <c r="K43" s="35"/>
      <c r="L43" s="35">
        <v>1.269359786209757</v>
      </c>
      <c r="M43" s="35"/>
      <c r="N43" s="35">
        <v>0.44452758595204672</v>
      </c>
      <c r="P43" s="35">
        <v>7.2765966107177338</v>
      </c>
      <c r="Q43" s="35"/>
      <c r="R43" s="35">
        <v>2.0371989092515093</v>
      </c>
      <c r="T43" s="4"/>
    </row>
    <row r="44" spans="1:25" x14ac:dyDescent="0.35">
      <c r="D44" s="9" t="s">
        <v>71</v>
      </c>
      <c r="G44" s="35">
        <v>3.2633024933663304</v>
      </c>
      <c r="H44" s="35"/>
      <c r="I44" s="35">
        <v>0.93139280034231919</v>
      </c>
      <c r="J44" s="35"/>
      <c r="K44" s="35"/>
      <c r="L44" s="35">
        <v>7.7845993601814998</v>
      </c>
      <c r="M44" s="35"/>
      <c r="N44" s="35">
        <v>1.9866155284916747</v>
      </c>
      <c r="P44" s="35">
        <v>14.269773198522678</v>
      </c>
      <c r="Q44" s="35"/>
      <c r="R44" s="35">
        <v>1.6111524380037239</v>
      </c>
      <c r="T44" s="4"/>
    </row>
    <row r="45" spans="1:25" x14ac:dyDescent="0.35">
      <c r="D45" s="9" t="s">
        <v>72</v>
      </c>
      <c r="G45" s="35">
        <v>4.2051712681320756</v>
      </c>
      <c r="H45" s="35"/>
      <c r="I45" s="35">
        <v>1.9858982208479115</v>
      </c>
      <c r="J45" s="35"/>
      <c r="K45" s="35"/>
      <c r="L45" s="35">
        <v>9.9031239230732506</v>
      </c>
      <c r="M45" s="35"/>
      <c r="N45" s="35">
        <v>4.6263042454827437</v>
      </c>
      <c r="P45" s="35">
        <v>18.552518797951411</v>
      </c>
      <c r="Q45" s="35"/>
      <c r="R45" s="35">
        <v>2.8364936311578761</v>
      </c>
      <c r="T45" s="4"/>
    </row>
    <row r="46" spans="1:25" x14ac:dyDescent="0.35">
      <c r="D46" s="9" t="s">
        <v>62</v>
      </c>
      <c r="G46" s="35">
        <v>12.976124038937401</v>
      </c>
      <c r="H46" s="35"/>
      <c r="I46" s="35">
        <v>4.8227781252489947</v>
      </c>
      <c r="J46" s="35"/>
      <c r="K46" s="35"/>
      <c r="L46" s="35">
        <v>18.957083069464506</v>
      </c>
      <c r="M46" s="35"/>
      <c r="N46" s="35">
        <v>7.0574474495447825</v>
      </c>
      <c r="P46" s="35">
        <v>40.098888674061776</v>
      </c>
      <c r="Q46" s="35"/>
      <c r="R46" s="35">
        <v>6.4848447585112359</v>
      </c>
      <c r="T46" s="4"/>
    </row>
    <row r="47" spans="1:25" x14ac:dyDescent="0.35">
      <c r="D47" s="12" t="s">
        <v>62</v>
      </c>
      <c r="G47" s="35">
        <v>100</v>
      </c>
      <c r="H47" s="35"/>
      <c r="I47" s="35">
        <v>100</v>
      </c>
      <c r="J47" s="35"/>
      <c r="K47" s="35"/>
      <c r="L47" s="35">
        <v>100</v>
      </c>
      <c r="M47" s="35"/>
      <c r="N47" s="35">
        <v>100</v>
      </c>
      <c r="P47" s="35">
        <v>100</v>
      </c>
      <c r="Q47" s="35"/>
      <c r="R47" s="35">
        <v>100</v>
      </c>
      <c r="T47" s="4"/>
    </row>
    <row r="48" spans="1:25" x14ac:dyDescent="0.35">
      <c r="T48" s="4"/>
    </row>
    <row r="49" spans="1:21" x14ac:dyDescent="0.35">
      <c r="A49" s="4" t="s">
        <v>81</v>
      </c>
      <c r="T49" s="4"/>
    </row>
    <row r="50" spans="1:21" x14ac:dyDescent="0.35">
      <c r="P50" s="8" t="s">
        <v>194</v>
      </c>
      <c r="Q50" s="8"/>
      <c r="R50" s="8"/>
    </row>
    <row r="51" spans="1:21" x14ac:dyDescent="0.35">
      <c r="A51" s="39" t="s">
        <v>82</v>
      </c>
      <c r="P51" s="8" t="s">
        <v>74</v>
      </c>
      <c r="Q51" s="8"/>
      <c r="R51" s="8" t="s">
        <v>72</v>
      </c>
    </row>
    <row r="52" spans="1:21" x14ac:dyDescent="0.35">
      <c r="D52" s="13" t="s">
        <v>83</v>
      </c>
      <c r="G52" s="60">
        <v>0.36436041834271921</v>
      </c>
      <c r="H52" s="60"/>
      <c r="I52" s="60">
        <v>0.36610619469026545</v>
      </c>
      <c r="J52" s="60"/>
      <c r="K52" s="60"/>
      <c r="L52" s="60">
        <v>0.61837084673097542</v>
      </c>
      <c r="M52" s="60"/>
      <c r="N52" s="60">
        <v>0.55011789924973198</v>
      </c>
      <c r="P52" s="37">
        <v>0.67</v>
      </c>
      <c r="Q52" s="37"/>
      <c r="R52" s="37">
        <v>0.63</v>
      </c>
    </row>
    <row r="53" spans="1:21" x14ac:dyDescent="0.35">
      <c r="D53" s="13"/>
      <c r="G53" s="55" t="s">
        <v>204</v>
      </c>
      <c r="H53" s="14"/>
      <c r="I53" s="14"/>
      <c r="J53" s="14"/>
      <c r="K53" s="14"/>
      <c r="L53" s="14"/>
      <c r="M53" s="14"/>
      <c r="N53" s="14"/>
      <c r="O53" s="7"/>
      <c r="P53" s="15" t="s">
        <v>203</v>
      </c>
      <c r="Q53" s="7"/>
      <c r="R53" s="7"/>
      <c r="S53" s="7"/>
    </row>
    <row r="54" spans="1:21" x14ac:dyDescent="0.35">
      <c r="D54" s="13" t="s">
        <v>89</v>
      </c>
      <c r="G54" s="14">
        <f>1-G52</f>
        <v>0.63563958165728085</v>
      </c>
      <c r="H54" s="14"/>
      <c r="I54" s="14">
        <f>1-I52</f>
        <v>0.63389380530973449</v>
      </c>
      <c r="J54" s="14"/>
      <c r="K54" s="14"/>
      <c r="L54" s="14">
        <f>1-L52</f>
        <v>0.38162915326902458</v>
      </c>
      <c r="M54" s="14"/>
      <c r="N54" s="14">
        <f>1-N52</f>
        <v>0.44988210075026802</v>
      </c>
      <c r="P54" s="14">
        <f>1-P52</f>
        <v>0.32999999999999996</v>
      </c>
      <c r="Q54" s="14"/>
      <c r="R54" s="14">
        <f>1-R52</f>
        <v>0.37</v>
      </c>
      <c r="U54" s="4" t="s">
        <v>208</v>
      </c>
    </row>
    <row r="55" spans="1:21" x14ac:dyDescent="0.35">
      <c r="D55" s="13"/>
      <c r="E55" s="4" t="s">
        <v>205</v>
      </c>
      <c r="G55" s="14"/>
      <c r="H55" s="14"/>
      <c r="I55" s="14"/>
      <c r="J55" s="14"/>
      <c r="K55" s="14"/>
      <c r="L55" s="14"/>
      <c r="M55" s="14"/>
      <c r="N55" s="14"/>
      <c r="P55" s="14"/>
      <c r="Q55" s="14"/>
      <c r="R55" s="14"/>
    </row>
    <row r="56" spans="1:21" x14ac:dyDescent="0.35">
      <c r="D56" s="13"/>
      <c r="E56" s="4" t="s">
        <v>240</v>
      </c>
      <c r="G56" s="14"/>
      <c r="H56" s="14"/>
      <c r="I56" s="14"/>
      <c r="J56" s="14"/>
      <c r="K56" s="14"/>
      <c r="L56" s="14"/>
      <c r="M56" s="14"/>
      <c r="N56" s="14"/>
      <c r="P56" s="14"/>
      <c r="Q56" s="14"/>
      <c r="R56" s="14"/>
    </row>
    <row r="57" spans="1:21" x14ac:dyDescent="0.35">
      <c r="D57" s="13"/>
      <c r="E57" s="4" t="s">
        <v>241</v>
      </c>
      <c r="G57" s="14"/>
      <c r="H57" s="14"/>
      <c r="I57" s="14"/>
      <c r="J57" s="14"/>
      <c r="K57" s="14"/>
      <c r="L57" s="14"/>
      <c r="M57" s="14"/>
      <c r="N57" s="14"/>
      <c r="P57" s="14"/>
      <c r="Q57" s="14"/>
      <c r="R57" s="14"/>
    </row>
    <row r="58" spans="1:21" x14ac:dyDescent="0.35">
      <c r="D58" s="13" t="s">
        <v>84</v>
      </c>
      <c r="G58" s="61">
        <v>0.55071951610330594</v>
      </c>
      <c r="H58" s="36"/>
      <c r="I58" s="61">
        <v>0.59704079444955993</v>
      </c>
      <c r="J58" s="36"/>
      <c r="K58" s="36"/>
      <c r="L58" s="62">
        <v>3.9213192766716254E-2</v>
      </c>
      <c r="M58" s="36"/>
      <c r="N58" s="62">
        <v>0.15441578795580541</v>
      </c>
      <c r="P58" s="62">
        <v>3.9213192766716254E-2</v>
      </c>
      <c r="Q58" s="36"/>
      <c r="R58" s="62">
        <v>0.15441578795580541</v>
      </c>
    </row>
    <row r="59" spans="1:21" x14ac:dyDescent="0.35">
      <c r="D59" s="13" t="s">
        <v>85</v>
      </c>
      <c r="G59" s="61">
        <v>0.41426878118864519</v>
      </c>
      <c r="H59" s="36"/>
      <c r="I59" s="61">
        <v>0.37030846891144098</v>
      </c>
      <c r="J59" s="36"/>
      <c r="K59" s="36"/>
      <c r="L59" s="62">
        <v>0.35986180434274284</v>
      </c>
      <c r="M59" s="36"/>
      <c r="N59" s="62">
        <v>0.39340574332576039</v>
      </c>
      <c r="P59" s="62">
        <v>0.35986180434274284</v>
      </c>
      <c r="Q59" s="36"/>
      <c r="R59" s="62">
        <v>0.39340574332576039</v>
      </c>
    </row>
    <row r="60" spans="1:21" x14ac:dyDescent="0.35">
      <c r="D60" s="13" t="s">
        <v>86</v>
      </c>
      <c r="G60" s="61">
        <v>0.96498829729195101</v>
      </c>
      <c r="H60" s="36"/>
      <c r="I60" s="61">
        <v>0.96734926336100102</v>
      </c>
      <c r="J60" s="36"/>
      <c r="K60" s="36"/>
      <c r="L60" s="62">
        <v>0.39907499710945915</v>
      </c>
      <c r="M60" s="36"/>
      <c r="N60" s="62">
        <v>0.54782153128156574</v>
      </c>
      <c r="P60" s="62">
        <v>0.39907499710945915</v>
      </c>
      <c r="Q60" s="36"/>
      <c r="R60" s="62">
        <v>0.54782153128156574</v>
      </c>
    </row>
    <row r="61" spans="1:21" x14ac:dyDescent="0.35">
      <c r="D61" s="13" t="s">
        <v>87</v>
      </c>
      <c r="G61" s="61">
        <v>0.44928048389669423</v>
      </c>
      <c r="H61" s="36"/>
      <c r="I61" s="61">
        <v>0.40295920555043985</v>
      </c>
      <c r="J61" s="36"/>
      <c r="K61" s="36"/>
      <c r="L61" s="62">
        <v>0.96078680723328369</v>
      </c>
      <c r="M61" s="36"/>
      <c r="N61" s="62">
        <v>0.84558421204419454</v>
      </c>
      <c r="P61" s="62">
        <v>0.96078680723328369</v>
      </c>
      <c r="Q61" s="36"/>
      <c r="R61" s="62">
        <v>0.84558421204419454</v>
      </c>
    </row>
    <row r="62" spans="1:21" x14ac:dyDescent="0.35">
      <c r="D62" s="13" t="s">
        <v>88</v>
      </c>
      <c r="G62" s="61">
        <v>3.5011702708048993E-2</v>
      </c>
      <c r="H62" s="36"/>
      <c r="I62" s="61">
        <v>3.2650736638998895E-2</v>
      </c>
      <c r="J62" s="36"/>
      <c r="K62" s="36"/>
      <c r="L62" s="62">
        <v>0.60092500289054074</v>
      </c>
      <c r="M62" s="36"/>
      <c r="N62" s="62">
        <v>0.4521784687184342</v>
      </c>
      <c r="P62" s="62">
        <v>0.60092500289054074</v>
      </c>
      <c r="Q62" s="36"/>
      <c r="R62" s="62">
        <v>0.4521784687184342</v>
      </c>
    </row>
    <row r="63" spans="1:21" x14ac:dyDescent="0.35">
      <c r="D63" s="13"/>
      <c r="G63" s="15" t="s">
        <v>206</v>
      </c>
      <c r="H63" s="7"/>
      <c r="I63" s="15" t="s">
        <v>206</v>
      </c>
      <c r="J63" s="7"/>
      <c r="K63" s="7"/>
      <c r="L63" s="15" t="s">
        <v>207</v>
      </c>
      <c r="M63" s="7"/>
      <c r="N63" s="15" t="s">
        <v>207</v>
      </c>
      <c r="O63" s="7"/>
      <c r="P63" s="15" t="s">
        <v>207</v>
      </c>
      <c r="Q63" s="7"/>
      <c r="R63" s="15" t="s">
        <v>207</v>
      </c>
      <c r="S63" s="7"/>
    </row>
    <row r="64" spans="1:21" x14ac:dyDescent="0.35">
      <c r="G64" s="15" t="s">
        <v>223</v>
      </c>
      <c r="H64" s="7"/>
      <c r="I64" s="15" t="s">
        <v>223</v>
      </c>
      <c r="J64" s="7"/>
      <c r="K64" s="7"/>
      <c r="L64" s="15" t="s">
        <v>223</v>
      </c>
      <c r="M64" s="7"/>
      <c r="N64" s="15"/>
      <c r="O64" s="7"/>
      <c r="P64" s="15" t="s">
        <v>223</v>
      </c>
      <c r="Q64" s="7"/>
      <c r="R64" s="15"/>
      <c r="S64" s="7"/>
      <c r="T64" s="7"/>
    </row>
    <row r="65" spans="3:20" x14ac:dyDescent="0.35">
      <c r="G65" s="15" t="s">
        <v>224</v>
      </c>
      <c r="H65" s="7"/>
      <c r="I65" s="15" t="s">
        <v>225</v>
      </c>
      <c r="J65" s="7"/>
      <c r="K65" s="7"/>
      <c r="L65" s="15" t="s">
        <v>226</v>
      </c>
      <c r="M65" s="7"/>
      <c r="N65" s="15" t="s">
        <v>209</v>
      </c>
      <c r="O65" s="7"/>
      <c r="P65" s="15" t="s">
        <v>226</v>
      </c>
      <c r="Q65" s="7"/>
      <c r="R65" s="15" t="s">
        <v>209</v>
      </c>
      <c r="S65" s="7"/>
      <c r="T65" s="7"/>
    </row>
    <row r="66" spans="3:20" x14ac:dyDescent="0.35">
      <c r="G66" s="15" t="s">
        <v>227</v>
      </c>
      <c r="H66" s="7"/>
      <c r="I66" s="15" t="s">
        <v>228</v>
      </c>
      <c r="J66" s="7"/>
      <c r="K66" s="7"/>
      <c r="L66" s="15" t="s">
        <v>227</v>
      </c>
      <c r="M66" s="7"/>
      <c r="N66" s="15"/>
      <c r="O66" s="7"/>
      <c r="P66" s="15" t="s">
        <v>227</v>
      </c>
      <c r="Q66" s="7"/>
      <c r="R66" s="15"/>
      <c r="S66" s="7"/>
      <c r="T66" s="7"/>
    </row>
    <row r="67" spans="3:20" x14ac:dyDescent="0.35">
      <c r="G67" s="15" t="s">
        <v>210</v>
      </c>
      <c r="H67" s="7"/>
      <c r="I67" s="15" t="s">
        <v>216</v>
      </c>
      <c r="J67" s="7"/>
      <c r="K67" s="7"/>
      <c r="L67" s="15" t="s">
        <v>220</v>
      </c>
      <c r="M67" s="7"/>
      <c r="N67" s="15"/>
      <c r="O67" s="7"/>
      <c r="P67" s="15" t="s">
        <v>220</v>
      </c>
      <c r="Q67" s="7"/>
      <c r="R67" s="15"/>
      <c r="S67" s="7"/>
      <c r="T67" s="7"/>
    </row>
    <row r="68" spans="3:20" x14ac:dyDescent="0.35">
      <c r="G68" s="15" t="s">
        <v>211</v>
      </c>
      <c r="H68" s="7"/>
      <c r="I68" s="15" t="s">
        <v>211</v>
      </c>
      <c r="J68" s="7"/>
      <c r="K68" s="7"/>
      <c r="L68" s="15" t="s">
        <v>211</v>
      </c>
      <c r="M68" s="7"/>
      <c r="N68" s="15"/>
      <c r="O68" s="7"/>
      <c r="P68" s="15" t="s">
        <v>211</v>
      </c>
      <c r="Q68" s="7"/>
      <c r="R68" s="15"/>
      <c r="S68" s="7"/>
      <c r="T68" s="7"/>
    </row>
    <row r="69" spans="3:20" x14ac:dyDescent="0.35">
      <c r="G69" s="15" t="s">
        <v>212</v>
      </c>
      <c r="H69" s="7"/>
      <c r="I69" s="15" t="s">
        <v>212</v>
      </c>
      <c r="J69" s="7"/>
      <c r="K69" s="7"/>
      <c r="L69" s="15" t="s">
        <v>212</v>
      </c>
      <c r="M69" s="7"/>
      <c r="N69" s="15"/>
      <c r="O69" s="7"/>
      <c r="P69" s="15" t="s">
        <v>212</v>
      </c>
      <c r="Q69" s="7"/>
      <c r="R69" s="15"/>
      <c r="S69" s="7"/>
      <c r="T69" s="7"/>
    </row>
    <row r="70" spans="3:20" x14ac:dyDescent="0.35">
      <c r="G70" s="15" t="s">
        <v>213</v>
      </c>
      <c r="H70" s="7"/>
      <c r="I70" s="15" t="s">
        <v>217</v>
      </c>
      <c r="J70" s="7"/>
      <c r="K70" s="7"/>
      <c r="L70" s="15" t="s">
        <v>221</v>
      </c>
      <c r="M70" s="7"/>
      <c r="N70" s="15"/>
      <c r="O70" s="7"/>
      <c r="P70" s="15" t="s">
        <v>222</v>
      </c>
      <c r="Q70" s="7"/>
      <c r="R70" s="15"/>
      <c r="S70" s="7"/>
      <c r="T70" s="7"/>
    </row>
    <row r="71" spans="3:20" x14ac:dyDescent="0.35">
      <c r="G71" s="15" t="s">
        <v>214</v>
      </c>
      <c r="H71" s="7"/>
      <c r="I71" s="15" t="s">
        <v>218</v>
      </c>
      <c r="J71" s="7"/>
      <c r="K71" s="7"/>
      <c r="L71" s="15" t="s">
        <v>214</v>
      </c>
      <c r="M71" s="7"/>
      <c r="N71" s="15"/>
      <c r="O71" s="7"/>
      <c r="P71" s="15" t="s">
        <v>214</v>
      </c>
      <c r="Q71" s="7"/>
      <c r="R71" s="15"/>
      <c r="S71" s="7"/>
      <c r="T71" s="7"/>
    </row>
    <row r="72" spans="3:20" x14ac:dyDescent="0.35">
      <c r="G72" s="15" t="s">
        <v>215</v>
      </c>
      <c r="H72" s="7"/>
      <c r="I72" s="15" t="s">
        <v>219</v>
      </c>
      <c r="J72" s="7"/>
      <c r="K72" s="7"/>
      <c r="L72" s="15" t="s">
        <v>215</v>
      </c>
      <c r="M72" s="7"/>
      <c r="N72" s="15"/>
      <c r="O72" s="7"/>
      <c r="P72" s="15" t="s">
        <v>215</v>
      </c>
      <c r="Q72" s="7"/>
      <c r="R72" s="15"/>
      <c r="S72" s="7"/>
      <c r="T72" s="7"/>
    </row>
    <row r="73" spans="3:20" x14ac:dyDescent="0.35">
      <c r="C73" s="39" t="s">
        <v>234</v>
      </c>
      <c r="G73" s="15"/>
      <c r="H73" s="7"/>
      <c r="I73" s="15"/>
      <c r="J73" s="7"/>
      <c r="K73" s="7"/>
      <c r="L73" s="15"/>
      <c r="M73" s="7"/>
      <c r="N73" s="15"/>
      <c r="O73" s="7"/>
      <c r="P73" s="15"/>
      <c r="Q73" s="7"/>
      <c r="R73" s="15"/>
      <c r="S73" s="7"/>
      <c r="T73" s="7"/>
    </row>
    <row r="74" spans="3:20" x14ac:dyDescent="0.35">
      <c r="C74" s="4" t="s">
        <v>233</v>
      </c>
      <c r="G74" s="31" t="s">
        <v>229</v>
      </c>
      <c r="H74" s="32"/>
      <c r="I74" s="31" t="s">
        <v>230</v>
      </c>
      <c r="J74" s="32"/>
      <c r="K74" s="32"/>
      <c r="L74" s="31" t="s">
        <v>231</v>
      </c>
      <c r="M74" s="32"/>
      <c r="N74" s="31" t="s">
        <v>232</v>
      </c>
      <c r="O74" s="32"/>
      <c r="P74" s="31" t="s">
        <v>231</v>
      </c>
      <c r="Q74" s="32"/>
      <c r="R74" s="31" t="s">
        <v>232</v>
      </c>
      <c r="S74" s="32"/>
      <c r="T74" s="7"/>
    </row>
    <row r="75" spans="3:20" x14ac:dyDescent="0.35">
      <c r="C75" s="4" t="s">
        <v>235</v>
      </c>
      <c r="G75" s="63">
        <v>83.5</v>
      </c>
      <c r="H75" s="37"/>
      <c r="I75" s="63">
        <v>75.900000000000006</v>
      </c>
      <c r="J75" s="37"/>
      <c r="K75" s="37"/>
      <c r="L75" s="63">
        <v>57.4</v>
      </c>
      <c r="M75" s="37"/>
      <c r="N75" s="63">
        <v>75.900000000000006</v>
      </c>
      <c r="P75" s="63">
        <v>57.4</v>
      </c>
      <c r="Q75" s="37"/>
      <c r="R75" s="63">
        <v>75.900000000000006</v>
      </c>
      <c r="S75" s="7"/>
      <c r="T75" s="7"/>
    </row>
    <row r="76" spans="3:20" x14ac:dyDescent="0.35">
      <c r="C76" s="4" t="s">
        <v>236</v>
      </c>
      <c r="G76" s="31" t="s">
        <v>139</v>
      </c>
      <c r="H76" s="32"/>
      <c r="I76" s="31" t="s">
        <v>140</v>
      </c>
      <c r="J76" s="7"/>
      <c r="K76" s="7"/>
      <c r="L76" s="31" t="s">
        <v>139</v>
      </c>
      <c r="M76" s="32"/>
      <c r="N76" s="31" t="s">
        <v>140</v>
      </c>
      <c r="O76" s="7"/>
      <c r="P76" s="31" t="s">
        <v>139</v>
      </c>
      <c r="Q76" s="32"/>
      <c r="R76" s="31" t="s">
        <v>140</v>
      </c>
      <c r="S76" s="7"/>
      <c r="T76" s="7"/>
    </row>
    <row r="77" spans="3:20" x14ac:dyDescent="0.35">
      <c r="D77" s="4" t="s">
        <v>237</v>
      </c>
      <c r="G77" s="26">
        <f>C26*G37/100</f>
        <v>1033.8879237697165</v>
      </c>
      <c r="H77" s="25"/>
      <c r="I77" s="26">
        <f>C27*I38/100</f>
        <v>1035.5008243142292</v>
      </c>
      <c r="J77" s="25"/>
      <c r="K77" s="25"/>
      <c r="L77" s="26">
        <f>E26*L37/100</f>
        <v>821.58874256532977</v>
      </c>
      <c r="M77" s="25"/>
      <c r="N77" s="26"/>
      <c r="O77" s="25"/>
      <c r="P77" s="26">
        <f>J26*P37/100</f>
        <v>368.2888614106181</v>
      </c>
      <c r="Q77" s="25"/>
      <c r="R77" s="26"/>
      <c r="S77" s="7"/>
      <c r="T77" s="7"/>
    </row>
    <row r="78" spans="3:20" x14ac:dyDescent="0.35">
      <c r="D78" s="4" t="s">
        <v>238</v>
      </c>
      <c r="G78" s="26">
        <f>C27*I37/100</f>
        <v>63.140160981708483</v>
      </c>
      <c r="H78" s="25"/>
      <c r="I78" s="26">
        <f>C26*G38/100</f>
        <v>681.87541928482597</v>
      </c>
      <c r="J78" s="25"/>
      <c r="K78" s="25"/>
      <c r="L78" s="26">
        <f>E27*N37/100</f>
        <v>65.061600630887867</v>
      </c>
      <c r="M78" s="25"/>
      <c r="N78" s="26"/>
      <c r="O78" s="25"/>
      <c r="P78" s="26">
        <f>J27*R37/100</f>
        <v>31.438690996258416</v>
      </c>
      <c r="Q78" s="25"/>
      <c r="R78" s="26"/>
      <c r="S78" s="7"/>
      <c r="T78" s="7"/>
    </row>
    <row r="79" spans="3:20" x14ac:dyDescent="0.35">
      <c r="D79" s="4" t="s">
        <v>62</v>
      </c>
      <c r="G79" s="26">
        <f>G77+G78</f>
        <v>1097.028084751425</v>
      </c>
      <c r="H79" s="25"/>
      <c r="I79" s="26">
        <f>I77+I78</f>
        <v>1717.3762435990552</v>
      </c>
      <c r="J79" s="25"/>
      <c r="K79" s="25"/>
      <c r="L79" s="26">
        <f>L77+L78</f>
        <v>886.65034319621759</v>
      </c>
      <c r="M79" s="25"/>
      <c r="N79" s="26"/>
      <c r="O79" s="25"/>
      <c r="P79" s="26">
        <f>P77+P78</f>
        <v>399.7275524068765</v>
      </c>
      <c r="Q79" s="25"/>
      <c r="R79" s="26"/>
      <c r="S79" s="7"/>
      <c r="T79" s="7"/>
    </row>
    <row r="80" spans="3:20" x14ac:dyDescent="0.35">
      <c r="D80" s="4" t="s">
        <v>239</v>
      </c>
      <c r="G80" s="64">
        <f>(G77*G75/100)/G79</f>
        <v>0.78694103491737599</v>
      </c>
      <c r="H80" s="22"/>
      <c r="I80" s="64">
        <f>(I77*I75/100)/I79</f>
        <v>0.45764294724807519</v>
      </c>
      <c r="J80" s="22"/>
      <c r="K80" s="22"/>
      <c r="L80" s="64">
        <f>(L77*L75/100)/L79</f>
        <v>0.53188039890955641</v>
      </c>
      <c r="M80" s="22"/>
      <c r="N80" s="64"/>
      <c r="O80" s="22"/>
      <c r="P80" s="64">
        <f>(P77*P75/100)/P79</f>
        <v>0.52885472911938836</v>
      </c>
      <c r="Q80" s="15" t="s">
        <v>242</v>
      </c>
      <c r="R80" s="15"/>
      <c r="S80" s="7"/>
      <c r="T80" s="7"/>
    </row>
    <row r="81" spans="1:19" x14ac:dyDescent="0.35">
      <c r="F81" s="7"/>
      <c r="G81" s="15"/>
      <c r="H81" s="7"/>
      <c r="I81" s="15"/>
      <c r="J81" s="7"/>
      <c r="K81" s="7"/>
      <c r="L81" s="15"/>
      <c r="M81" s="7"/>
      <c r="N81" s="15"/>
      <c r="S81" s="7"/>
    </row>
    <row r="82" spans="1:19" x14ac:dyDescent="0.35">
      <c r="A82" s="4" t="s">
        <v>90</v>
      </c>
    </row>
    <row r="83" spans="1:19" x14ac:dyDescent="0.35">
      <c r="G83" s="8" t="s">
        <v>73</v>
      </c>
      <c r="H83" s="8"/>
      <c r="I83" s="8"/>
      <c r="J83" s="8"/>
      <c r="K83" s="8"/>
      <c r="L83" s="8" t="s">
        <v>75</v>
      </c>
      <c r="M83" s="8"/>
      <c r="N83" s="8"/>
      <c r="O83" s="8"/>
    </row>
    <row r="84" spans="1:19" x14ac:dyDescent="0.35">
      <c r="G84" s="8" t="s">
        <v>74</v>
      </c>
      <c r="H84" s="8"/>
      <c r="I84" s="8" t="s">
        <v>72</v>
      </c>
      <c r="J84" s="8"/>
      <c r="K84" s="8"/>
      <c r="L84" s="8" t="s">
        <v>74</v>
      </c>
      <c r="M84" s="8"/>
      <c r="N84" s="8" t="s">
        <v>72</v>
      </c>
      <c r="O84" s="8"/>
    </row>
    <row r="85" spans="1:19" x14ac:dyDescent="0.35">
      <c r="A85" s="39" t="s">
        <v>91</v>
      </c>
    </row>
    <row r="86" spans="1:19" x14ac:dyDescent="0.35">
      <c r="A86" s="4" t="s">
        <v>98</v>
      </c>
      <c r="D86" s="4" t="s">
        <v>92</v>
      </c>
      <c r="G86" s="36">
        <v>0.26993887530562349</v>
      </c>
      <c r="H86" s="36"/>
      <c r="I86" s="36">
        <v>0.13810513447432762</v>
      </c>
      <c r="J86" s="36"/>
      <c r="K86" s="36"/>
      <c r="L86" s="36">
        <v>0.4760986066452304</v>
      </c>
      <c r="M86" s="37"/>
      <c r="N86" s="36">
        <v>0.29060021436227224</v>
      </c>
      <c r="P86" s="37">
        <v>0.63</v>
      </c>
      <c r="Q86" s="37"/>
      <c r="R86" s="37">
        <v>0.36</v>
      </c>
    </row>
    <row r="87" spans="1:19" x14ac:dyDescent="0.35">
      <c r="A87" s="4"/>
      <c r="D87" s="4"/>
      <c r="G87" s="55" t="s">
        <v>243</v>
      </c>
      <c r="H87" s="14"/>
      <c r="I87" s="14"/>
      <c r="J87" s="14"/>
      <c r="K87" s="14"/>
      <c r="L87" s="14"/>
      <c r="M87" s="7"/>
      <c r="N87" s="14"/>
      <c r="O87" s="7"/>
      <c r="P87" s="7"/>
      <c r="Q87" s="7"/>
    </row>
    <row r="88" spans="1:19" x14ac:dyDescent="0.35">
      <c r="A88" s="4" t="s">
        <v>100</v>
      </c>
      <c r="D88" s="4" t="s">
        <v>93</v>
      </c>
      <c r="G88" s="36">
        <v>1</v>
      </c>
      <c r="H88" s="36"/>
      <c r="I88" s="36">
        <v>1</v>
      </c>
      <c r="J88" s="36"/>
      <c r="K88" s="36"/>
      <c r="L88" s="36">
        <v>0.6</v>
      </c>
      <c r="M88" s="36"/>
      <c r="N88" s="36">
        <v>0.6</v>
      </c>
      <c r="P88" s="36">
        <v>0.6</v>
      </c>
      <c r="Q88" s="36"/>
      <c r="R88" s="36">
        <v>0.6</v>
      </c>
    </row>
    <row r="89" spans="1:19" x14ac:dyDescent="0.35">
      <c r="D89" s="4" t="s">
        <v>99</v>
      </c>
      <c r="G89" s="2">
        <f>100*G86*G88</f>
        <v>26.99388753056235</v>
      </c>
      <c r="H89" s="1"/>
      <c r="I89" s="2">
        <f>100*I86*I88</f>
        <v>13.810513447432763</v>
      </c>
      <c r="J89" s="1"/>
      <c r="K89" s="1"/>
      <c r="L89" s="2">
        <f>100*L86*L88</f>
        <v>28.565916398713824</v>
      </c>
      <c r="M89" s="1"/>
      <c r="N89" s="2">
        <f>100*N86*N88</f>
        <v>17.436012861736334</v>
      </c>
      <c r="P89" s="2">
        <f>100*P86*P88</f>
        <v>37.799999999999997</v>
      </c>
      <c r="Q89" s="1"/>
      <c r="R89" s="2">
        <f>100*R86*R88</f>
        <v>21.599999999999998</v>
      </c>
    </row>
    <row r="91" spans="1:19" x14ac:dyDescent="0.35">
      <c r="D91" s="4" t="s">
        <v>94</v>
      </c>
    </row>
    <row r="92" spans="1:19" x14ac:dyDescent="0.35">
      <c r="D92" s="13" t="s">
        <v>84</v>
      </c>
      <c r="G92" s="36">
        <v>1.5509609588506641</v>
      </c>
      <c r="H92" s="37"/>
      <c r="I92" s="36">
        <v>1.5227733230098803</v>
      </c>
      <c r="J92" s="36"/>
      <c r="K92" s="36"/>
      <c r="L92" s="36">
        <v>1.5326836389029728</v>
      </c>
      <c r="M92" s="37"/>
      <c r="N92" s="36">
        <v>2.0511410922521263</v>
      </c>
      <c r="P92" s="36">
        <v>1.5326836389029728</v>
      </c>
      <c r="Q92" s="37"/>
      <c r="R92" s="36">
        <v>2.0511410922521263</v>
      </c>
    </row>
    <row r="93" spans="1:19" x14ac:dyDescent="0.35">
      <c r="D93" s="13" t="s">
        <v>85</v>
      </c>
      <c r="G93" s="36">
        <v>0.87202716056630569</v>
      </c>
      <c r="H93" s="37"/>
      <c r="I93" s="36">
        <v>0.80958779540120296</v>
      </c>
      <c r="J93" s="36"/>
      <c r="K93" s="36"/>
      <c r="L93" s="36">
        <v>1.0874500160417906</v>
      </c>
      <c r="M93" s="37"/>
      <c r="N93" s="36">
        <v>1.1902090250162407</v>
      </c>
      <c r="P93" s="36">
        <v>1.0874500160417906</v>
      </c>
      <c r="Q93" s="37"/>
      <c r="R93" s="36">
        <v>1.1902090250162407</v>
      </c>
    </row>
    <row r="94" spans="1:19" x14ac:dyDescent="0.35">
      <c r="D94" s="13" t="s">
        <v>86</v>
      </c>
      <c r="G94" s="36">
        <v>1.0578433459651078</v>
      </c>
      <c r="H94" s="37"/>
      <c r="I94" s="36">
        <v>1.0942636486147026</v>
      </c>
      <c r="J94" s="36"/>
      <c r="K94" s="36"/>
      <c r="L94" s="36">
        <v>1.1298801888878223</v>
      </c>
      <c r="M94" s="37"/>
      <c r="N94" s="36">
        <v>1.3499196764425621</v>
      </c>
      <c r="P94" s="36">
        <v>1.1298801888878223</v>
      </c>
      <c r="Q94" s="37"/>
      <c r="R94" s="36">
        <v>1.3499196764425621</v>
      </c>
    </row>
    <row r="95" spans="1:19" x14ac:dyDescent="0.35">
      <c r="D95" s="13" t="s">
        <v>87</v>
      </c>
      <c r="G95" s="36">
        <v>0.82616808261433672</v>
      </c>
      <c r="H95" s="37"/>
      <c r="I95" s="36">
        <v>0.77485497815698956</v>
      </c>
      <c r="J95" s="36"/>
      <c r="K95" s="36"/>
      <c r="L95" s="36">
        <v>0.9764604896741319</v>
      </c>
      <c r="M95" s="37"/>
      <c r="N95" s="36">
        <v>0.86065150355030295</v>
      </c>
      <c r="P95" s="36">
        <v>0.9764604896741319</v>
      </c>
      <c r="Q95" s="37"/>
      <c r="R95" s="36">
        <v>0.86065150355030295</v>
      </c>
    </row>
    <row r="96" spans="1:19" x14ac:dyDescent="0.35">
      <c r="D96" s="13" t="s">
        <v>88</v>
      </c>
      <c r="G96" s="36">
        <v>0.59018246654686368</v>
      </c>
      <c r="H96" s="37"/>
      <c r="I96" s="36">
        <v>0.51457926291879696</v>
      </c>
      <c r="J96" s="36"/>
      <c r="K96" s="36"/>
      <c r="L96" s="36">
        <v>0.89624898063253966</v>
      </c>
      <c r="M96" s="37"/>
      <c r="N96" s="36">
        <v>0.69356977339985582</v>
      </c>
      <c r="P96" s="36">
        <v>0.89624898063253966</v>
      </c>
      <c r="Q96" s="37"/>
      <c r="R96" s="36">
        <v>0.69356977339985582</v>
      </c>
    </row>
    <row r="97" spans="1:18" x14ac:dyDescent="0.35">
      <c r="A97" s="4"/>
      <c r="D97" s="13"/>
      <c r="G97" s="55" t="s">
        <v>188</v>
      </c>
      <c r="I97" s="56" t="s">
        <v>189</v>
      </c>
      <c r="J97" s="1"/>
      <c r="K97" s="1"/>
      <c r="L97" s="55" t="s">
        <v>190</v>
      </c>
      <c r="N97" s="56" t="s">
        <v>191</v>
      </c>
    </row>
    <row r="98" spans="1:18" x14ac:dyDescent="0.35">
      <c r="A98" s="4"/>
      <c r="D98" s="13" t="s">
        <v>129</v>
      </c>
      <c r="G98" s="66">
        <v>1903.4354964816262</v>
      </c>
      <c r="H98" s="66"/>
      <c r="I98" s="66">
        <v>1744.8264268960127</v>
      </c>
      <c r="J98" s="66"/>
      <c r="K98" s="66"/>
      <c r="L98" s="66">
        <v>2282.6452304394425</v>
      </c>
      <c r="M98" s="66"/>
      <c r="N98" s="66">
        <v>2125.7963558413712</v>
      </c>
      <c r="O98" s="23"/>
      <c r="P98" s="66">
        <v>2427</v>
      </c>
      <c r="Q98" s="66"/>
      <c r="R98" s="66">
        <v>2158</v>
      </c>
    </row>
    <row r="99" spans="1:18" x14ac:dyDescent="0.35">
      <c r="A99" s="4" t="s">
        <v>98</v>
      </c>
      <c r="G99" s="55" t="s">
        <v>187</v>
      </c>
      <c r="H99" s="7"/>
      <c r="I99" s="7"/>
      <c r="J99" s="7"/>
      <c r="K99" s="7"/>
      <c r="L99" s="7"/>
      <c r="M99" s="7"/>
      <c r="N99" s="7"/>
    </row>
    <row r="100" spans="1:18" x14ac:dyDescent="0.35">
      <c r="D100" s="13" t="s">
        <v>96</v>
      </c>
    </row>
    <row r="101" spans="1:18" x14ac:dyDescent="0.35">
      <c r="A101" s="4" t="s">
        <v>97</v>
      </c>
      <c r="D101" s="13"/>
      <c r="G101" s="67">
        <v>36.209247148288974</v>
      </c>
      <c r="H101" s="7"/>
      <c r="I101" s="7"/>
      <c r="J101" s="7"/>
      <c r="K101" s="7"/>
      <c r="L101" s="67">
        <v>4.8</v>
      </c>
      <c r="M101" s="7"/>
      <c r="N101" s="7"/>
      <c r="O101" s="7"/>
      <c r="P101" s="68">
        <v>2.62</v>
      </c>
    </row>
    <row r="102" spans="1:18" x14ac:dyDescent="0.35">
      <c r="G102" s="55" t="s">
        <v>187</v>
      </c>
      <c r="H102" s="7"/>
      <c r="I102" s="7"/>
      <c r="J102" s="7"/>
      <c r="K102" s="7"/>
      <c r="L102" s="15"/>
      <c r="M102" s="7"/>
      <c r="N102" s="7"/>
    </row>
    <row r="103" spans="1:18" x14ac:dyDescent="0.35">
      <c r="D103" s="4" t="s">
        <v>95</v>
      </c>
    </row>
    <row r="104" spans="1:18" x14ac:dyDescent="0.35">
      <c r="D104" s="13" t="s">
        <v>84</v>
      </c>
      <c r="G104" s="1">
        <f>G92*$G$101</f>
        <v>56.159128676370941</v>
      </c>
      <c r="H104" s="1"/>
      <c r="I104" s="1">
        <f>I92*$G$101</f>
        <v>55.138475603686032</v>
      </c>
      <c r="J104" s="1"/>
      <c r="K104" s="1"/>
      <c r="L104" s="1">
        <f>L92*$L$101</f>
        <v>7.3568814667342686</v>
      </c>
      <c r="M104" s="1"/>
      <c r="N104" s="1">
        <f>N92*$L$101</f>
        <v>9.8454772428102064</v>
      </c>
      <c r="P104" s="1">
        <f>P92*$P$101</f>
        <v>4.0156311339257886</v>
      </c>
      <c r="Q104" s="1"/>
      <c r="R104" s="1">
        <f>R92*$P$101</f>
        <v>5.3739896617005707</v>
      </c>
    </row>
    <row r="105" spans="1:18" x14ac:dyDescent="0.35">
      <c r="D105" s="13" t="s">
        <v>85</v>
      </c>
      <c r="G105" s="1">
        <f>G93*$G$101</f>
        <v>31.575446976966035</v>
      </c>
      <c r="H105" s="1"/>
      <c r="I105" s="1">
        <f>I93*$G$101</f>
        <v>29.314564571920567</v>
      </c>
      <c r="J105" s="1"/>
      <c r="K105" s="1"/>
      <c r="L105" s="1">
        <f>L93*$L$101</f>
        <v>5.2197600770005943</v>
      </c>
      <c r="M105" s="1"/>
      <c r="N105" s="1">
        <f>N93*$L$101</f>
        <v>5.7130033200779549</v>
      </c>
      <c r="P105" s="1">
        <f>P93*$P$101</f>
        <v>2.8491190420294914</v>
      </c>
      <c r="Q105" s="1"/>
      <c r="R105" s="1">
        <f>R93*$P$101</f>
        <v>3.1183476455425509</v>
      </c>
    </row>
    <row r="106" spans="1:18" x14ac:dyDescent="0.35">
      <c r="D106" s="13" t="s">
        <v>86</v>
      </c>
      <c r="G106" s="1">
        <f>G94*$G$101</f>
        <v>38.303711158223543</v>
      </c>
      <c r="H106" s="1"/>
      <c r="I106" s="1">
        <f>I94*$G$101</f>
        <v>39.622462898078204</v>
      </c>
      <c r="J106" s="1"/>
      <c r="K106" s="1"/>
      <c r="L106" s="1">
        <f>L94*$L$101</f>
        <v>5.4234249066615465</v>
      </c>
      <c r="M106" s="1"/>
      <c r="N106" s="1">
        <f>N94*$L$101</f>
        <v>6.4796144469242973</v>
      </c>
      <c r="P106" s="1">
        <f>P94*$P$101</f>
        <v>2.9602860948860945</v>
      </c>
      <c r="Q106" s="1"/>
      <c r="R106" s="1">
        <f>R94*$P$101</f>
        <v>3.5367895522795125</v>
      </c>
    </row>
    <row r="107" spans="1:18" x14ac:dyDescent="0.35">
      <c r="D107" s="13" t="s">
        <v>87</v>
      </c>
      <c r="G107" s="1">
        <f>G95*$G$101</f>
        <v>29.914924289410539</v>
      </c>
      <c r="H107" s="1"/>
      <c r="I107" s="1">
        <f>I95*$G$101</f>
        <v>28.056915408168489</v>
      </c>
      <c r="J107" s="1"/>
      <c r="K107" s="1"/>
      <c r="L107" s="1">
        <f>L95*$L$101</f>
        <v>4.6870103504358331</v>
      </c>
      <c r="M107" s="1"/>
      <c r="N107" s="1">
        <f>N95*$L$101</f>
        <v>4.1311272170414544</v>
      </c>
      <c r="P107" s="1">
        <f>P95*$P$101</f>
        <v>2.5583264829462258</v>
      </c>
      <c r="Q107" s="1"/>
      <c r="R107" s="1">
        <f>R95*$P$101</f>
        <v>2.2549069393017938</v>
      </c>
    </row>
    <row r="108" spans="1:18" x14ac:dyDescent="0.35">
      <c r="A108" s="4"/>
      <c r="D108" s="13" t="s">
        <v>88</v>
      </c>
      <c r="G108" s="1">
        <f>G96*$G$101</f>
        <v>21.370062793782175</v>
      </c>
      <c r="H108" s="1"/>
      <c r="I108" s="1">
        <f>I96*$G$101</f>
        <v>18.632527708411089</v>
      </c>
      <c r="J108" s="1"/>
      <c r="K108" s="1"/>
      <c r="L108" s="1">
        <f>L96*$L$101</f>
        <v>4.3019951070361904</v>
      </c>
      <c r="M108" s="1"/>
      <c r="N108" s="1">
        <f>N96*$L$101</f>
        <v>3.3291349123193079</v>
      </c>
      <c r="P108" s="1">
        <f>P96*$P$101</f>
        <v>2.3481723292572538</v>
      </c>
      <c r="Q108" s="1"/>
      <c r="R108" s="1">
        <f>R96*$P$101</f>
        <v>1.8171528063076223</v>
      </c>
    </row>
    <row r="109" spans="1:18" x14ac:dyDescent="0.35">
      <c r="D109" s="13" t="s">
        <v>148</v>
      </c>
      <c r="E109" s="7"/>
      <c r="F109" s="7"/>
      <c r="G109" s="14">
        <f>G104/G107</f>
        <v>1.8772946952184157</v>
      </c>
      <c r="H109" s="7"/>
      <c r="I109" s="14">
        <f>I104/I107</f>
        <v>1.9652365486917718</v>
      </c>
      <c r="J109" s="7"/>
      <c r="K109" s="7"/>
      <c r="L109" s="14">
        <f>L104/L107</f>
        <v>1.5696320077573909</v>
      </c>
      <c r="M109" s="7"/>
      <c r="N109" s="14">
        <f>N104/N107</f>
        <v>2.3832423272264025</v>
      </c>
      <c r="O109" s="7"/>
      <c r="P109" s="14">
        <f>P104/P107</f>
        <v>1.5696320077573909</v>
      </c>
      <c r="Q109" s="7"/>
      <c r="R109" s="14">
        <f>R104/R107</f>
        <v>2.3832423272264021</v>
      </c>
    </row>
    <row r="110" spans="1:18" x14ac:dyDescent="0.35">
      <c r="D110" s="13"/>
      <c r="E110" s="7"/>
      <c r="F110" s="7"/>
      <c r="G110" s="14"/>
      <c r="H110" s="7"/>
      <c r="I110" s="14"/>
      <c r="J110" s="7"/>
      <c r="K110" s="7"/>
      <c r="L110" s="14"/>
      <c r="M110" s="7"/>
      <c r="N110" s="14"/>
    </row>
    <row r="111" spans="1:18" x14ac:dyDescent="0.35">
      <c r="A111" s="5" t="s">
        <v>257</v>
      </c>
      <c r="D111" s="13"/>
      <c r="E111" s="7"/>
      <c r="F111" s="7"/>
      <c r="G111" s="14"/>
      <c r="H111" s="7"/>
      <c r="I111" s="14"/>
      <c r="J111" s="7"/>
      <c r="K111" s="7"/>
      <c r="L111" s="14"/>
      <c r="M111" s="7"/>
      <c r="N111" s="14"/>
    </row>
    <row r="112" spans="1:18" x14ac:dyDescent="0.35">
      <c r="D112" s="13"/>
      <c r="E112" s="7"/>
      <c r="F112" s="7"/>
      <c r="G112" s="14"/>
      <c r="H112" s="7"/>
      <c r="I112" s="14"/>
      <c r="J112" s="7"/>
      <c r="K112" s="7"/>
      <c r="L112" s="14"/>
      <c r="M112" s="7"/>
      <c r="N112" s="14"/>
    </row>
    <row r="113" spans="4:35" x14ac:dyDescent="0.35">
      <c r="D113" s="50" t="s">
        <v>177</v>
      </c>
      <c r="E113" s="7"/>
      <c r="F113" s="7"/>
      <c r="G113" s="14"/>
      <c r="H113" s="7"/>
      <c r="I113" s="14"/>
      <c r="J113" s="7"/>
      <c r="K113" s="7"/>
      <c r="L113" s="14"/>
      <c r="M113" s="7"/>
      <c r="N113" s="14"/>
    </row>
    <row r="114" spans="4:35" x14ac:dyDescent="0.35">
      <c r="D114" s="13" t="s">
        <v>198</v>
      </c>
      <c r="E114" s="7"/>
      <c r="F114" s="7"/>
      <c r="G114" s="14"/>
      <c r="H114" s="7"/>
      <c r="I114" s="14"/>
      <c r="J114" s="7"/>
      <c r="K114" s="7"/>
      <c r="L114" s="14"/>
      <c r="M114" s="7"/>
      <c r="N114" s="14"/>
    </row>
    <row r="115" spans="4:35" x14ac:dyDescent="0.35">
      <c r="D115" s="13" t="s">
        <v>199</v>
      </c>
      <c r="E115" s="7"/>
      <c r="F115" s="7"/>
      <c r="G115" s="14"/>
      <c r="H115" s="7"/>
      <c r="I115" s="14"/>
      <c r="J115" s="7"/>
      <c r="K115" s="7"/>
      <c r="L115" s="14"/>
      <c r="M115" s="7"/>
      <c r="N115" s="14"/>
    </row>
    <row r="116" spans="4:35" x14ac:dyDescent="0.35">
      <c r="D116" s="13" t="s">
        <v>200</v>
      </c>
      <c r="E116" s="7"/>
      <c r="F116" s="7"/>
      <c r="G116" s="14"/>
      <c r="H116" s="7"/>
      <c r="I116" s="14"/>
      <c r="J116" s="7"/>
      <c r="K116" s="7"/>
      <c r="L116" s="14"/>
      <c r="M116" s="7"/>
      <c r="N116" s="14"/>
    </row>
    <row r="117" spans="4:35" x14ac:dyDescent="0.35">
      <c r="D117" s="13" t="s">
        <v>201</v>
      </c>
      <c r="E117" s="7"/>
      <c r="F117" s="7"/>
      <c r="G117" s="14"/>
      <c r="H117" s="7"/>
      <c r="I117" s="14"/>
      <c r="J117" s="7"/>
      <c r="K117" s="7"/>
      <c r="L117" s="14"/>
      <c r="M117" s="7"/>
      <c r="N117" s="14"/>
    </row>
    <row r="118" spans="4:35" x14ac:dyDescent="0.35">
      <c r="D118" s="13" t="s">
        <v>202</v>
      </c>
      <c r="E118" s="7"/>
      <c r="F118" s="7"/>
      <c r="G118" s="14"/>
      <c r="H118" s="7"/>
      <c r="I118" s="14"/>
      <c r="J118" s="7"/>
      <c r="K118" s="7"/>
      <c r="L118" s="14"/>
      <c r="M118" s="7"/>
      <c r="N118" s="14"/>
    </row>
    <row r="119" spans="4:35" x14ac:dyDescent="0.35">
      <c r="D119" s="13"/>
      <c r="E119" s="15" t="s">
        <v>178</v>
      </c>
      <c r="F119" s="7"/>
      <c r="G119" s="14"/>
      <c r="H119" s="7"/>
      <c r="I119" s="14"/>
      <c r="J119" s="7"/>
      <c r="K119" s="7"/>
      <c r="L119" s="14"/>
      <c r="M119" s="7"/>
      <c r="N119" s="19">
        <f>E27*N39/100</f>
        <v>908.47776124052018</v>
      </c>
      <c r="R119" s="54">
        <f>J27*R39/100</f>
        <v>269.32364709548767</v>
      </c>
      <c r="S119" s="4"/>
    </row>
    <row r="120" spans="4:35" x14ac:dyDescent="0.35">
      <c r="D120" s="13"/>
      <c r="E120" s="15" t="s">
        <v>197</v>
      </c>
      <c r="F120" s="7"/>
      <c r="G120" s="14"/>
      <c r="H120" s="7"/>
      <c r="I120" s="14"/>
      <c r="J120" s="7"/>
      <c r="K120" s="7"/>
      <c r="L120" s="14"/>
      <c r="M120" s="7"/>
      <c r="N120" s="19">
        <f>E25+E26</f>
        <v>2714.931</v>
      </c>
      <c r="R120" s="54">
        <f>J25+J26</f>
        <v>1005.8</v>
      </c>
    </row>
    <row r="121" spans="4:35" x14ac:dyDescent="0.35">
      <c r="D121" s="13"/>
      <c r="E121" s="15" t="s">
        <v>127</v>
      </c>
      <c r="F121" s="7"/>
      <c r="G121" s="14"/>
      <c r="H121" s="7"/>
      <c r="I121" s="14"/>
      <c r="J121" s="7"/>
      <c r="K121" s="7"/>
      <c r="L121" s="14"/>
      <c r="M121" s="7"/>
      <c r="N121" s="19">
        <f>E26</f>
        <v>2030.3992000000001</v>
      </c>
      <c r="R121" s="54">
        <f>J26</f>
        <v>995</v>
      </c>
    </row>
    <row r="122" spans="4:35" x14ac:dyDescent="0.35">
      <c r="D122" s="13"/>
      <c r="E122" s="15" t="s">
        <v>179</v>
      </c>
      <c r="F122" s="7"/>
      <c r="G122" s="14"/>
      <c r="H122" s="15"/>
      <c r="I122" s="14"/>
      <c r="J122" s="7"/>
      <c r="K122" s="7"/>
      <c r="L122" s="14"/>
      <c r="M122" s="7"/>
      <c r="N122" s="19">
        <f>N121*L36/100</f>
        <v>348.19344203722625</v>
      </c>
      <c r="R122" s="54">
        <f>J26*P36/100</f>
        <v>79.659226524144273</v>
      </c>
      <c r="T122" s="15"/>
      <c r="U122" s="7"/>
      <c r="V122" s="7"/>
      <c r="W122" s="7"/>
      <c r="X122" s="7"/>
      <c r="Y122" s="7"/>
      <c r="Z122" s="7"/>
      <c r="AA122" s="7"/>
      <c r="AB122" s="7"/>
      <c r="AC122" s="7"/>
      <c r="AD122" s="7"/>
      <c r="AE122" s="7"/>
      <c r="AF122" s="7"/>
      <c r="AG122" s="7"/>
      <c r="AH122" s="7"/>
      <c r="AI122" s="7"/>
    </row>
    <row r="123" spans="4:35" x14ac:dyDescent="0.35">
      <c r="D123" s="13"/>
      <c r="E123" s="15" t="s">
        <v>256</v>
      </c>
      <c r="F123" s="7"/>
      <c r="G123" s="14"/>
      <c r="H123" s="7"/>
      <c r="I123" s="14"/>
      <c r="J123" s="7"/>
      <c r="K123" s="7"/>
      <c r="L123" s="14"/>
      <c r="M123" s="7"/>
      <c r="N123" s="19">
        <f>N120-N121+N122</f>
        <v>1032.7252420372263</v>
      </c>
      <c r="P123" s="15"/>
      <c r="Q123" s="7"/>
      <c r="R123" s="19">
        <f>R120-R121+R122</f>
        <v>90.459226524144228</v>
      </c>
      <c r="T123" s="7"/>
      <c r="U123" s="7"/>
      <c r="V123" s="7"/>
      <c r="W123" s="7"/>
      <c r="X123" s="7"/>
      <c r="Y123" s="7"/>
      <c r="Z123" s="7"/>
      <c r="AA123" s="7"/>
      <c r="AB123" s="7"/>
      <c r="AC123" s="7"/>
      <c r="AD123" s="7"/>
      <c r="AE123" s="7"/>
      <c r="AF123" s="7"/>
      <c r="AG123" s="7"/>
      <c r="AH123" s="7"/>
      <c r="AI123" s="7"/>
    </row>
    <row r="124" spans="4:35" x14ac:dyDescent="0.35">
      <c r="D124" s="13"/>
      <c r="E124" s="15" t="s">
        <v>255</v>
      </c>
      <c r="F124" s="7"/>
      <c r="G124" s="14"/>
      <c r="H124" s="7"/>
      <c r="I124" s="14"/>
      <c r="J124" s="7"/>
      <c r="K124" s="7"/>
      <c r="L124" s="14"/>
      <c r="M124" s="7"/>
      <c r="N124" s="19">
        <f>N123*2*L272</f>
        <v>206.54504840744528</v>
      </c>
      <c r="P124" s="15"/>
      <c r="Q124" s="7"/>
      <c r="R124" s="19">
        <f>R123*2*L272</f>
        <v>18.091845304828848</v>
      </c>
      <c r="T124" s="15"/>
      <c r="U124" s="7"/>
      <c r="V124" s="7"/>
      <c r="W124" s="7"/>
      <c r="X124" s="7"/>
      <c r="Y124" s="7"/>
      <c r="Z124" s="7"/>
      <c r="AA124" s="7"/>
      <c r="AB124" s="7"/>
      <c r="AC124" s="7"/>
      <c r="AD124" s="7"/>
      <c r="AE124" s="7"/>
      <c r="AF124" s="7"/>
      <c r="AG124" s="7"/>
      <c r="AH124" s="7"/>
      <c r="AI124" s="7"/>
    </row>
    <row r="125" spans="4:35" x14ac:dyDescent="0.35">
      <c r="D125" s="13"/>
      <c r="E125" s="15" t="s">
        <v>180</v>
      </c>
      <c r="F125" s="7"/>
      <c r="G125" s="14"/>
      <c r="H125" s="7"/>
      <c r="I125" s="14"/>
      <c r="J125" s="7"/>
      <c r="K125" s="7"/>
      <c r="L125" s="14"/>
      <c r="M125" s="7"/>
      <c r="N125" s="19">
        <f>N119-N124</f>
        <v>701.9327128330749</v>
      </c>
      <c r="O125" s="7"/>
      <c r="P125" s="15"/>
      <c r="Q125" s="7"/>
      <c r="R125" s="19">
        <f>R119-R124</f>
        <v>251.23180179065884</v>
      </c>
    </row>
    <row r="126" spans="4:35" x14ac:dyDescent="0.35">
      <c r="D126" s="13"/>
      <c r="E126" s="7"/>
      <c r="F126" s="7"/>
      <c r="G126" s="14"/>
      <c r="H126" s="7"/>
      <c r="I126" s="14"/>
      <c r="J126" s="7"/>
      <c r="K126" s="7"/>
      <c r="L126" s="14"/>
      <c r="M126" s="7"/>
      <c r="N126" s="14"/>
      <c r="P126" s="15" t="s">
        <v>194</v>
      </c>
      <c r="Q126" s="7"/>
    </row>
    <row r="127" spans="4:35" x14ac:dyDescent="0.35">
      <c r="D127" s="57" t="s">
        <v>184</v>
      </c>
      <c r="E127" s="7"/>
      <c r="F127" s="7"/>
      <c r="G127" s="14"/>
      <c r="H127" s="7"/>
      <c r="I127" s="14"/>
      <c r="J127" s="42" t="s">
        <v>70</v>
      </c>
      <c r="K127" s="32"/>
      <c r="L127" s="42" t="s">
        <v>74</v>
      </c>
      <c r="M127" s="42"/>
      <c r="N127" s="42" t="s">
        <v>72</v>
      </c>
      <c r="O127" s="52"/>
      <c r="P127" s="42" t="s">
        <v>74</v>
      </c>
      <c r="Q127" s="42"/>
      <c r="R127" s="42" t="s">
        <v>72</v>
      </c>
    </row>
    <row r="128" spans="4:35" x14ac:dyDescent="0.35">
      <c r="D128" s="13"/>
      <c r="E128" s="6" t="s">
        <v>181</v>
      </c>
      <c r="F128" s="7"/>
      <c r="G128" s="14"/>
      <c r="H128" s="7"/>
      <c r="I128" s="14"/>
      <c r="J128" s="19">
        <f>E26*L36/100</f>
        <v>348.19344203722625</v>
      </c>
      <c r="K128" s="19"/>
      <c r="L128" s="19">
        <f>E26*L37/100</f>
        <v>821.58874256532977</v>
      </c>
      <c r="M128" s="19"/>
      <c r="N128" s="19">
        <f>E26*L38/100</f>
        <v>475.71255241170189</v>
      </c>
      <c r="O128" s="54"/>
      <c r="P128" s="19">
        <f>J26*P37/100</f>
        <v>368.2888614106181</v>
      </c>
      <c r="Q128" s="19"/>
      <c r="R128" s="19">
        <f>J26*P38/100</f>
        <v>148.06796975832296</v>
      </c>
    </row>
    <row r="129" spans="4:18" x14ac:dyDescent="0.35">
      <c r="D129" s="13"/>
      <c r="E129" s="15" t="s">
        <v>182</v>
      </c>
      <c r="F129" s="7"/>
      <c r="G129" s="14"/>
      <c r="H129" s="7"/>
      <c r="I129" s="14"/>
      <c r="J129" s="19">
        <f>N125*N36/100</f>
        <v>37.803389890060096</v>
      </c>
      <c r="K129" s="19"/>
      <c r="L129" s="19">
        <f>N125*N37/100</f>
        <v>46.721902765388656</v>
      </c>
      <c r="M129" s="19"/>
      <c r="N129" s="19">
        <f>N125*N38/100</f>
        <v>567.86888720920763</v>
      </c>
      <c r="O129" s="54"/>
      <c r="P129" s="19">
        <f>R125*R37/100</f>
        <v>27.42499647545057</v>
      </c>
      <c r="Q129" s="19"/>
      <c r="R129" s="19">
        <f>R125*R38/100</f>
        <v>192.65553681587738</v>
      </c>
    </row>
    <row r="130" spans="4:18" x14ac:dyDescent="0.35">
      <c r="D130" s="13"/>
      <c r="E130" s="15" t="s">
        <v>176</v>
      </c>
      <c r="F130" s="7"/>
      <c r="G130" s="14"/>
      <c r="H130" s="7"/>
      <c r="I130" s="14"/>
      <c r="J130" s="19">
        <f>J128+J129</f>
        <v>385.99683192728634</v>
      </c>
      <c r="K130" s="19"/>
      <c r="L130" s="19">
        <f>L128+L129</f>
        <v>868.31064533071844</v>
      </c>
      <c r="M130" s="19"/>
      <c r="N130" s="19">
        <f>N128+N129</f>
        <v>1043.5814396209096</v>
      </c>
      <c r="O130" s="54"/>
      <c r="P130" s="19">
        <f>P128+P129</f>
        <v>395.71385788606869</v>
      </c>
      <c r="Q130" s="19"/>
      <c r="R130" s="19">
        <f>R128+R129</f>
        <v>340.72350657420031</v>
      </c>
    </row>
    <row r="131" spans="4:18" x14ac:dyDescent="0.35">
      <c r="D131" s="13"/>
      <c r="E131" s="15" t="s">
        <v>183</v>
      </c>
      <c r="F131" s="7"/>
      <c r="G131" s="14"/>
      <c r="H131" s="7"/>
      <c r="I131" s="14"/>
      <c r="J131" s="7"/>
      <c r="K131" s="7"/>
      <c r="L131" s="19">
        <f>L130*L54</f>
        <v>331.37265635204238</v>
      </c>
      <c r="M131" s="19"/>
      <c r="N131" s="19">
        <f>N130*N54</f>
        <v>469.4886103606438</v>
      </c>
      <c r="P131" s="19">
        <f>P130*P54</f>
        <v>130.58557310240266</v>
      </c>
      <c r="Q131" s="19"/>
      <c r="R131" s="19">
        <f>R130*R54</f>
        <v>126.06769743245411</v>
      </c>
    </row>
    <row r="132" spans="4:18" x14ac:dyDescent="0.35">
      <c r="D132" s="13"/>
      <c r="E132" s="7"/>
      <c r="F132" s="13" t="s">
        <v>84</v>
      </c>
      <c r="G132" s="14"/>
      <c r="H132" s="7"/>
      <c r="I132" s="14"/>
      <c r="J132" s="7"/>
      <c r="K132" s="7"/>
      <c r="L132" s="19">
        <f>L$131*L58</f>
        <v>12.994179851151459</v>
      </c>
      <c r="M132" s="19"/>
      <c r="N132" s="19">
        <f>N$131*N58</f>
        <v>72.496453705114916</v>
      </c>
      <c r="P132" s="19">
        <f>P$131*P58</f>
        <v>5.1206772506166329</v>
      </c>
      <c r="Q132" s="19"/>
      <c r="R132" s="19">
        <f>R$131*R58</f>
        <v>19.466842834806467</v>
      </c>
    </row>
    <row r="133" spans="4:18" x14ac:dyDescent="0.35">
      <c r="D133" s="13"/>
      <c r="E133" s="7"/>
      <c r="F133" s="13" t="s">
        <v>85</v>
      </c>
      <c r="G133" s="14"/>
      <c r="H133" s="7"/>
      <c r="I133" s="14"/>
      <c r="J133" s="7"/>
      <c r="K133" s="7"/>
      <c r="L133" s="19">
        <f>L$131*L59</f>
        <v>119.24836202469363</v>
      </c>
      <c r="M133" s="19"/>
      <c r="N133" s="19">
        <f>N$131*N59</f>
        <v>184.69951574190736</v>
      </c>
      <c r="P133" s="19">
        <f>P$131*P59</f>
        <v>46.99275995776177</v>
      </c>
      <c r="Q133" s="19"/>
      <c r="R133" s="19">
        <f>R$131*R59</f>
        <v>49.595756217781663</v>
      </c>
    </row>
    <row r="134" spans="4:18" x14ac:dyDescent="0.35">
      <c r="D134" s="13"/>
      <c r="E134" s="7"/>
      <c r="F134" s="13" t="s">
        <v>86</v>
      </c>
      <c r="G134" s="14"/>
      <c r="H134" s="7"/>
      <c r="I134" s="14"/>
      <c r="J134" s="7"/>
      <c r="K134" s="7"/>
      <c r="L134" s="19">
        <f>L$131*L60</f>
        <v>132.24254187584512</v>
      </c>
      <c r="M134" s="19"/>
      <c r="N134" s="19">
        <f>N$131*N60</f>
        <v>257.19596944702226</v>
      </c>
      <c r="P134" s="19">
        <f>P$131*P60</f>
        <v>52.113437208378407</v>
      </c>
      <c r="Q134" s="19"/>
      <c r="R134" s="19">
        <f>R$131*R60</f>
        <v>69.062599052588126</v>
      </c>
    </row>
    <row r="135" spans="4:18" x14ac:dyDescent="0.35">
      <c r="D135" s="13"/>
      <c r="E135" s="7"/>
      <c r="F135" s="13" t="s">
        <v>87</v>
      </c>
      <c r="G135" s="14"/>
      <c r="H135" s="7"/>
      <c r="I135" s="14"/>
      <c r="J135" s="7"/>
      <c r="K135" s="7"/>
      <c r="L135" s="19">
        <f>L$131*L61</f>
        <v>318.37847650089088</v>
      </c>
      <c r="M135" s="19"/>
      <c r="N135" s="19">
        <f>N$131*N61</f>
        <v>396.99215665552885</v>
      </c>
      <c r="P135" s="19">
        <f>P$131*P61</f>
        <v>125.46489585178603</v>
      </c>
      <c r="Q135" s="19"/>
      <c r="R135" s="19">
        <f>R$131*R61</f>
        <v>106.60085459764764</v>
      </c>
    </row>
    <row r="136" spans="4:18" x14ac:dyDescent="0.35">
      <c r="D136" s="13"/>
      <c r="E136" s="7"/>
      <c r="F136" s="13" t="s">
        <v>88</v>
      </c>
      <c r="G136" s="14"/>
      <c r="H136" s="7"/>
      <c r="I136" s="14"/>
      <c r="J136" s="7"/>
      <c r="K136" s="7"/>
      <c r="L136" s="19">
        <f>L$131*L62</f>
        <v>199.13011447619724</v>
      </c>
      <c r="M136" s="19"/>
      <c r="N136" s="19">
        <f>N$131*N62</f>
        <v>212.29264091362151</v>
      </c>
      <c r="P136" s="19">
        <f>P$131*P62</f>
        <v>78.472135894024234</v>
      </c>
      <c r="Q136" s="19"/>
      <c r="R136" s="19">
        <f>R$131*R62</f>
        <v>57.005098379865977</v>
      </c>
    </row>
    <row r="137" spans="4:18" x14ac:dyDescent="0.35">
      <c r="D137" s="13"/>
      <c r="E137" s="7"/>
      <c r="F137" s="7"/>
      <c r="G137" s="14"/>
      <c r="H137" s="7"/>
      <c r="I137" s="14"/>
      <c r="J137" s="7"/>
      <c r="K137" s="7"/>
      <c r="L137" s="14"/>
      <c r="M137" s="7"/>
      <c r="N137" s="14"/>
    </row>
    <row r="138" spans="4:18" x14ac:dyDescent="0.35">
      <c r="D138" s="13" t="s">
        <v>185</v>
      </c>
      <c r="E138" s="7"/>
      <c r="F138" s="7"/>
      <c r="G138" s="14"/>
      <c r="H138" s="7"/>
      <c r="I138" s="14"/>
      <c r="J138" s="7"/>
      <c r="K138" s="7"/>
      <c r="L138" s="14"/>
      <c r="M138" s="7"/>
      <c r="N138" s="14"/>
    </row>
    <row r="139" spans="4:18" x14ac:dyDescent="0.35">
      <c r="D139" s="13"/>
      <c r="E139" s="7"/>
      <c r="F139" s="13" t="s">
        <v>84</v>
      </c>
      <c r="G139" s="14"/>
      <c r="H139" s="7"/>
      <c r="I139" s="14"/>
      <c r="J139" s="7"/>
      <c r="K139" s="7"/>
      <c r="L139" s="16">
        <f>L132/L104</f>
        <v>1.7662619562252642</v>
      </c>
      <c r="M139" s="16"/>
      <c r="N139" s="16">
        <f>N132/N104</f>
        <v>7.3634270759252871</v>
      </c>
      <c r="P139" s="16">
        <f>P132/P104</f>
        <v>1.2751861612375044</v>
      </c>
      <c r="Q139" s="16"/>
      <c r="R139" s="16">
        <f>R132/R104</f>
        <v>3.6224191076404653</v>
      </c>
    </row>
    <row r="140" spans="4:18" x14ac:dyDescent="0.35">
      <c r="D140" s="13"/>
      <c r="E140" s="7"/>
      <c r="F140" s="13" t="s">
        <v>85</v>
      </c>
      <c r="G140" s="14"/>
      <c r="H140" s="7"/>
      <c r="I140" s="14"/>
      <c r="J140" s="7"/>
      <c r="K140" s="7"/>
      <c r="L140" s="16">
        <f>L133/L105</f>
        <v>22.845563831588358</v>
      </c>
      <c r="M140" s="16"/>
      <c r="N140" s="16">
        <f>N133/N105</f>
        <v>32.329670646749619</v>
      </c>
      <c r="P140" s="16">
        <f>P133/P105</f>
        <v>16.493786066688099</v>
      </c>
      <c r="Q140" s="16"/>
      <c r="R140" s="16">
        <f>R133/R105</f>
        <v>15.904498745890361</v>
      </c>
    </row>
    <row r="141" spans="4:18" x14ac:dyDescent="0.35">
      <c r="D141" s="13"/>
      <c r="E141" s="7"/>
      <c r="F141" s="13" t="s">
        <v>86</v>
      </c>
      <c r="G141" s="14"/>
      <c r="H141" s="7"/>
      <c r="I141" s="14"/>
      <c r="J141" s="7"/>
      <c r="K141" s="7"/>
      <c r="L141" s="16">
        <f>L134/L106</f>
        <v>24.383584939732959</v>
      </c>
      <c r="M141" s="16"/>
      <c r="N141" s="16">
        <f>N134/N106</f>
        <v>39.693097722674906</v>
      </c>
      <c r="P141" s="16">
        <f>P134/P106</f>
        <v>17.604189439123662</v>
      </c>
      <c r="Q141" s="16"/>
      <c r="R141" s="16">
        <f>R134/R106</f>
        <v>19.526917853530829</v>
      </c>
    </row>
    <row r="142" spans="4:18" x14ac:dyDescent="0.35">
      <c r="D142" s="13"/>
      <c r="E142" s="7"/>
      <c r="F142" s="13" t="s">
        <v>87</v>
      </c>
      <c r="G142" s="14"/>
      <c r="H142" s="7"/>
      <c r="I142" s="14"/>
      <c r="J142" s="7"/>
      <c r="K142" s="7"/>
      <c r="L142" s="16">
        <f>L135/L107</f>
        <v>67.927837298521368</v>
      </c>
      <c r="M142" s="16"/>
      <c r="N142" s="16">
        <f>N135/N107</f>
        <v>96.097780532606919</v>
      </c>
      <c r="P142" s="16">
        <f>P135/P107</f>
        <v>49.041784419671821</v>
      </c>
      <c r="Q142" s="16"/>
      <c r="R142" s="16">
        <f>R135/R107</f>
        <v>47.275057227264277</v>
      </c>
    </row>
    <row r="143" spans="4:18" x14ac:dyDescent="0.35">
      <c r="D143" s="13"/>
      <c r="E143" s="7"/>
      <c r="F143" s="13" t="s">
        <v>88</v>
      </c>
      <c r="G143" s="14"/>
      <c r="H143" s="7"/>
      <c r="I143" s="14"/>
      <c r="J143" s="7"/>
      <c r="K143" s="7"/>
      <c r="L143" s="16">
        <f>L136/L108</f>
        <v>46.28785238516592</v>
      </c>
      <c r="M143" s="16"/>
      <c r="N143" s="16">
        <f>N136/N108</f>
        <v>63.768109885857292</v>
      </c>
      <c r="P143" s="16">
        <f>P136/P108</f>
        <v>33.418388810861089</v>
      </c>
      <c r="Q143" s="16"/>
      <c r="R143" s="16">
        <f>R136/R108</f>
        <v>31.370558481373905</v>
      </c>
    </row>
    <row r="144" spans="4:18" x14ac:dyDescent="0.35">
      <c r="D144" s="13"/>
      <c r="E144" s="7"/>
      <c r="F144" s="13"/>
      <c r="G144" s="14"/>
      <c r="H144" s="7"/>
      <c r="I144" s="14"/>
      <c r="J144" s="7"/>
      <c r="K144" s="7"/>
      <c r="L144" s="16"/>
      <c r="M144" s="16"/>
      <c r="N144" s="16"/>
      <c r="P144" s="16"/>
      <c r="Q144" s="16"/>
      <c r="R144" s="16"/>
    </row>
    <row r="145" spans="1:18" x14ac:dyDescent="0.35">
      <c r="D145" s="13"/>
      <c r="E145" s="7"/>
      <c r="F145" s="13"/>
      <c r="G145" s="14"/>
      <c r="H145" s="7"/>
      <c r="I145" s="14"/>
      <c r="J145" s="7"/>
      <c r="K145" s="7"/>
      <c r="L145" s="14"/>
      <c r="M145" s="7"/>
      <c r="N145" s="14"/>
      <c r="P145" s="15" t="s">
        <v>194</v>
      </c>
      <c r="Q145" s="7"/>
      <c r="R145" s="15" t="s">
        <v>194</v>
      </c>
    </row>
    <row r="146" spans="1:18" x14ac:dyDescent="0.35">
      <c r="D146" s="50" t="s">
        <v>317</v>
      </c>
      <c r="E146" s="49"/>
      <c r="F146" s="50"/>
      <c r="G146" s="51"/>
      <c r="H146" s="49"/>
      <c r="I146" s="51"/>
      <c r="J146" s="49"/>
      <c r="K146" s="7"/>
      <c r="L146" s="31" t="s">
        <v>74</v>
      </c>
      <c r="M146" s="31"/>
      <c r="N146" s="31" t="s">
        <v>72</v>
      </c>
      <c r="O146" s="53"/>
      <c r="P146" s="31" t="s">
        <v>74</v>
      </c>
      <c r="Q146" s="31"/>
      <c r="R146" s="31" t="s">
        <v>72</v>
      </c>
    </row>
    <row r="147" spans="1:18" x14ac:dyDescent="0.35">
      <c r="D147" s="13"/>
      <c r="E147" s="7"/>
      <c r="F147" s="13" t="s">
        <v>84</v>
      </c>
      <c r="G147" s="14"/>
      <c r="H147" s="7"/>
      <c r="I147" s="14"/>
      <c r="J147" s="7"/>
      <c r="K147" s="7"/>
      <c r="L147" s="16">
        <f>1000*L139/L$98</f>
        <v>0.77377856737081874</v>
      </c>
      <c r="M147" s="16"/>
      <c r="N147" s="16">
        <f>1000*N139/N$98</f>
        <v>3.4638440581063601</v>
      </c>
      <c r="P147" s="16">
        <f>1000*P139/P$98</f>
        <v>0.52541663009373896</v>
      </c>
      <c r="Q147" s="16"/>
      <c r="R147" s="16">
        <f>1000*R139/R$98</f>
        <v>1.6786001425581396</v>
      </c>
    </row>
    <row r="148" spans="1:18" x14ac:dyDescent="0.35">
      <c r="D148" s="13"/>
      <c r="E148" s="7"/>
      <c r="F148" s="13" t="s">
        <v>85</v>
      </c>
      <c r="G148" s="14"/>
      <c r="H148" s="7"/>
      <c r="I148" s="14"/>
      <c r="J148" s="7"/>
      <c r="K148" s="7"/>
      <c r="L148" s="16">
        <f>1000*L140/L$98</f>
        <v>10.00837253504797</v>
      </c>
      <c r="M148" s="16"/>
      <c r="N148" s="16">
        <f>1000*N140/N$98</f>
        <v>15.208263274096085</v>
      </c>
      <c r="P148" s="16">
        <f>1000*P140/P$98</f>
        <v>6.7959563521582611</v>
      </c>
      <c r="Q148" s="16"/>
      <c r="R148" s="16">
        <f>1000*R140/R$98</f>
        <v>7.3700179545367757</v>
      </c>
    </row>
    <row r="149" spans="1:18" x14ac:dyDescent="0.35">
      <c r="D149" s="13"/>
      <c r="E149" s="7"/>
      <c r="F149" s="13" t="s">
        <v>86</v>
      </c>
      <c r="G149" s="14"/>
      <c r="H149" s="7"/>
      <c r="I149" s="14"/>
      <c r="J149" s="7"/>
      <c r="K149" s="7"/>
      <c r="L149" s="16">
        <f>1000*L141/L$98</f>
        <v>10.682161474141456</v>
      </c>
      <c r="M149" s="16"/>
      <c r="N149" s="16">
        <f>1000*N141/N$98</f>
        <v>18.672107332202447</v>
      </c>
      <c r="P149" s="16">
        <f>1000*P141/P$98</f>
        <v>7.2534773131947512</v>
      </c>
      <c r="Q149" s="16"/>
      <c r="R149" s="16">
        <f>1000*R141/R$98</f>
        <v>9.0486180970949146</v>
      </c>
    </row>
    <row r="150" spans="1:18" x14ac:dyDescent="0.35">
      <c r="D150" s="13"/>
      <c r="E150" s="7"/>
      <c r="F150" s="13" t="s">
        <v>87</v>
      </c>
      <c r="G150" s="14"/>
      <c r="H150" s="7"/>
      <c r="I150" s="14"/>
      <c r="J150" s="7"/>
      <c r="K150" s="7"/>
      <c r="L150" s="16">
        <f>1000*L142/L$98</f>
        <v>29.758385750309639</v>
      </c>
      <c r="M150" s="16"/>
      <c r="N150" s="16">
        <f>1000*N142/N$98</f>
        <v>45.205543921714117</v>
      </c>
      <c r="O150" s="7"/>
      <c r="P150" s="16">
        <f>1000*P142/P$98</f>
        <v>20.206750893972732</v>
      </c>
      <c r="Q150" s="16"/>
      <c r="R150" s="16">
        <f>1000*R142/R$98</f>
        <v>21.906884720697068</v>
      </c>
    </row>
    <row r="151" spans="1:18" x14ac:dyDescent="0.35">
      <c r="D151" s="13"/>
      <c r="E151" s="7"/>
      <c r="F151" s="13" t="s">
        <v>88</v>
      </c>
      <c r="G151" s="14"/>
      <c r="H151" s="7"/>
      <c r="I151" s="14"/>
      <c r="J151" s="7"/>
      <c r="K151" s="7"/>
      <c r="L151" s="16">
        <f>1000*L143/L$98</f>
        <v>20.278163145069563</v>
      </c>
      <c r="M151" s="16"/>
      <c r="N151" s="16">
        <f>1000*N143/N$98</f>
        <v>29.99728064761803</v>
      </c>
      <c r="O151" s="7"/>
      <c r="P151" s="16">
        <f>1000*P143/P$98</f>
        <v>13.7694226661974</v>
      </c>
      <c r="Q151" s="16"/>
      <c r="R151" s="16">
        <f>1000*R143/R$98</f>
        <v>14.536866766160289</v>
      </c>
    </row>
    <row r="152" spans="1:18" x14ac:dyDescent="0.35">
      <c r="D152" s="13"/>
      <c r="E152" s="7"/>
      <c r="F152" s="13" t="s">
        <v>186</v>
      </c>
      <c r="G152" s="14"/>
      <c r="H152" s="7"/>
      <c r="I152" s="14"/>
      <c r="J152" s="7"/>
      <c r="K152" s="7"/>
      <c r="L152" s="16">
        <f>L147+L148+L151</f>
        <v>31.06031424748835</v>
      </c>
      <c r="M152" s="16"/>
      <c r="N152" s="16">
        <f>N147+N148+N151</f>
        <v>48.66938797982047</v>
      </c>
      <c r="O152" s="7"/>
      <c r="P152" s="16">
        <f>P147+P148+P151</f>
        <v>21.090795648449401</v>
      </c>
      <c r="Q152" s="16"/>
      <c r="R152" s="16">
        <f>R147+R148+R151</f>
        <v>23.585484863255203</v>
      </c>
    </row>
    <row r="153" spans="1:18" x14ac:dyDescent="0.35">
      <c r="D153" s="13"/>
      <c r="E153" s="7"/>
      <c r="F153" s="7"/>
      <c r="G153" s="6" t="s">
        <v>181</v>
      </c>
      <c r="H153" s="7"/>
      <c r="I153" s="14"/>
      <c r="J153" s="7"/>
      <c r="K153" s="7"/>
      <c r="L153" s="16">
        <f>L152*L128/L130</f>
        <v>29.389026454418804</v>
      </c>
      <c r="M153" s="16"/>
      <c r="N153" s="16">
        <f>N152*N128/N130</f>
        <v>22.185751778611746</v>
      </c>
      <c r="O153" s="7"/>
      <c r="P153" s="16">
        <f>P152*P128/P130</f>
        <v>19.629095521460908</v>
      </c>
      <c r="Q153" s="16"/>
      <c r="R153" s="16">
        <f>R152*R128/R130</f>
        <v>10.249527232742709</v>
      </c>
    </row>
    <row r="154" spans="1:18" x14ac:dyDescent="0.35">
      <c r="D154" s="13"/>
      <c r="E154" s="7"/>
      <c r="F154" s="7"/>
      <c r="G154" s="15" t="s">
        <v>182</v>
      </c>
      <c r="H154" s="7"/>
      <c r="I154" s="14"/>
      <c r="J154" s="7"/>
      <c r="K154" s="7"/>
      <c r="L154" s="16">
        <f>L152*L129/L130</f>
        <v>1.6712877930695422</v>
      </c>
      <c r="M154" s="16"/>
      <c r="N154" s="16">
        <f>N152*N129/N130</f>
        <v>26.483636201208721</v>
      </c>
      <c r="O154" s="7"/>
      <c r="P154" s="16">
        <f>P152*P129/P130</f>
        <v>1.4617001269884928</v>
      </c>
      <c r="Q154" s="16"/>
      <c r="R154" s="16">
        <f>R152*R129/R130</f>
        <v>13.335957630512496</v>
      </c>
    </row>
    <row r="155" spans="1:18" x14ac:dyDescent="0.35">
      <c r="D155" s="13"/>
      <c r="E155" s="7"/>
      <c r="F155" s="7"/>
      <c r="G155" s="14"/>
      <c r="H155" s="7"/>
      <c r="I155" s="14"/>
      <c r="J155" s="7"/>
      <c r="K155" s="7"/>
      <c r="L155" s="14"/>
      <c r="M155" s="7"/>
      <c r="N155" s="14"/>
    </row>
    <row r="157" spans="1:18" x14ac:dyDescent="0.35">
      <c r="A157" s="7" t="s">
        <v>45</v>
      </c>
      <c r="B157" s="7"/>
      <c r="C157" s="7"/>
      <c r="D157" s="7"/>
      <c r="E157" s="7"/>
      <c r="F157" s="7"/>
      <c r="G157" s="8"/>
      <c r="H157" s="8"/>
      <c r="I157" s="8"/>
      <c r="J157" s="8"/>
      <c r="K157" s="8"/>
      <c r="L157" s="8"/>
      <c r="M157" s="8"/>
      <c r="N157" s="8"/>
      <c r="O157" s="8"/>
      <c r="P157" s="7"/>
    </row>
    <row r="158" spans="1:18" x14ac:dyDescent="0.35">
      <c r="A158" s="7"/>
      <c r="B158" s="7"/>
      <c r="C158" s="7"/>
      <c r="D158" s="7"/>
      <c r="E158" s="7"/>
      <c r="F158" s="7"/>
      <c r="G158" s="8"/>
      <c r="H158" s="8"/>
      <c r="I158" s="8"/>
      <c r="J158" s="8"/>
      <c r="K158" s="8"/>
      <c r="L158" s="8"/>
      <c r="M158" s="8"/>
      <c r="N158" s="8"/>
      <c r="O158" s="8"/>
      <c r="P158" s="7"/>
    </row>
    <row r="159" spans="1:18" x14ac:dyDescent="0.35">
      <c r="A159" s="7" t="s">
        <v>47</v>
      </c>
      <c r="B159" s="7"/>
      <c r="C159" s="7"/>
      <c r="D159" s="7"/>
      <c r="E159" s="7"/>
      <c r="F159" s="7"/>
      <c r="G159" s="7"/>
      <c r="H159" s="7"/>
      <c r="I159" s="7"/>
      <c r="J159" s="7"/>
      <c r="K159" s="7"/>
      <c r="L159" s="7"/>
      <c r="M159" s="7"/>
      <c r="N159" s="7"/>
      <c r="O159" s="7"/>
      <c r="P159" s="7"/>
    </row>
    <row r="160" spans="1:18" x14ac:dyDescent="0.35">
      <c r="A160" s="7"/>
      <c r="B160" s="7"/>
      <c r="C160" s="7"/>
      <c r="D160" s="7"/>
      <c r="E160" s="7"/>
      <c r="F160" s="7"/>
      <c r="G160" s="7"/>
      <c r="H160" s="7"/>
      <c r="I160" s="7"/>
      <c r="J160" s="7"/>
      <c r="K160" s="7"/>
      <c r="L160" s="7"/>
      <c r="M160" s="7"/>
      <c r="N160" s="7"/>
      <c r="O160" s="7"/>
      <c r="P160" s="7"/>
    </row>
    <row r="161" spans="1:17" s="7" customFormat="1" x14ac:dyDescent="0.35">
      <c r="A161" s="15" t="s">
        <v>106</v>
      </c>
    </row>
    <row r="162" spans="1:17" x14ac:dyDescent="0.35">
      <c r="A162" s="7"/>
      <c r="B162" s="7"/>
      <c r="C162" s="7"/>
      <c r="D162" s="7"/>
      <c r="E162" s="7"/>
      <c r="F162" s="7"/>
      <c r="G162" s="7"/>
      <c r="H162" s="7"/>
      <c r="I162" s="7"/>
      <c r="J162" s="7"/>
      <c r="K162" s="7"/>
      <c r="L162" s="7"/>
      <c r="M162" s="7"/>
      <c r="N162" s="7"/>
      <c r="O162" s="7"/>
      <c r="P162" s="7"/>
    </row>
    <row r="163" spans="1:17" x14ac:dyDescent="0.35">
      <c r="A163" s="7"/>
      <c r="B163" s="7"/>
      <c r="C163" s="7"/>
      <c r="D163" s="7"/>
      <c r="E163" s="7"/>
      <c r="F163" s="7"/>
      <c r="G163" s="8" t="s">
        <v>73</v>
      </c>
      <c r="H163" s="8"/>
      <c r="I163" s="8"/>
      <c r="J163" s="8"/>
      <c r="K163" s="8"/>
      <c r="L163" s="8" t="s">
        <v>75</v>
      </c>
      <c r="M163" s="8"/>
      <c r="N163" s="8"/>
      <c r="O163" s="8"/>
      <c r="P163" s="7"/>
    </row>
    <row r="164" spans="1:17" x14ac:dyDescent="0.35">
      <c r="A164" s="7"/>
      <c r="B164" s="7"/>
      <c r="C164" s="7"/>
      <c r="D164" s="7"/>
      <c r="E164" s="7"/>
      <c r="F164" s="7"/>
      <c r="G164" s="8" t="s">
        <v>74</v>
      </c>
      <c r="H164" s="8"/>
      <c r="I164" s="8" t="s">
        <v>72</v>
      </c>
      <c r="J164" s="8"/>
      <c r="K164" s="8"/>
      <c r="L164" s="8" t="s">
        <v>74</v>
      </c>
      <c r="M164" s="8"/>
      <c r="N164" s="8" t="s">
        <v>72</v>
      </c>
      <c r="O164" s="8"/>
      <c r="P164" s="7"/>
    </row>
    <row r="165" spans="1:17" x14ac:dyDescent="0.35">
      <c r="A165" s="7" t="s">
        <v>38</v>
      </c>
      <c r="B165" s="7"/>
      <c r="C165" s="7"/>
      <c r="D165" s="7"/>
      <c r="E165" s="7"/>
      <c r="F165" s="7"/>
      <c r="G165" s="7"/>
      <c r="H165" s="7"/>
      <c r="I165" s="7"/>
      <c r="J165" s="7"/>
      <c r="K165" s="7"/>
      <c r="L165" s="7"/>
      <c r="M165" s="7"/>
      <c r="N165" s="7"/>
      <c r="O165" s="7"/>
      <c r="P165" s="7"/>
    </row>
    <row r="166" spans="1:17" s="7" customFormat="1" x14ac:dyDescent="0.35">
      <c r="A166" s="15" t="s">
        <v>101</v>
      </c>
      <c r="G166" s="14">
        <f>10*G36</f>
        <v>40.202802362724242</v>
      </c>
      <c r="H166" s="14"/>
      <c r="I166" s="14">
        <f>10*I36</f>
        <v>17.356879469923005</v>
      </c>
      <c r="J166" s="14"/>
      <c r="K166" s="14"/>
      <c r="L166" s="14">
        <f>10*L36</f>
        <v>171.49013949435474</v>
      </c>
      <c r="N166" s="14">
        <f>10*N36</f>
        <v>53.856144896683332</v>
      </c>
    </row>
    <row r="167" spans="1:17" s="7" customFormat="1" x14ac:dyDescent="0.35">
      <c r="A167" s="15" t="s">
        <v>107</v>
      </c>
      <c r="G167" s="14">
        <f>10*G46</f>
        <v>129.76124038937402</v>
      </c>
      <c r="H167" s="14"/>
      <c r="I167" s="14">
        <f>10*I46</f>
        <v>48.227781252489947</v>
      </c>
      <c r="J167" s="14"/>
      <c r="K167" s="14"/>
      <c r="L167" s="14">
        <f>10*L46</f>
        <v>189.57083069464505</v>
      </c>
      <c r="N167" s="14">
        <f>10*N46</f>
        <v>70.574474495447831</v>
      </c>
    </row>
    <row r="168" spans="1:17" s="7" customFormat="1" x14ac:dyDescent="0.35">
      <c r="A168" s="6" t="s">
        <v>108</v>
      </c>
      <c r="D168" s="14"/>
      <c r="G168" s="14">
        <f>10*G43</f>
        <v>55.076502774389951</v>
      </c>
      <c r="H168" s="14"/>
      <c r="I168" s="14">
        <f>10*I43</f>
        <v>19.054870202797328</v>
      </c>
      <c r="J168" s="14"/>
      <c r="K168" s="14"/>
      <c r="L168" s="14">
        <f>10*L43</f>
        <v>12.693597862097569</v>
      </c>
      <c r="N168" s="14">
        <f>10*N43</f>
        <v>4.4452758595204669</v>
      </c>
    </row>
    <row r="169" spans="1:17" s="7" customFormat="1" x14ac:dyDescent="0.35">
      <c r="A169" s="6" t="s">
        <v>109</v>
      </c>
      <c r="G169" s="14">
        <f>10*G44</f>
        <v>32.633024933663307</v>
      </c>
      <c r="H169" s="14"/>
      <c r="I169" s="14">
        <f>10*I44</f>
        <v>9.3139280034231913</v>
      </c>
      <c r="J169" s="14"/>
      <c r="K169" s="14"/>
      <c r="L169" s="14">
        <f>10*L44</f>
        <v>77.845993601814996</v>
      </c>
      <c r="N169" s="14">
        <f>10*N44</f>
        <v>19.866155284916747</v>
      </c>
    </row>
    <row r="170" spans="1:17" s="7" customFormat="1" x14ac:dyDescent="0.35">
      <c r="A170" s="6" t="s">
        <v>110</v>
      </c>
      <c r="G170" s="14">
        <f>10*G45</f>
        <v>42.051712681320758</v>
      </c>
      <c r="H170" s="14"/>
      <c r="I170" s="14">
        <f>10*I45</f>
        <v>19.858982208479116</v>
      </c>
      <c r="J170" s="14"/>
      <c r="K170" s="14"/>
      <c r="L170" s="14">
        <f>10*L45</f>
        <v>99.03123923073251</v>
      </c>
      <c r="N170" s="14">
        <f>10*N45</f>
        <v>46.263042454827435</v>
      </c>
    </row>
    <row r="171" spans="1:17" x14ac:dyDescent="0.35">
      <c r="A171" s="7" t="s">
        <v>39</v>
      </c>
      <c r="B171" s="7"/>
      <c r="C171" s="7"/>
      <c r="D171" s="7"/>
      <c r="E171" s="7"/>
      <c r="F171" s="7"/>
      <c r="G171" s="14"/>
      <c r="H171" s="14"/>
      <c r="I171" s="14"/>
      <c r="J171" s="14"/>
      <c r="K171" s="14"/>
      <c r="L171" s="14"/>
      <c r="M171" s="7"/>
      <c r="N171" s="7"/>
      <c r="O171" s="7"/>
      <c r="P171" s="7"/>
    </row>
    <row r="172" spans="1:17" x14ac:dyDescent="0.35">
      <c r="A172" s="15" t="s">
        <v>103</v>
      </c>
      <c r="B172" s="7"/>
      <c r="C172" s="7"/>
      <c r="D172" s="7"/>
      <c r="E172" s="7"/>
      <c r="F172" s="22"/>
      <c r="G172" s="14">
        <f>10*G38</f>
        <v>329.87131859472464</v>
      </c>
      <c r="H172" s="14"/>
      <c r="I172" s="14">
        <f>10*I38</f>
        <v>880.71341583956848</v>
      </c>
      <c r="J172" s="14"/>
      <c r="K172" s="14"/>
      <c r="L172" s="14">
        <f>10*L38</f>
        <v>234.29508463739637</v>
      </c>
      <c r="M172" s="7"/>
      <c r="N172" s="14">
        <f>10*N38</f>
        <v>809.00758267445394</v>
      </c>
      <c r="O172" s="7"/>
      <c r="P172" s="65" t="s">
        <v>266</v>
      </c>
      <c r="Q172" s="65"/>
    </row>
    <row r="173" spans="1:17" x14ac:dyDescent="0.35">
      <c r="A173" s="58" t="s">
        <v>262</v>
      </c>
      <c r="B173" s="65"/>
      <c r="C173" s="65"/>
      <c r="D173" s="7"/>
      <c r="E173" s="7"/>
      <c r="F173" s="22"/>
      <c r="G173" s="14"/>
      <c r="H173" s="14"/>
      <c r="I173" s="59">
        <f>I54*I60*I172</f>
        <v>540.05056518417393</v>
      </c>
      <c r="J173" s="14"/>
      <c r="K173" s="14"/>
      <c r="L173" s="14"/>
      <c r="M173" s="7"/>
      <c r="N173" s="59">
        <f>N54*N60*N172</f>
        <v>199.38404576410707</v>
      </c>
      <c r="O173" s="7"/>
      <c r="P173" s="65" t="s">
        <v>267</v>
      </c>
      <c r="Q173" s="65"/>
    </row>
    <row r="174" spans="1:17" x14ac:dyDescent="0.35">
      <c r="A174" s="58" t="s">
        <v>263</v>
      </c>
      <c r="B174" s="65"/>
      <c r="C174" s="65"/>
      <c r="D174" s="7"/>
      <c r="E174" s="7"/>
      <c r="F174" s="22"/>
      <c r="G174" s="14"/>
      <c r="H174" s="14"/>
      <c r="I174" s="59">
        <f>I54*I62*I172</f>
        <v>18.22821336970468</v>
      </c>
      <c r="J174" s="14"/>
      <c r="K174" s="14"/>
      <c r="L174" s="14"/>
      <c r="M174" s="7"/>
      <c r="N174" s="59">
        <f>N54*N62*N172</f>
        <v>164.57398505237236</v>
      </c>
      <c r="O174" s="7"/>
      <c r="P174" s="65" t="s">
        <v>268</v>
      </c>
      <c r="Q174" s="65"/>
    </row>
    <row r="175" spans="1:17" x14ac:dyDescent="0.35">
      <c r="A175" s="7" t="s">
        <v>22</v>
      </c>
      <c r="B175" s="7"/>
      <c r="C175" s="7"/>
      <c r="D175" s="7"/>
      <c r="E175" s="7"/>
      <c r="F175" s="22"/>
      <c r="G175" s="14"/>
      <c r="H175" s="14"/>
      <c r="I175" s="14">
        <f>I172*I52</f>
        <v>322.4346372856898</v>
      </c>
      <c r="J175" s="14"/>
      <c r="K175" s="14"/>
      <c r="L175" s="14"/>
      <c r="M175" s="7"/>
      <c r="N175" s="14">
        <f>N52*N172</f>
        <v>445.04955185797445</v>
      </c>
      <c r="O175" s="7"/>
      <c r="P175" s="65" t="s">
        <v>269</v>
      </c>
      <c r="Q175" s="65"/>
    </row>
    <row r="176" spans="1:17" x14ac:dyDescent="0.35">
      <c r="A176" s="7" t="s">
        <v>33</v>
      </c>
      <c r="B176" s="7"/>
      <c r="C176" s="7"/>
      <c r="D176" s="7"/>
      <c r="E176" s="7"/>
      <c r="F176" s="22"/>
      <c r="G176" s="14">
        <f>10*G37</f>
        <v>500.16463865317701</v>
      </c>
      <c r="H176" s="14"/>
      <c r="I176" s="14">
        <f>10*I37</f>
        <v>53.701924275809183</v>
      </c>
      <c r="J176" s="14"/>
      <c r="K176" s="14"/>
      <c r="L176" s="14">
        <f>10*L37</f>
        <v>404.6439451736041</v>
      </c>
      <c r="M176" s="15"/>
      <c r="N176" s="14">
        <f>10*N37</f>
        <v>66.561797037231813</v>
      </c>
      <c r="O176" s="7"/>
      <c r="P176" s="7"/>
    </row>
    <row r="177" spans="1:25" x14ac:dyDescent="0.35">
      <c r="A177" s="58" t="s">
        <v>262</v>
      </c>
      <c r="B177" s="65"/>
      <c r="C177" s="65"/>
      <c r="D177" s="7"/>
      <c r="E177" s="7"/>
      <c r="F177" s="22"/>
      <c r="G177" s="59">
        <f>G54*G60*G176</f>
        <v>306.79336563778344</v>
      </c>
      <c r="H177" s="14"/>
      <c r="I177" s="14"/>
      <c r="J177" s="14"/>
      <c r="K177" s="14"/>
      <c r="L177" s="59">
        <f>L54*L60*L176</f>
        <v>61.626727890738245</v>
      </c>
      <c r="M177" s="7"/>
      <c r="N177" s="7"/>
      <c r="O177" s="7"/>
      <c r="P177" s="7"/>
    </row>
    <row r="178" spans="1:25" x14ac:dyDescent="0.35">
      <c r="A178" s="58" t="s">
        <v>263</v>
      </c>
      <c r="B178" s="65"/>
      <c r="C178" s="65"/>
      <c r="D178" s="7"/>
      <c r="E178" s="7"/>
      <c r="F178" s="22"/>
      <c r="G178" s="59">
        <f>G54*G62*G176</f>
        <v>11.131076035487007</v>
      </c>
      <c r="H178" s="14"/>
      <c r="I178" s="14"/>
      <c r="J178" s="14"/>
      <c r="K178" s="14"/>
      <c r="L178" s="59">
        <f>L54*L62*L176</f>
        <v>92.79719828130186</v>
      </c>
      <c r="M178" s="7"/>
      <c r="N178" s="7"/>
      <c r="O178" s="7"/>
      <c r="P178" s="7"/>
    </row>
    <row r="179" spans="1:25" x14ac:dyDescent="0.35">
      <c r="A179" s="7" t="s">
        <v>22</v>
      </c>
      <c r="B179" s="7"/>
      <c r="C179" s="7"/>
      <c r="D179" s="7"/>
      <c r="E179" s="7"/>
      <c r="F179" s="22"/>
      <c r="G179" s="14">
        <f>G52*G176</f>
        <v>182.24019697990656</v>
      </c>
      <c r="H179" s="14"/>
      <c r="I179" s="14"/>
      <c r="J179" s="14"/>
      <c r="K179" s="14"/>
      <c r="L179" s="14">
        <f>L52*L176</f>
        <v>250.22001900156397</v>
      </c>
      <c r="M179" s="16"/>
      <c r="N179" s="7"/>
      <c r="O179" s="7"/>
      <c r="P179" s="7"/>
    </row>
    <row r="180" spans="1:25" x14ac:dyDescent="0.35">
      <c r="A180" s="7" t="s">
        <v>40</v>
      </c>
      <c r="B180" s="7"/>
      <c r="C180" s="7"/>
      <c r="D180" s="7"/>
      <c r="E180" s="7"/>
      <c r="F180" s="7"/>
      <c r="G180" s="14">
        <v>1000</v>
      </c>
      <c r="H180" s="7"/>
      <c r="I180" s="14">
        <v>1000</v>
      </c>
      <c r="J180" s="14"/>
      <c r="K180" s="14"/>
      <c r="L180" s="14">
        <v>1000</v>
      </c>
      <c r="M180" s="7"/>
      <c r="N180" s="14">
        <v>1000</v>
      </c>
      <c r="O180" s="15"/>
      <c r="P180" s="7"/>
      <c r="Q180" s="7"/>
      <c r="R180" s="7"/>
      <c r="S180" s="7"/>
      <c r="T180" s="7"/>
      <c r="U180" s="7"/>
      <c r="V180" s="7"/>
    </row>
    <row r="181" spans="1:25" x14ac:dyDescent="0.35">
      <c r="A181" s="7"/>
      <c r="B181" s="7"/>
      <c r="C181" s="7"/>
      <c r="D181" s="7"/>
      <c r="E181" s="7"/>
      <c r="F181" s="7"/>
      <c r="G181" s="14">
        <f>G166+G167+G172+G177+G178+G179</f>
        <v>1000</v>
      </c>
      <c r="H181" s="20" t="s">
        <v>63</v>
      </c>
      <c r="I181" s="20">
        <f>I166+I167+I173+I174+I175+I176</f>
        <v>1000.0000008377906</v>
      </c>
      <c r="J181" s="20"/>
      <c r="K181" s="41"/>
      <c r="L181" s="14">
        <f>L166+L167+L172+L177+L178+L179</f>
        <v>1000.0000000000002</v>
      </c>
      <c r="M181" s="31" t="s">
        <v>63</v>
      </c>
      <c r="N181" s="20">
        <f>N166+N167+N173+N174+N175+N176</f>
        <v>999.99999910381689</v>
      </c>
      <c r="O181" s="7"/>
      <c r="P181" s="7"/>
    </row>
    <row r="182" spans="1:25" x14ac:dyDescent="0.35">
      <c r="A182" s="7"/>
      <c r="B182" s="7"/>
      <c r="C182" s="7"/>
      <c r="D182" s="7"/>
      <c r="E182" s="7"/>
      <c r="F182" s="7"/>
      <c r="G182" s="14"/>
      <c r="H182" s="14"/>
      <c r="I182" s="14"/>
      <c r="J182" s="14"/>
      <c r="K182" s="14"/>
      <c r="L182" s="14"/>
      <c r="M182" s="7"/>
      <c r="N182" s="7"/>
      <c r="O182" s="7"/>
      <c r="P182" s="7"/>
    </row>
    <row r="183" spans="1:25" x14ac:dyDescent="0.35">
      <c r="A183" s="7" t="s">
        <v>46</v>
      </c>
      <c r="B183" s="7"/>
      <c r="C183" s="7"/>
      <c r="D183" s="7"/>
      <c r="E183" s="7"/>
      <c r="F183" s="7"/>
      <c r="G183" s="14"/>
      <c r="H183" s="14"/>
      <c r="I183" s="14"/>
      <c r="J183" s="14"/>
      <c r="K183" s="14"/>
      <c r="L183" s="14"/>
      <c r="M183" s="7"/>
      <c r="N183" s="7"/>
      <c r="O183" s="7"/>
      <c r="P183" s="7"/>
    </row>
    <row r="184" spans="1:25" x14ac:dyDescent="0.35">
      <c r="A184" s="58" t="s">
        <v>264</v>
      </c>
      <c r="B184" s="65"/>
      <c r="C184" s="65"/>
      <c r="D184" s="7"/>
      <c r="E184" s="7"/>
      <c r="F184" s="7"/>
      <c r="G184" s="59">
        <f>G106</f>
        <v>38.303711158223543</v>
      </c>
      <c r="H184" s="14"/>
      <c r="I184" s="59">
        <f>I106</f>
        <v>39.622462898078204</v>
      </c>
      <c r="J184" s="14"/>
      <c r="K184" s="14"/>
      <c r="L184" s="59">
        <f>L106</f>
        <v>5.4234249066615465</v>
      </c>
      <c r="M184" s="7"/>
      <c r="N184" s="59">
        <f>N106</f>
        <v>6.4796144469242973</v>
      </c>
      <c r="O184" s="7"/>
      <c r="P184" s="7"/>
    </row>
    <row r="185" spans="1:25" x14ac:dyDescent="0.35">
      <c r="A185" s="15" t="s">
        <v>150</v>
      </c>
      <c r="B185" s="7"/>
      <c r="C185" s="7"/>
      <c r="D185" s="7"/>
      <c r="E185" s="7"/>
      <c r="F185" s="7"/>
      <c r="G185" s="47">
        <v>100</v>
      </c>
      <c r="H185" s="14"/>
      <c r="I185" s="47">
        <v>100</v>
      </c>
      <c r="J185" s="14"/>
      <c r="K185" s="14"/>
      <c r="L185" s="47">
        <v>50</v>
      </c>
      <c r="M185" s="7"/>
      <c r="N185" s="47">
        <v>50</v>
      </c>
      <c r="O185" s="7"/>
      <c r="P185" s="7"/>
      <c r="Q185" s="7"/>
      <c r="R185" s="7"/>
      <c r="S185" s="7"/>
      <c r="T185" s="7"/>
      <c r="U185" s="7"/>
      <c r="V185" s="7"/>
      <c r="W185" s="7"/>
      <c r="X185" s="7"/>
      <c r="Y185" s="7"/>
    </row>
    <row r="186" spans="1:25" x14ac:dyDescent="0.35">
      <c r="A186" s="7" t="s">
        <v>26</v>
      </c>
      <c r="B186" s="7"/>
      <c r="C186" s="7"/>
      <c r="D186" s="7"/>
      <c r="E186" s="7"/>
      <c r="F186" s="7"/>
      <c r="G186" s="14">
        <f>G184/G185*100</f>
        <v>38.303711158223543</v>
      </c>
      <c r="H186" s="14"/>
      <c r="I186" s="14">
        <f>I184/I185*100</f>
        <v>39.622462898078204</v>
      </c>
      <c r="J186" s="14"/>
      <c r="K186" s="14"/>
      <c r="L186" s="14">
        <f>L184/L185*100</f>
        <v>10.846849813323093</v>
      </c>
      <c r="M186" s="7"/>
      <c r="N186" s="14">
        <f>N184/N185*100</f>
        <v>12.959228893848596</v>
      </c>
      <c r="O186" s="7"/>
      <c r="P186" s="7"/>
      <c r="Q186" s="7"/>
      <c r="R186" s="7"/>
      <c r="S186" s="7"/>
      <c r="T186" s="7"/>
      <c r="U186" s="7"/>
      <c r="V186" s="7"/>
      <c r="W186" s="7"/>
      <c r="X186" s="7"/>
      <c r="Y186" s="7"/>
    </row>
    <row r="187" spans="1:25" x14ac:dyDescent="0.35">
      <c r="A187" s="58" t="s">
        <v>265</v>
      </c>
      <c r="B187" s="65"/>
      <c r="C187" s="65"/>
      <c r="D187" s="7"/>
      <c r="E187" s="7"/>
      <c r="F187" s="7"/>
      <c r="G187" s="59">
        <f>G108</f>
        <v>21.370062793782175</v>
      </c>
      <c r="H187" s="14"/>
      <c r="I187" s="59">
        <f>I108</f>
        <v>18.632527708411089</v>
      </c>
      <c r="J187" s="14"/>
      <c r="K187" s="14"/>
      <c r="L187" s="59">
        <f>L108</f>
        <v>4.3019951070361904</v>
      </c>
      <c r="M187" s="7"/>
      <c r="N187" s="59">
        <f>N108</f>
        <v>3.3291349123193079</v>
      </c>
      <c r="O187" s="7"/>
      <c r="P187" s="7"/>
      <c r="Q187" s="7"/>
      <c r="R187" s="7"/>
      <c r="S187" s="7"/>
      <c r="T187" s="7"/>
      <c r="U187" s="7"/>
      <c r="V187" s="7"/>
      <c r="W187" s="7"/>
      <c r="X187" s="7"/>
      <c r="Y187" s="7"/>
    </row>
    <row r="188" spans="1:25" x14ac:dyDescent="0.35">
      <c r="A188" s="7" t="s">
        <v>20</v>
      </c>
      <c r="B188" s="7"/>
      <c r="C188" s="7"/>
      <c r="D188" s="7"/>
      <c r="E188" s="7"/>
      <c r="F188" s="7"/>
      <c r="G188" s="47">
        <v>100</v>
      </c>
      <c r="H188" s="14"/>
      <c r="I188" s="47">
        <v>100</v>
      </c>
      <c r="J188" s="14"/>
      <c r="K188" s="14"/>
      <c r="L188" s="47">
        <v>60</v>
      </c>
      <c r="M188" s="7"/>
      <c r="N188" s="47">
        <v>60</v>
      </c>
      <c r="O188" s="7"/>
      <c r="P188" s="7"/>
      <c r="Q188" s="7"/>
      <c r="R188" s="7"/>
      <c r="S188" s="7"/>
      <c r="T188" s="7"/>
      <c r="U188" s="7"/>
      <c r="V188" s="7"/>
      <c r="W188" s="7"/>
      <c r="X188" s="7"/>
      <c r="Y188" s="7"/>
    </row>
    <row r="189" spans="1:25" x14ac:dyDescent="0.35">
      <c r="A189" s="7" t="s">
        <v>23</v>
      </c>
      <c r="B189" s="7"/>
      <c r="C189" s="7"/>
      <c r="D189" s="7"/>
      <c r="E189" s="7"/>
      <c r="F189" s="7"/>
      <c r="G189" s="14">
        <f>100*G86</f>
        <v>26.99388753056235</v>
      </c>
      <c r="H189" s="14"/>
      <c r="I189" s="14">
        <f>100*I86</f>
        <v>13.810513447432763</v>
      </c>
      <c r="J189" s="14"/>
      <c r="K189" s="14"/>
      <c r="L189" s="14">
        <f>100*L86</f>
        <v>47.60986066452304</v>
      </c>
      <c r="M189" s="7"/>
      <c r="N189" s="14">
        <f>100*N86</f>
        <v>29.060021436227224</v>
      </c>
      <c r="O189" s="7"/>
      <c r="P189" s="7"/>
    </row>
    <row r="190" spans="1:25" x14ac:dyDescent="0.35">
      <c r="A190" s="7" t="s">
        <v>25</v>
      </c>
      <c r="B190" s="7"/>
      <c r="C190" s="7"/>
      <c r="D190" s="7"/>
      <c r="E190" s="7"/>
      <c r="F190" s="7"/>
      <c r="G190" s="14">
        <f>G188*G189/100</f>
        <v>26.99388753056235</v>
      </c>
      <c r="H190" s="14"/>
      <c r="I190" s="14">
        <f>I188*I189/100</f>
        <v>13.810513447432763</v>
      </c>
      <c r="J190" s="14"/>
      <c r="K190" s="14"/>
      <c r="L190" s="14">
        <f>L188*L189/100</f>
        <v>28.565916398713824</v>
      </c>
      <c r="M190" s="7"/>
      <c r="N190" s="14">
        <f>N188*N189/100</f>
        <v>17.436012861736334</v>
      </c>
      <c r="O190" s="7"/>
      <c r="P190" s="7"/>
    </row>
    <row r="191" spans="1:25" x14ac:dyDescent="0.35">
      <c r="A191" s="7"/>
      <c r="B191" s="7"/>
      <c r="C191" s="7"/>
      <c r="D191" s="7"/>
      <c r="E191" s="7"/>
      <c r="F191" s="7"/>
      <c r="G191" s="14"/>
      <c r="H191" s="14"/>
      <c r="I191" s="14"/>
      <c r="J191" s="14"/>
      <c r="K191" s="14"/>
      <c r="L191" s="14"/>
      <c r="M191" s="7"/>
      <c r="N191" s="7"/>
      <c r="O191" s="7"/>
      <c r="P191" s="7"/>
    </row>
    <row r="192" spans="1:25" x14ac:dyDescent="0.35">
      <c r="A192" s="15" t="s">
        <v>293</v>
      </c>
      <c r="B192" s="7"/>
      <c r="C192" s="7"/>
      <c r="D192" s="7"/>
      <c r="E192" s="7"/>
      <c r="F192" s="7"/>
      <c r="G192" s="14"/>
      <c r="H192" s="14"/>
      <c r="I192" s="14"/>
      <c r="J192" s="14"/>
      <c r="K192" s="14"/>
      <c r="L192" s="14"/>
      <c r="M192" s="7"/>
      <c r="N192" s="7"/>
      <c r="O192" s="7"/>
      <c r="P192" s="7"/>
    </row>
    <row r="193" spans="1:16" x14ac:dyDescent="0.35">
      <c r="A193" s="15" t="s">
        <v>111</v>
      </c>
      <c r="B193" s="7"/>
      <c r="C193" s="7"/>
      <c r="D193" s="7"/>
      <c r="E193" s="7"/>
      <c r="F193" s="7"/>
      <c r="G193" s="14"/>
      <c r="H193" s="14"/>
      <c r="I193" s="14"/>
      <c r="J193" s="14"/>
      <c r="K193" s="14"/>
      <c r="L193" s="14"/>
      <c r="M193" s="7"/>
      <c r="N193" s="7"/>
      <c r="O193" s="7"/>
      <c r="P193" s="7"/>
    </row>
    <row r="194" spans="1:16" x14ac:dyDescent="0.35">
      <c r="A194" s="7" t="s">
        <v>24</v>
      </c>
      <c r="B194" s="7"/>
      <c r="C194" s="7"/>
      <c r="D194" s="7"/>
      <c r="E194" s="7"/>
      <c r="F194" s="7"/>
      <c r="G194" s="14">
        <f>G195+G196</f>
        <v>8.5303669531862312</v>
      </c>
      <c r="H194" s="14"/>
      <c r="I194" s="14">
        <f>I195+I196</f>
        <v>14.608209656425782</v>
      </c>
      <c r="J194" s="14"/>
      <c r="K194" s="14"/>
      <c r="L194" s="14">
        <f>L195+L196</f>
        <v>32.933800091031202</v>
      </c>
      <c r="M194" s="7"/>
      <c r="N194" s="14">
        <f>N195+N196</f>
        <v>80.205433222694694</v>
      </c>
      <c r="O194" s="7"/>
      <c r="P194" s="7"/>
    </row>
    <row r="195" spans="1:16" x14ac:dyDescent="0.35">
      <c r="A195" s="15" t="s">
        <v>270</v>
      </c>
      <c r="B195" s="7"/>
      <c r="C195" s="7"/>
      <c r="D195" s="7"/>
      <c r="E195" s="7"/>
      <c r="F195" s="7"/>
      <c r="G195" s="14">
        <f>G177/G184</f>
        <v>8.0094945466378658</v>
      </c>
      <c r="H195" s="14"/>
      <c r="I195" s="14">
        <f>I173/I184</f>
        <v>13.629909038551155</v>
      </c>
      <c r="J195" s="14"/>
      <c r="K195" s="14"/>
      <c r="L195" s="14">
        <f>L177/L184</f>
        <v>11.363064659573817</v>
      </c>
      <c r="M195" s="18"/>
      <c r="N195" s="14">
        <f>N173/N184</f>
        <v>30.770973704886011</v>
      </c>
      <c r="O195" s="7"/>
      <c r="P195" s="7"/>
    </row>
    <row r="196" spans="1:16" x14ac:dyDescent="0.35">
      <c r="A196" s="15" t="s">
        <v>271</v>
      </c>
      <c r="B196" s="7"/>
      <c r="C196" s="7"/>
      <c r="D196" s="7"/>
      <c r="E196" s="7"/>
      <c r="F196" s="7"/>
      <c r="G196" s="14">
        <f>G178/G187</f>
        <v>0.52087240654836542</v>
      </c>
      <c r="H196" s="14"/>
      <c r="I196" s="14">
        <f>I174/I187</f>
        <v>0.97830061787462719</v>
      </c>
      <c r="J196" s="14"/>
      <c r="K196" s="14"/>
      <c r="L196" s="14">
        <f>L178/L187</f>
        <v>21.570735431457386</v>
      </c>
      <c r="M196" s="7"/>
      <c r="N196" s="14">
        <f>N174/N187</f>
        <v>49.434459517808676</v>
      </c>
      <c r="O196" s="7"/>
      <c r="P196" s="7"/>
    </row>
    <row r="197" spans="1:16" x14ac:dyDescent="0.35">
      <c r="A197" s="7" t="s">
        <v>27</v>
      </c>
      <c r="B197" s="7"/>
      <c r="C197" s="7"/>
      <c r="D197" s="7"/>
      <c r="E197" s="7"/>
      <c r="F197" s="7"/>
      <c r="G197" s="14">
        <f>(G177/G186)</f>
        <v>8.0094945466378658</v>
      </c>
      <c r="H197" s="14"/>
      <c r="I197" s="14">
        <f>I173/I186</f>
        <v>13.629909038551155</v>
      </c>
      <c r="J197" s="14"/>
      <c r="K197" s="14"/>
      <c r="L197" s="14">
        <f>L177/L186</f>
        <v>5.6815323297869087</v>
      </c>
      <c r="M197" s="7"/>
      <c r="N197" s="14">
        <f>N173/N186</f>
        <v>15.385486852443004</v>
      </c>
      <c r="O197" s="7"/>
      <c r="P197" s="7"/>
    </row>
    <row r="198" spans="1:16" x14ac:dyDescent="0.35">
      <c r="A198" s="7" t="s">
        <v>19</v>
      </c>
      <c r="B198" s="7"/>
      <c r="C198" s="7"/>
      <c r="D198" s="7"/>
      <c r="E198" s="7"/>
      <c r="F198" s="7"/>
      <c r="G198" s="14">
        <f>G179/(G188*G189/100)</f>
        <v>6.7511653063522283</v>
      </c>
      <c r="H198" s="14"/>
      <c r="I198" s="14">
        <f>I175/(I188*I189/100)</f>
        <v>23.347041984570616</v>
      </c>
      <c r="J198" s="14"/>
      <c r="K198" s="14"/>
      <c r="L198" s="14">
        <f>L179/(L188*L189/100)</f>
        <v>8.759390579636019</v>
      </c>
      <c r="M198" s="7"/>
      <c r="N198" s="14">
        <f>N175/(N188*N189/100)</f>
        <v>25.52473179431086</v>
      </c>
      <c r="O198" s="7"/>
      <c r="P198" s="7"/>
    </row>
    <row r="199" spans="1:16" x14ac:dyDescent="0.35">
      <c r="A199" s="15" t="s">
        <v>112</v>
      </c>
      <c r="B199" s="7"/>
      <c r="C199" s="7"/>
      <c r="D199" s="7"/>
      <c r="E199" s="7"/>
      <c r="F199" s="7"/>
      <c r="G199" s="14">
        <f>G179/G189</f>
        <v>6.7511653063522283</v>
      </c>
      <c r="H199" s="14"/>
      <c r="I199" s="14">
        <f>I175/I189</f>
        <v>23.347041984570616</v>
      </c>
      <c r="J199" s="14"/>
      <c r="K199" s="14"/>
      <c r="L199" s="14">
        <f>L179/L189</f>
        <v>5.2556343477816121</v>
      </c>
      <c r="M199" s="7"/>
      <c r="N199" s="14">
        <f>N175/N189</f>
        <v>15.314839076586514</v>
      </c>
      <c r="O199" s="7"/>
      <c r="P199" s="7"/>
    </row>
    <row r="200" spans="1:16" x14ac:dyDescent="0.35">
      <c r="A200" s="7"/>
      <c r="B200" s="7"/>
      <c r="C200" s="7"/>
      <c r="D200" s="7"/>
      <c r="E200" s="7"/>
      <c r="F200" s="7"/>
      <c r="G200" s="7"/>
      <c r="H200" s="7"/>
      <c r="I200" s="7"/>
      <c r="J200" s="7"/>
      <c r="K200" s="7"/>
      <c r="L200" s="7"/>
      <c r="M200" s="7"/>
      <c r="N200" s="7"/>
      <c r="O200" s="7"/>
      <c r="P200" s="7"/>
    </row>
    <row r="201" spans="1:16" x14ac:dyDescent="0.35">
      <c r="A201" s="7" t="s">
        <v>174</v>
      </c>
      <c r="B201" s="7"/>
      <c r="C201" s="7"/>
      <c r="D201" s="7"/>
      <c r="E201" s="7"/>
      <c r="F201" s="7"/>
      <c r="G201" s="7"/>
      <c r="H201" s="7"/>
      <c r="I201" s="7"/>
      <c r="J201" s="7"/>
      <c r="K201" s="7"/>
      <c r="L201" s="7"/>
      <c r="M201" s="7"/>
      <c r="N201" s="7"/>
      <c r="O201" s="7"/>
      <c r="P201" s="7"/>
    </row>
    <row r="202" spans="1:16" x14ac:dyDescent="0.35">
      <c r="A202" s="7" t="s">
        <v>11</v>
      </c>
      <c r="B202" s="7"/>
      <c r="C202" s="7"/>
      <c r="D202" s="7"/>
      <c r="E202" s="7"/>
      <c r="F202" s="7"/>
      <c r="G202" s="7"/>
      <c r="H202" s="7"/>
      <c r="I202" s="7"/>
      <c r="J202" s="7"/>
      <c r="K202" s="7"/>
      <c r="L202" s="7"/>
      <c r="M202" s="7"/>
      <c r="N202" s="7"/>
      <c r="O202" s="7"/>
      <c r="P202" s="7"/>
    </row>
    <row r="203" spans="1:16" s="80" customFormat="1" x14ac:dyDescent="0.35">
      <c r="A203" s="81" t="s">
        <v>4</v>
      </c>
      <c r="B203" s="81"/>
      <c r="C203" s="81"/>
      <c r="D203" s="81"/>
      <c r="E203" s="84">
        <v>0.1</v>
      </c>
      <c r="F203" s="81"/>
      <c r="G203" s="81">
        <f>E203</f>
        <v>0.1</v>
      </c>
      <c r="H203" s="81"/>
      <c r="I203" s="81">
        <f>E203</f>
        <v>0.1</v>
      </c>
      <c r="J203" s="81"/>
      <c r="K203" s="81"/>
      <c r="L203" s="81">
        <f>E203</f>
        <v>0.1</v>
      </c>
      <c r="M203" s="81"/>
      <c r="N203" s="81">
        <f>E203</f>
        <v>0.1</v>
      </c>
      <c r="O203" s="81"/>
      <c r="P203" s="81"/>
    </row>
    <row r="204" spans="1:16" s="80" customFormat="1" x14ac:dyDescent="0.35">
      <c r="A204" s="81" t="s">
        <v>151</v>
      </c>
      <c r="B204" s="81"/>
      <c r="C204" s="81"/>
      <c r="D204" s="81"/>
      <c r="E204" s="82">
        <v>0.5</v>
      </c>
      <c r="F204" s="81"/>
      <c r="G204" s="81">
        <f>E204</f>
        <v>0.5</v>
      </c>
      <c r="H204" s="81"/>
      <c r="I204" s="81">
        <f>E204</f>
        <v>0.5</v>
      </c>
      <c r="J204" s="81"/>
      <c r="K204" s="81"/>
      <c r="L204" s="81">
        <f>E204</f>
        <v>0.5</v>
      </c>
      <c r="M204" s="81"/>
      <c r="N204" s="81">
        <f>E204</f>
        <v>0.5</v>
      </c>
      <c r="O204" s="81"/>
      <c r="P204" s="81"/>
    </row>
    <row r="205" spans="1:16" x14ac:dyDescent="0.35">
      <c r="A205" s="7"/>
      <c r="B205" s="7"/>
      <c r="C205" s="7"/>
      <c r="D205" s="7"/>
      <c r="E205" s="7"/>
      <c r="F205" s="7"/>
      <c r="G205" s="7"/>
      <c r="H205" s="7"/>
      <c r="I205" s="7"/>
      <c r="J205" s="7"/>
      <c r="K205" s="7"/>
      <c r="L205" s="7"/>
      <c r="M205" s="7"/>
      <c r="N205" s="7"/>
      <c r="O205" s="7"/>
      <c r="P205" s="7"/>
    </row>
    <row r="206" spans="1:16" x14ac:dyDescent="0.35">
      <c r="A206" s="7" t="s">
        <v>16</v>
      </c>
      <c r="B206" s="7"/>
      <c r="C206" s="7"/>
      <c r="D206" s="7"/>
      <c r="E206" s="7"/>
      <c r="F206" s="7"/>
      <c r="G206" s="7"/>
      <c r="H206" s="7"/>
      <c r="I206" s="7"/>
      <c r="J206" s="7"/>
      <c r="K206" s="7"/>
      <c r="L206" s="7"/>
      <c r="M206" s="7"/>
      <c r="N206" s="7"/>
      <c r="O206" s="7"/>
      <c r="P206" s="7"/>
    </row>
    <row r="207" spans="1:16" x14ac:dyDescent="0.35">
      <c r="A207" s="7" t="s">
        <v>5</v>
      </c>
      <c r="B207" s="7"/>
      <c r="C207" s="7"/>
      <c r="D207" s="7"/>
      <c r="E207" s="7"/>
      <c r="F207" s="7"/>
      <c r="G207" s="16">
        <f>(1/G203)-1</f>
        <v>9</v>
      </c>
      <c r="H207" s="16"/>
      <c r="I207" s="16">
        <f>(1/I203)-1</f>
        <v>9</v>
      </c>
      <c r="J207" s="16"/>
      <c r="K207" s="16"/>
      <c r="L207" s="16">
        <f>(1/L203)-1</f>
        <v>9</v>
      </c>
      <c r="M207" s="7"/>
      <c r="N207" s="16">
        <f>(1/N203)-1</f>
        <v>9</v>
      </c>
      <c r="O207" s="7"/>
      <c r="P207" s="7"/>
    </row>
    <row r="208" spans="1:16" x14ac:dyDescent="0.35">
      <c r="A208" s="7" t="s">
        <v>7</v>
      </c>
      <c r="B208" s="7"/>
      <c r="C208" s="7"/>
      <c r="D208" s="7"/>
      <c r="E208" s="7"/>
      <c r="F208" s="7"/>
      <c r="G208" s="16">
        <f>(1/G204)-1</f>
        <v>1</v>
      </c>
      <c r="H208" s="16"/>
      <c r="I208" s="16">
        <f>(1/I204)-1</f>
        <v>1</v>
      </c>
      <c r="J208" s="16"/>
      <c r="K208" s="16"/>
      <c r="L208" s="16">
        <f>(1/L204)-1</f>
        <v>1</v>
      </c>
      <c r="M208" s="7"/>
      <c r="N208" s="16">
        <f>(1/N204)-1</f>
        <v>1</v>
      </c>
      <c r="O208" s="7"/>
      <c r="P208" s="7"/>
    </row>
    <row r="209" spans="1:22" x14ac:dyDescent="0.35">
      <c r="A209" s="7"/>
      <c r="B209" s="7"/>
      <c r="C209" s="7"/>
      <c r="D209" s="7"/>
      <c r="E209" s="7"/>
      <c r="F209" s="7"/>
      <c r="G209" s="18"/>
      <c r="H209" s="18"/>
      <c r="I209" s="18"/>
      <c r="J209" s="18"/>
      <c r="K209" s="18"/>
      <c r="L209" s="18"/>
      <c r="M209" s="7"/>
      <c r="N209" s="7"/>
      <c r="O209" s="7"/>
      <c r="P209" s="7"/>
    </row>
    <row r="210" spans="1:22" x14ac:dyDescent="0.35">
      <c r="A210" s="7" t="s">
        <v>9</v>
      </c>
      <c r="B210" s="7"/>
      <c r="C210" s="7"/>
      <c r="D210" s="7"/>
      <c r="E210" s="7"/>
      <c r="F210" s="7"/>
      <c r="G210" s="18"/>
      <c r="H210" s="18"/>
      <c r="I210" s="18"/>
      <c r="J210" s="18"/>
      <c r="K210" s="18"/>
      <c r="L210" s="18"/>
      <c r="M210" s="7"/>
      <c r="N210" s="7"/>
      <c r="O210" s="7"/>
      <c r="P210" s="7"/>
    </row>
    <row r="211" spans="1:22" x14ac:dyDescent="0.35">
      <c r="A211" s="7" t="s">
        <v>6</v>
      </c>
      <c r="B211" s="7"/>
      <c r="C211" s="7"/>
      <c r="D211" s="7"/>
      <c r="E211" s="7"/>
      <c r="F211" s="7"/>
      <c r="G211" s="21">
        <f>((G179/G177*(G198/G197)^G207))/(1+((G179/G177*(G198/G197)^G207)))</f>
        <v>0.11313995236188906</v>
      </c>
      <c r="H211" s="21"/>
      <c r="I211" s="21">
        <f>((I175/I173*(I198/I197)^I207))/(1+((I175/I173*(I198/I197)^I207)))</f>
        <v>0.98697881807532117</v>
      </c>
      <c r="J211" s="21"/>
      <c r="K211" s="21"/>
      <c r="L211" s="21">
        <f>((L179/L177*(L198/L197)^L207))/(1+((L179/L177*(L198/L197)^L207)))</f>
        <v>0.9950202984977522</v>
      </c>
      <c r="M211" s="7"/>
      <c r="N211" s="21">
        <f>((N175/N173*(N198/N197)^N207))/(1+((N175/N173*(N198/N197)^N207)))</f>
        <v>0.99531625075725405</v>
      </c>
      <c r="O211" s="7"/>
      <c r="P211" s="7"/>
    </row>
    <row r="212" spans="1:22" x14ac:dyDescent="0.35">
      <c r="A212" s="15" t="s">
        <v>152</v>
      </c>
      <c r="B212" s="7"/>
      <c r="C212" s="7"/>
      <c r="D212" s="7"/>
      <c r="E212" s="7"/>
      <c r="F212" s="7"/>
      <c r="G212" s="18">
        <f>(G178/(G177+G179)*(G196/(G197+G198))^G208)/(1+(G178/(G177+G179)*(G196/(G197+G198))^G208))</f>
        <v>8.0255605647581139E-4</v>
      </c>
      <c r="H212" s="18"/>
      <c r="I212" s="18">
        <f>(I174/(I173+I175)*(I196/(I197+I198))^I208)/(1+(I174/(I173+I175)*(I196/(I197+I198))^I208))</f>
        <v>5.5884440822768968E-4</v>
      </c>
      <c r="J212" s="18"/>
      <c r="K212" s="18"/>
      <c r="L212" s="18">
        <f>(L178/(L177+L179)*(L196/(L197+L198))^L208)/(1+(L178/(L177+L179)*(L196/(L197+L198))^L208))</f>
        <v>0.30771495267770177</v>
      </c>
      <c r="M212" s="7"/>
      <c r="N212" s="18">
        <f>(N174/(N173+N175)*(N196/(N197+N198))^N208)/(1+(N174/(N173+N175)*(N196/(N197+N198))^N208))</f>
        <v>0.235818353872532</v>
      </c>
      <c r="O212" s="7"/>
      <c r="P212" s="7"/>
    </row>
    <row r="213" spans="1:22" x14ac:dyDescent="0.35">
      <c r="A213" s="7"/>
      <c r="B213" s="7"/>
      <c r="C213" s="7"/>
      <c r="D213" s="7"/>
      <c r="E213" s="7"/>
      <c r="F213" s="7"/>
      <c r="G213" s="18"/>
      <c r="H213" s="18"/>
      <c r="I213" s="18"/>
      <c r="J213" s="18"/>
      <c r="K213" s="18"/>
      <c r="L213" s="18"/>
      <c r="M213" s="7"/>
      <c r="N213" s="7"/>
      <c r="O213" s="7"/>
      <c r="P213" s="7"/>
    </row>
    <row r="214" spans="1:22" x14ac:dyDescent="0.35">
      <c r="A214" s="7" t="s">
        <v>10</v>
      </c>
      <c r="B214" s="7"/>
      <c r="C214" s="7"/>
      <c r="D214" s="7"/>
      <c r="E214" s="7"/>
      <c r="F214" s="7"/>
      <c r="G214" s="18"/>
      <c r="H214" s="18"/>
      <c r="I214" s="18"/>
      <c r="J214" s="18"/>
      <c r="K214" s="18"/>
      <c r="L214" s="18"/>
      <c r="M214" s="7"/>
      <c r="N214" s="18"/>
      <c r="O214" s="7"/>
      <c r="P214" s="7"/>
    </row>
    <row r="215" spans="1:22" x14ac:dyDescent="0.35">
      <c r="A215" s="7" t="s">
        <v>5</v>
      </c>
      <c r="B215" s="7"/>
      <c r="C215" s="7"/>
      <c r="D215" s="7"/>
      <c r="E215" s="7"/>
      <c r="F215" s="7"/>
      <c r="G215" s="18">
        <f>(G197+G198)/(((G211*(G198^(-1*G207)))+((1-G211)*(G197^(-1*G207))))^(-1/G207))</f>
        <v>1.9151640138395589</v>
      </c>
      <c r="H215" s="18"/>
      <c r="I215" s="18">
        <f>(I197+I198)/(((I211*(I198^(-1*I207)))+((1-I211)*(I197^(-1*I207))))^(-1/I207))</f>
        <v>1.7641912164301545</v>
      </c>
      <c r="J215" s="18"/>
      <c r="K215" s="18"/>
      <c r="L215" s="18">
        <f>(L197+L198)/(((L211*(L198^(-1*L207)))+((1-L211)*(L197^(-1*L207))))^(-1/L207))</f>
        <v>1.6885134091327887</v>
      </c>
      <c r="M215" s="7"/>
      <c r="N215" s="18">
        <f>(N197+N198)/(((N211*(N198^(-1*N207)))+((1-N211)*(N197^(-1*N207))))^(-1/N207))</f>
        <v>1.6691961719830568</v>
      </c>
      <c r="O215" s="7"/>
      <c r="P215" s="7"/>
    </row>
    <row r="216" spans="1:22" x14ac:dyDescent="0.35">
      <c r="A216" s="7" t="s">
        <v>8</v>
      </c>
      <c r="B216" s="7"/>
      <c r="C216" s="7"/>
      <c r="D216" s="7"/>
      <c r="E216" s="7"/>
      <c r="F216" s="7"/>
      <c r="G216" s="18">
        <f>1/(((G212*(G196^(-1*G208)))+((1-G212)*((G197+G198)^(-1*G208))))^(-1/G208))</f>
        <v>6.9234069566596307E-2</v>
      </c>
      <c r="H216" s="18"/>
      <c r="I216" s="18">
        <f>1/(((I212*(I196^(-1*I208)))+((1-I212)*((I197+I198)^(-1*I208))))^(-1/I208))</f>
        <v>2.7600000526487003E-2</v>
      </c>
      <c r="J216" s="18"/>
      <c r="K216" s="18"/>
      <c r="L216" s="18">
        <f>1/(((L212*(L196^(-1*L208)))+((1-L212)*((L197+L198)^(-1*L208))))^(-1/L208))</f>
        <v>6.2204503801998351E-2</v>
      </c>
      <c r="M216" s="7"/>
      <c r="N216" s="18">
        <f>1/(((N212*(N196^(-1*N208)))+((1-N212)*((N197+N198)^(-1*N208))))^(-1/N208))</f>
        <v>2.3449804154653781E-2</v>
      </c>
      <c r="O216" s="7"/>
      <c r="P216" s="7"/>
    </row>
    <row r="217" spans="1:22" x14ac:dyDescent="0.35">
      <c r="A217" s="7"/>
      <c r="B217" s="7"/>
      <c r="C217" s="7"/>
      <c r="D217" s="7"/>
      <c r="E217" s="7"/>
      <c r="F217" s="7"/>
      <c r="G217" s="18"/>
      <c r="H217" s="18"/>
      <c r="I217" s="18"/>
      <c r="J217" s="18"/>
      <c r="K217" s="18"/>
      <c r="L217" s="18"/>
      <c r="M217" s="7"/>
      <c r="N217" s="18"/>
      <c r="O217" s="7"/>
      <c r="P217" s="7"/>
    </row>
    <row r="218" spans="1:22" x14ac:dyDescent="0.35">
      <c r="A218" s="7" t="s">
        <v>249</v>
      </c>
      <c r="B218" s="7"/>
      <c r="C218" s="7"/>
      <c r="D218" s="7"/>
      <c r="E218" s="36">
        <v>1</v>
      </c>
      <c r="F218" s="7"/>
      <c r="G218" s="18"/>
      <c r="H218" s="18"/>
      <c r="I218" s="18"/>
      <c r="J218" s="18"/>
      <c r="K218" s="18"/>
      <c r="L218" s="18"/>
      <c r="M218" s="7"/>
      <c r="N218" s="18"/>
      <c r="O218" s="7"/>
      <c r="P218" s="15"/>
      <c r="Q218" s="7"/>
      <c r="R218" s="7"/>
      <c r="S218" s="7"/>
      <c r="T218" s="7"/>
      <c r="U218" s="7"/>
      <c r="V218" s="7"/>
    </row>
    <row r="219" spans="1:22" x14ac:dyDescent="0.35">
      <c r="A219" s="7" t="s">
        <v>5</v>
      </c>
      <c r="B219" s="7"/>
      <c r="C219" s="7"/>
      <c r="D219" s="7"/>
      <c r="F219" s="7"/>
      <c r="G219" s="18">
        <f>E218</f>
        <v>1</v>
      </c>
      <c r="H219" s="18"/>
      <c r="I219" s="18">
        <f>E218</f>
        <v>1</v>
      </c>
      <c r="J219" s="18"/>
      <c r="K219" s="18"/>
      <c r="L219" s="18">
        <f>E218</f>
        <v>1</v>
      </c>
      <c r="M219" s="7"/>
      <c r="N219" s="18">
        <f>E218</f>
        <v>1</v>
      </c>
      <c r="O219" s="7"/>
      <c r="P219" s="7"/>
      <c r="Q219" s="7"/>
      <c r="R219" s="7"/>
      <c r="S219" s="7"/>
      <c r="T219" s="7"/>
      <c r="U219" s="7"/>
      <c r="V219" s="7"/>
    </row>
    <row r="220" spans="1:22" x14ac:dyDescent="0.35">
      <c r="A220" s="7" t="s">
        <v>250</v>
      </c>
      <c r="B220" s="7"/>
      <c r="C220" s="7"/>
      <c r="D220" s="7"/>
      <c r="E220" s="7"/>
      <c r="F220" s="7"/>
      <c r="G220" s="18">
        <f>E218</f>
        <v>1</v>
      </c>
      <c r="H220" s="18"/>
      <c r="I220" s="18">
        <f>E218</f>
        <v>1</v>
      </c>
      <c r="J220" s="18"/>
      <c r="K220" s="18"/>
      <c r="L220" s="18">
        <f>E218</f>
        <v>1</v>
      </c>
      <c r="M220" s="7"/>
      <c r="N220" s="18">
        <f>E218</f>
        <v>1</v>
      </c>
      <c r="O220" s="7"/>
      <c r="P220" s="15"/>
      <c r="Q220" s="7"/>
      <c r="R220" s="7"/>
      <c r="S220" s="7"/>
      <c r="T220" s="7"/>
      <c r="U220" s="7"/>
      <c r="V220" s="7"/>
    </row>
    <row r="221" spans="1:22" x14ac:dyDescent="0.35">
      <c r="A221" s="7" t="s">
        <v>42</v>
      </c>
      <c r="B221" s="7"/>
      <c r="C221" s="7"/>
      <c r="D221" s="7"/>
      <c r="E221" s="7"/>
      <c r="F221" s="7"/>
      <c r="G221" s="7"/>
      <c r="H221" s="7"/>
      <c r="I221" s="7"/>
      <c r="J221" s="7"/>
      <c r="K221" s="7"/>
      <c r="L221" s="7"/>
      <c r="M221" s="7"/>
      <c r="N221" s="7"/>
      <c r="O221" s="7"/>
      <c r="P221" s="7"/>
      <c r="Q221" s="7"/>
      <c r="R221" s="7"/>
      <c r="S221" s="7"/>
      <c r="T221" s="7"/>
      <c r="U221" s="7"/>
      <c r="V221" s="7"/>
    </row>
    <row r="222" spans="1:22" x14ac:dyDescent="0.35">
      <c r="A222" s="7" t="s">
        <v>55</v>
      </c>
      <c r="B222" s="7"/>
      <c r="C222" s="7"/>
      <c r="D222" s="7"/>
      <c r="E222" s="7"/>
      <c r="F222" s="7"/>
      <c r="G222" s="7"/>
      <c r="H222" s="7"/>
      <c r="I222" s="7"/>
      <c r="J222" s="7"/>
      <c r="K222" s="7"/>
      <c r="L222" s="7"/>
      <c r="M222" s="7"/>
      <c r="N222" s="7"/>
      <c r="O222" s="7"/>
      <c r="P222" s="7"/>
      <c r="Q222" s="7"/>
      <c r="R222" s="7"/>
      <c r="S222" s="7"/>
      <c r="T222" s="7"/>
      <c r="U222" s="7"/>
      <c r="V222" s="7"/>
    </row>
    <row r="223" spans="1:22" x14ac:dyDescent="0.35">
      <c r="A223" s="7"/>
      <c r="B223" s="7"/>
      <c r="C223" s="7"/>
      <c r="D223" s="7"/>
      <c r="E223" s="7"/>
      <c r="F223" s="7"/>
      <c r="G223" s="8" t="s">
        <v>104</v>
      </c>
      <c r="H223" s="8"/>
      <c r="I223" s="8"/>
      <c r="J223" s="8"/>
      <c r="K223" s="8"/>
      <c r="L223" s="8" t="s">
        <v>105</v>
      </c>
      <c r="M223" s="8"/>
      <c r="N223" s="8"/>
      <c r="O223" s="8"/>
      <c r="P223" s="7"/>
      <c r="Q223" s="7"/>
      <c r="R223" s="7"/>
      <c r="S223" s="7"/>
      <c r="T223" s="7"/>
      <c r="U223" s="7"/>
      <c r="V223" s="7"/>
    </row>
    <row r="224" spans="1:22" x14ac:dyDescent="0.35">
      <c r="A224" s="7"/>
      <c r="B224" s="7"/>
      <c r="C224" s="7"/>
      <c r="D224" s="7"/>
      <c r="E224" s="7"/>
      <c r="F224" s="7"/>
      <c r="G224" s="8" t="s">
        <v>74</v>
      </c>
      <c r="H224" s="8"/>
      <c r="I224" s="8" t="s">
        <v>72</v>
      </c>
      <c r="J224" s="8"/>
      <c r="K224" s="8"/>
      <c r="L224" s="8" t="s">
        <v>74</v>
      </c>
      <c r="M224" s="8"/>
      <c r="N224" s="8" t="s">
        <v>72</v>
      </c>
      <c r="O224" s="8"/>
      <c r="P224" s="7"/>
      <c r="Q224" s="7"/>
      <c r="R224" s="7"/>
      <c r="S224" s="7"/>
      <c r="T224" s="7"/>
      <c r="U224" s="7"/>
      <c r="V224" s="7"/>
    </row>
    <row r="225" spans="1:24" x14ac:dyDescent="0.35">
      <c r="A225" s="7" t="s">
        <v>17</v>
      </c>
      <c r="B225" s="7"/>
      <c r="C225" s="7"/>
      <c r="D225" s="7"/>
      <c r="E225" s="7"/>
      <c r="F225" s="7"/>
      <c r="G225" s="16">
        <f>(1/(L215/L219))*(((G190/(L211^(-1/L207)))^(L207/(L207+1))+((G186/((1-L211)^(-1/L207)))^(L207/(L207+1))))^((L207+1)/L207))</f>
        <v>30.82836061556862</v>
      </c>
      <c r="H225" s="16"/>
      <c r="I225" s="16">
        <f>(1/(N215/N219))*(((I190/(N211^(-1/N207)))^(N207/(N207+1))+((I186/((1-N211)^(-1/N207)))^(N207/(N207+1))))^((N207+1)/N207))</f>
        <v>22.999662041579196</v>
      </c>
      <c r="J225" s="16"/>
      <c r="K225" s="16"/>
      <c r="L225" s="16">
        <f>(1/(G215*G219))*((((L190/(G211^(-1/G207)))^(G207/(G207+1)))+((L186/((1-G211)^(-1/G207)))^(G207/(G207+1))))^((G207+1)/G207))</f>
        <v>18.561677482729404</v>
      </c>
      <c r="M225" s="7"/>
      <c r="N225" s="16">
        <f>(1/(I215*I219))*((((N190/(I211^(-1/I207)))^(I207/(I207+1)))+((N186/((1-I211)^(-1/I207)))^(I207/(I207+1))))^((I207+1)/I207))</f>
        <v>15.447139771830182</v>
      </c>
      <c r="O225" s="7"/>
      <c r="P225" s="15"/>
      <c r="Q225" s="7"/>
      <c r="R225" s="7"/>
      <c r="S225" s="7"/>
      <c r="T225" s="7"/>
      <c r="U225" s="7"/>
      <c r="V225" s="7"/>
    </row>
    <row r="226" spans="1:24" x14ac:dyDescent="0.35">
      <c r="A226" s="15" t="s">
        <v>113</v>
      </c>
      <c r="B226" s="7"/>
      <c r="C226" s="7"/>
      <c r="D226" s="7"/>
      <c r="E226" s="7"/>
      <c r="F226" s="7"/>
      <c r="G226" s="16">
        <f>(1/(L216/L220))*((((G187/(L212^(-1/L208)))^(L208/(L208+1)))+((G225/((1-L212)^(-1/L208)))^(L208/(L208+1))))^((L208+1)/L208))</f>
        <v>829.70141030008483</v>
      </c>
      <c r="H226" s="16"/>
      <c r="I226" s="16">
        <f>(1/(N216/N220))*((((I187/(N212^(-1/N208)))^(N208/(N208+1)))+((I225/((1-N212)^(-1/N208)))^(N208/(N208+1))))^((N208+1)/N208))</f>
        <v>1686.3917146311273</v>
      </c>
      <c r="J226" s="16"/>
      <c r="K226" s="16"/>
      <c r="L226" s="16">
        <f>(1/(G216*G220))*((((L187/(G212^(-1/G208)))^(G208/(G208+1)))+((L225/((1-G212)^(-1/G208)))^(G208/(G208+1))))^((G208+1)/G208))</f>
        <v>275.24503576053377</v>
      </c>
      <c r="M226" s="7"/>
      <c r="N226" s="16">
        <f>(1/(I216*I220))*((((N187/(I212^(-1/I208)))^(I208/(I208+1)))+((N225/((1-I212)^(-1/I208)))^(I208/(I208+1))))^((I208+1)/I208))</f>
        <v>571.71462906518434</v>
      </c>
      <c r="O226" s="7"/>
      <c r="P226" s="15"/>
      <c r="Q226" s="7"/>
      <c r="R226" s="7"/>
      <c r="S226" s="7"/>
      <c r="T226" s="7"/>
      <c r="U226" s="7"/>
      <c r="V226" s="7"/>
    </row>
    <row r="227" spans="1:24" x14ac:dyDescent="0.35">
      <c r="A227" s="7"/>
      <c r="B227" s="7"/>
      <c r="C227" s="7"/>
      <c r="D227" s="7"/>
      <c r="E227" s="7"/>
      <c r="F227" s="7"/>
      <c r="G227" s="17"/>
      <c r="H227" s="17"/>
      <c r="I227" s="17"/>
      <c r="J227" s="17"/>
      <c r="K227" s="17"/>
      <c r="L227" s="17"/>
      <c r="M227" s="7"/>
      <c r="N227" s="7"/>
      <c r="O227" s="7"/>
      <c r="P227" s="7"/>
      <c r="Q227" s="7"/>
      <c r="R227" s="7"/>
      <c r="S227" s="7"/>
      <c r="T227" s="7"/>
      <c r="U227" s="7"/>
      <c r="V227" s="7"/>
    </row>
    <row r="228" spans="1:24" x14ac:dyDescent="0.35">
      <c r="A228" s="7" t="s">
        <v>292</v>
      </c>
      <c r="B228" s="7"/>
      <c r="C228" s="7"/>
      <c r="D228" s="7"/>
      <c r="E228" s="7"/>
      <c r="F228" s="7"/>
      <c r="G228" s="14">
        <f>((1+L272)*L166+(1-L272)*L167+L172+G226)/1000</f>
        <v>1.4232493960064521</v>
      </c>
      <c r="H228" s="14"/>
      <c r="I228" s="14">
        <f>((1+N272)*N166+(1-N272)*N167+N176+I226)/1000</f>
        <v>1.875712298100614</v>
      </c>
      <c r="J228" s="14"/>
      <c r="K228" s="14"/>
      <c r="L228" s="14">
        <f>((1+L272)*G166+(1-L272)*G167+G172+L226)/1000</f>
        <v>0.76612455330469176</v>
      </c>
      <c r="M228" s="14"/>
      <c r="N228" s="14">
        <f>((1+N272)*I166+(1-N272)*I167+I176+N226)/1000</f>
        <v>0.68791412388514983</v>
      </c>
      <c r="O228" s="7"/>
      <c r="P228" s="15"/>
      <c r="Q228" s="7"/>
      <c r="R228" s="7"/>
      <c r="S228" s="7"/>
      <c r="T228" s="7"/>
      <c r="U228" s="7"/>
      <c r="V228" s="7"/>
    </row>
    <row r="229" spans="1:24" x14ac:dyDescent="0.35">
      <c r="A229" s="7" t="s">
        <v>291</v>
      </c>
      <c r="B229" s="7"/>
      <c r="C229" s="7"/>
      <c r="D229" s="7"/>
      <c r="E229" s="7"/>
      <c r="F229" s="7"/>
      <c r="G229" s="14">
        <f>G228/(1+L272)*(1+L274)</f>
        <v>1.3456176107697366</v>
      </c>
      <c r="H229" s="14"/>
      <c r="I229" s="14">
        <f>I228/(1+N272)*(1+N274)</f>
        <v>1.7734007182042169</v>
      </c>
      <c r="J229" s="14"/>
      <c r="K229" s="14"/>
      <c r="L229" s="14">
        <f>L228*(1+L272)*(1+L273)</f>
        <v>0.99442967018948991</v>
      </c>
      <c r="M229" s="14"/>
      <c r="N229" s="14">
        <f>N228*(1+N272)*(1+N273)</f>
        <v>0.89291253280292449</v>
      </c>
      <c r="O229" s="7"/>
      <c r="P229" s="15"/>
      <c r="Q229" s="7"/>
      <c r="R229" s="7"/>
      <c r="S229" s="7"/>
      <c r="T229" s="7"/>
      <c r="U229" s="7"/>
      <c r="V229" s="7"/>
    </row>
    <row r="230" spans="1:24" x14ac:dyDescent="0.35">
      <c r="A230" s="7"/>
      <c r="B230" s="7"/>
      <c r="C230" s="7"/>
      <c r="D230" s="7"/>
      <c r="E230" s="7"/>
      <c r="F230" s="7"/>
      <c r="G230" s="7"/>
      <c r="H230" s="7"/>
      <c r="I230" s="7"/>
      <c r="J230" s="7"/>
      <c r="K230" s="7"/>
      <c r="L230" s="7"/>
      <c r="M230" s="7"/>
      <c r="N230" s="7"/>
      <c r="O230" s="7"/>
      <c r="P230" s="7"/>
    </row>
    <row r="231" spans="1:24" x14ac:dyDescent="0.35">
      <c r="A231" s="7" t="s">
        <v>51</v>
      </c>
      <c r="B231" s="7"/>
      <c r="C231" s="7"/>
      <c r="D231" s="7"/>
      <c r="E231" s="7"/>
      <c r="F231" s="7"/>
      <c r="G231" s="7"/>
      <c r="H231" s="7"/>
      <c r="I231" s="7"/>
      <c r="J231" s="7"/>
      <c r="K231" s="7"/>
      <c r="L231" s="7"/>
      <c r="M231" s="7"/>
      <c r="N231" s="7"/>
      <c r="O231" s="7"/>
      <c r="P231" s="7"/>
    </row>
    <row r="232" spans="1:24" x14ac:dyDescent="0.35">
      <c r="A232" s="7"/>
      <c r="B232" s="7"/>
      <c r="C232" s="7"/>
      <c r="D232" s="7"/>
      <c r="E232" s="7"/>
      <c r="F232" s="7"/>
      <c r="G232" s="32" t="s">
        <v>41</v>
      </c>
      <c r="H232" s="7"/>
      <c r="I232" s="32" t="s">
        <v>41</v>
      </c>
      <c r="J232" s="7"/>
      <c r="K232" s="7"/>
      <c r="L232" s="32" t="s">
        <v>41</v>
      </c>
      <c r="M232" s="7"/>
      <c r="N232" s="7"/>
      <c r="O232" s="7"/>
      <c r="P232" s="7"/>
    </row>
    <row r="233" spans="1:24" x14ac:dyDescent="0.35">
      <c r="A233" s="7" t="s">
        <v>38</v>
      </c>
      <c r="B233" s="7"/>
      <c r="C233" s="7"/>
      <c r="D233" s="7"/>
      <c r="E233" s="7"/>
      <c r="F233" s="7"/>
      <c r="G233" s="7"/>
      <c r="H233" s="7"/>
      <c r="I233" s="7"/>
      <c r="J233" s="7"/>
      <c r="K233" s="7"/>
      <c r="L233" s="7"/>
      <c r="M233" s="7"/>
      <c r="N233" s="7"/>
      <c r="O233" s="7"/>
      <c r="P233" s="7"/>
    </row>
    <row r="234" spans="1:24" x14ac:dyDescent="0.35">
      <c r="A234" s="15" t="s">
        <v>101</v>
      </c>
      <c r="B234" s="7"/>
      <c r="C234" s="7"/>
      <c r="D234" s="7"/>
      <c r="E234" s="7"/>
      <c r="F234" s="14">
        <f>(1+L272)*L166</f>
        <v>188.63915344379024</v>
      </c>
      <c r="G234" s="14">
        <f>(1+L272)*L166/(G228*1000)*100</f>
        <v>13.25411793415123</v>
      </c>
      <c r="H234" s="14">
        <f>(1+N272)*N166</f>
        <v>59.241759386351667</v>
      </c>
      <c r="I234" s="14">
        <f>(1+N272)*N166/(I228*1000)*100</f>
        <v>3.1583606636444794</v>
      </c>
      <c r="J234" s="14"/>
      <c r="K234" s="14">
        <f>(1+L272)*G166</f>
        <v>44.223082598996669</v>
      </c>
      <c r="L234" s="14">
        <f>(1+L272)*G166/(L228*1000)*100</f>
        <v>5.7723097906521366</v>
      </c>
      <c r="M234" s="14">
        <f>(1+N272)*I166</f>
        <v>19.092567416915308</v>
      </c>
      <c r="N234" s="14">
        <f>(1+N272)*I166/(N228*1000)*100</f>
        <v>2.775428902242294</v>
      </c>
      <c r="O234" s="7"/>
      <c r="P234" s="15"/>
      <c r="Q234" s="7"/>
      <c r="R234" s="7"/>
      <c r="S234" s="7"/>
      <c r="T234" s="7"/>
      <c r="U234" s="7"/>
      <c r="V234" s="7"/>
      <c r="W234" s="7"/>
      <c r="X234" s="7"/>
    </row>
    <row r="235" spans="1:24" x14ac:dyDescent="0.35">
      <c r="A235" s="15" t="s">
        <v>102</v>
      </c>
      <c r="B235" s="7"/>
      <c r="C235" s="7"/>
      <c r="D235" s="7"/>
      <c r="E235" s="7"/>
      <c r="F235" s="14">
        <f>((1-L272)*L167)</f>
        <v>170.61374762518057</v>
      </c>
      <c r="G235" s="14">
        <f>((1-L272)*L167)/(G228*1000)*100</f>
        <v>11.987621291385189</v>
      </c>
      <c r="H235" s="14">
        <f>((1-N272)*N167)</f>
        <v>63.517027045903049</v>
      </c>
      <c r="I235" s="14">
        <f>((1-N272)*N167)/(I228*1000)*100</f>
        <v>3.3862883508425963</v>
      </c>
      <c r="J235" s="14"/>
      <c r="K235" s="14">
        <f>((1-L272)*G167)</f>
        <v>116.78511635043662</v>
      </c>
      <c r="L235" s="14">
        <f>((1-L272)*G167)/(L228*1000)*100</f>
        <v>15.243620093714785</v>
      </c>
      <c r="M235" s="14">
        <f>((1-N272)*I167)</f>
        <v>43.405003127240953</v>
      </c>
      <c r="N235" s="14">
        <f>((1-N272)*I167)/(N228*1000)*100</f>
        <v>6.3096543042467905</v>
      </c>
      <c r="O235" s="7"/>
      <c r="P235" s="7"/>
    </row>
    <row r="236" spans="1:24" x14ac:dyDescent="0.35">
      <c r="A236" s="7" t="s">
        <v>39</v>
      </c>
      <c r="B236" s="7"/>
      <c r="C236" s="7"/>
      <c r="D236" s="7"/>
      <c r="E236" s="7"/>
      <c r="F236" s="14"/>
      <c r="G236" s="14"/>
      <c r="H236" s="14"/>
      <c r="I236" s="14"/>
      <c r="J236" s="14"/>
      <c r="K236" s="14"/>
      <c r="L236" s="14"/>
      <c r="M236" s="14"/>
      <c r="N236" s="14"/>
      <c r="O236" s="7"/>
      <c r="P236" s="7"/>
    </row>
    <row r="237" spans="1:24" s="15" customFormat="1" x14ac:dyDescent="0.35">
      <c r="A237" s="15" t="s">
        <v>114</v>
      </c>
      <c r="F237" s="55">
        <f>L172</f>
        <v>234.29508463739637</v>
      </c>
      <c r="G237" s="55">
        <f>L172/(G228*1000)*100</f>
        <v>16.461983774229139</v>
      </c>
      <c r="H237" s="55">
        <f>N176</f>
        <v>66.561797037231813</v>
      </c>
      <c r="I237" s="55">
        <f>N176/(I228*1000)*100</f>
        <v>3.5486144172874332</v>
      </c>
      <c r="J237" s="55"/>
      <c r="K237" s="55">
        <f>G172</f>
        <v>329.87131859472464</v>
      </c>
      <c r="L237" s="55">
        <f>G172/(L228*1000)*100</f>
        <v>43.057139621986906</v>
      </c>
      <c r="M237" s="55">
        <f>I176</f>
        <v>53.701924275809183</v>
      </c>
      <c r="N237" s="55">
        <f>I176/(N228*1000)*100</f>
        <v>7.8064866545427911</v>
      </c>
      <c r="O237" s="55"/>
    </row>
    <row r="238" spans="1:24" x14ac:dyDescent="0.35">
      <c r="A238" s="15" t="s">
        <v>115</v>
      </c>
      <c r="B238" s="7"/>
      <c r="C238" s="7"/>
      <c r="D238" s="7"/>
      <c r="E238" s="7"/>
      <c r="F238" s="14">
        <f>G226</f>
        <v>829.70141030008483</v>
      </c>
      <c r="G238" s="14">
        <f>G226/(G228*1000)*100</f>
        <v>58.296277000234433</v>
      </c>
      <c r="H238" s="14">
        <f>I226</f>
        <v>1686.3917146311273</v>
      </c>
      <c r="I238" s="14">
        <f>I226/(I228*1000)*100</f>
        <v>89.906736568225483</v>
      </c>
      <c r="J238" s="14"/>
      <c r="K238" s="14">
        <f>L226</f>
        <v>275.24503576053377</v>
      </c>
      <c r="L238" s="14">
        <f>L226/(L228*1000)*100</f>
        <v>35.926930493646161</v>
      </c>
      <c r="M238" s="14">
        <f>N226</f>
        <v>571.71462906518434</v>
      </c>
      <c r="N238" s="14">
        <f>N226/(N228*1000)*100</f>
        <v>83.108430138968117</v>
      </c>
      <c r="O238" s="7"/>
      <c r="P238" s="7"/>
    </row>
    <row r="239" spans="1:24" x14ac:dyDescent="0.35">
      <c r="A239" s="15" t="s">
        <v>153</v>
      </c>
      <c r="B239" s="7"/>
      <c r="C239" s="7"/>
      <c r="D239" s="7"/>
      <c r="E239" s="7"/>
      <c r="F239" s="14">
        <f>G239*G228*10</f>
        <v>238.22939046798408</v>
      </c>
      <c r="G239" s="14">
        <f>G250*G184/(G228*1000)*100</f>
        <v>16.73841500558094</v>
      </c>
      <c r="H239" s="14">
        <f>I239*I228*10</f>
        <v>676.50246233730422</v>
      </c>
      <c r="I239" s="14">
        <f>I250*I184/(I228*1000)*100</f>
        <v>36.066429964890936</v>
      </c>
      <c r="J239" s="7"/>
      <c r="K239" s="14">
        <f>L250*L184</f>
        <v>92.18324321481758</v>
      </c>
      <c r="L239" s="14">
        <f>L250*L184/(L228*1000)*100</f>
        <v>12.032409458381608</v>
      </c>
      <c r="M239" s="14">
        <f>N250*N184</f>
        <v>187.65912491851105</v>
      </c>
      <c r="N239" s="14">
        <f>N250*N184/(N228*1000)*100</f>
        <v>27.279440616608351</v>
      </c>
      <c r="O239" s="7"/>
      <c r="P239" s="7"/>
    </row>
    <row r="240" spans="1:24" x14ac:dyDescent="0.35">
      <c r="A240" s="15" t="s">
        <v>154</v>
      </c>
      <c r="B240" s="7"/>
      <c r="C240" s="7"/>
      <c r="D240" s="7"/>
      <c r="E240" s="7"/>
      <c r="F240" s="14">
        <f>G240*G228*10</f>
        <v>296.16054347532429</v>
      </c>
      <c r="G240" s="14">
        <f>G251*G187/(G228*1000)*100</f>
        <v>20.808759470148523</v>
      </c>
      <c r="H240" s="14">
        <f>I240*I228*10</f>
        <v>562.12682365347393</v>
      </c>
      <c r="I240" s="14">
        <f>I251*I187/(I228*1000)*100</f>
        <v>29.968712377836169</v>
      </c>
      <c r="J240" s="14"/>
      <c r="K240" s="14">
        <f>L251*L187</f>
        <v>3.7048656326089113</v>
      </c>
      <c r="L240" s="14">
        <f>L251*L187/(L228*1000)*100</f>
        <v>0.48358528866199474</v>
      </c>
      <c r="M240" s="14">
        <f>N251*N187</f>
        <v>6.2079221186056346</v>
      </c>
      <c r="N240" s="14">
        <f>N251*N187/(N228*1000)*100</f>
        <v>0.90242690229196021</v>
      </c>
      <c r="O240" s="7"/>
      <c r="P240" s="7"/>
    </row>
    <row r="241" spans="1:18" x14ac:dyDescent="0.35">
      <c r="A241" s="7" t="s">
        <v>12</v>
      </c>
      <c r="B241" s="7"/>
      <c r="C241" s="7"/>
      <c r="D241" s="7"/>
      <c r="E241" s="7"/>
      <c r="F241" s="14">
        <f>G241*G228*10</f>
        <v>295.3114763567765</v>
      </c>
      <c r="G241" s="14">
        <f>G238-G240-G239</f>
        <v>20.74910252450497</v>
      </c>
      <c r="H241" s="14">
        <f>I241*I228*10</f>
        <v>447.76242864034907</v>
      </c>
      <c r="I241" s="14">
        <f>I238-I240-I239</f>
        <v>23.871594225498377</v>
      </c>
      <c r="J241" s="14"/>
      <c r="K241" s="14">
        <f>L241*L228*10</f>
        <v>179.35692691310726</v>
      </c>
      <c r="L241" s="14">
        <f>L238-L240-L239</f>
        <v>23.410935746602561</v>
      </c>
      <c r="M241" s="14">
        <f>N241*N228*10</f>
        <v>377.84758202806756</v>
      </c>
      <c r="N241" s="14">
        <f>N238-N240-N239</f>
        <v>54.926562620067799</v>
      </c>
      <c r="O241" s="7"/>
      <c r="P241" s="7"/>
    </row>
    <row r="242" spans="1:18" x14ac:dyDescent="0.35">
      <c r="A242" s="7" t="s">
        <v>40</v>
      </c>
      <c r="B242" s="7"/>
      <c r="C242" s="7"/>
      <c r="D242" s="7"/>
      <c r="E242" s="7"/>
      <c r="F242" s="14">
        <f>SUM(F234:F238)</f>
        <v>1423.2493960064521</v>
      </c>
      <c r="G242" s="14">
        <f>SUM(G234:G238)</f>
        <v>100</v>
      </c>
      <c r="H242" s="14">
        <f>SUM(H234:H238)</f>
        <v>1875.7122981006139</v>
      </c>
      <c r="I242" s="14">
        <f>SUM(I234:I238)</f>
        <v>100</v>
      </c>
      <c r="J242" s="14"/>
      <c r="K242" s="14">
        <f>SUM(K234:K238)</f>
        <v>766.12455330469174</v>
      </c>
      <c r="L242" s="14">
        <f>SUM(L234:L238)</f>
        <v>100</v>
      </c>
      <c r="M242" s="14">
        <f>SUM(M234:M238)</f>
        <v>687.91412388514982</v>
      </c>
      <c r="N242" s="14">
        <f>SUM(N234:N238)</f>
        <v>100</v>
      </c>
      <c r="O242" s="7"/>
      <c r="P242" s="7"/>
    </row>
    <row r="243" spans="1:18" x14ac:dyDescent="0.35">
      <c r="A243" s="7"/>
      <c r="B243" s="7"/>
      <c r="C243" s="7"/>
      <c r="D243" s="7"/>
      <c r="E243" s="7"/>
      <c r="F243" s="14"/>
      <c r="G243" s="14"/>
      <c r="H243" s="14"/>
      <c r="I243" s="14"/>
      <c r="J243" s="14"/>
      <c r="K243" s="14"/>
      <c r="L243" s="14"/>
      <c r="M243" s="7"/>
      <c r="N243" s="7"/>
      <c r="O243" s="7"/>
      <c r="P243" s="7"/>
    </row>
    <row r="244" spans="1:18" x14ac:dyDescent="0.35">
      <c r="A244" s="7" t="s">
        <v>13</v>
      </c>
      <c r="B244" s="7"/>
      <c r="C244" s="7"/>
      <c r="D244" s="7"/>
      <c r="E244" s="7"/>
      <c r="F244" s="14"/>
      <c r="G244" s="14"/>
      <c r="H244" s="14"/>
      <c r="I244" s="14"/>
      <c r="J244" s="14"/>
      <c r="K244" s="14"/>
      <c r="L244" s="14"/>
      <c r="M244" s="7"/>
      <c r="N244" s="7"/>
      <c r="O244" s="7"/>
      <c r="P244" s="7"/>
    </row>
    <row r="245" spans="1:18" x14ac:dyDescent="0.35">
      <c r="A245" s="7" t="s">
        <v>3</v>
      </c>
      <c r="B245" s="7"/>
      <c r="C245" s="7"/>
      <c r="D245" s="7"/>
      <c r="E245" s="7"/>
      <c r="F245" s="14"/>
      <c r="G245" s="18">
        <f>((G190/G186)*((1-L211)/L211))^(1/(1+L207))</f>
        <v>0.56851194626848833</v>
      </c>
      <c r="H245" s="14"/>
      <c r="I245" s="18">
        <f>((I190/I186)*((1-N211)/N211))^(1/(1+N207))</f>
        <v>0.52661119804785206</v>
      </c>
      <c r="J245" s="14"/>
      <c r="K245" s="14"/>
      <c r="L245" s="14">
        <f>(L190/L186*(1-G211)/G211)^(1/(1+G207))</f>
        <v>1.3535626540685666</v>
      </c>
      <c r="M245" s="7"/>
      <c r="N245" s="14">
        <f>(N190/N186*(1-I211)/I211)^(1/(1+I207))</f>
        <v>0.66822244550905507</v>
      </c>
      <c r="O245" s="7"/>
      <c r="P245" s="15"/>
      <c r="Q245" s="7"/>
      <c r="R245" s="7"/>
    </row>
    <row r="246" spans="1:18" x14ac:dyDescent="0.35">
      <c r="A246" s="15" t="s">
        <v>155</v>
      </c>
      <c r="B246" s="7"/>
      <c r="C246" s="7"/>
      <c r="D246" s="7"/>
      <c r="E246" s="7"/>
      <c r="F246" s="14"/>
      <c r="G246" s="18">
        <f>(G187/G225*(1-L212)/L212)^(1/(1+L208))</f>
        <v>1.2488085384178977</v>
      </c>
      <c r="H246" s="14"/>
      <c r="I246" s="18">
        <f>(I187/I225*(1-N212)/N212)^(1/(1+N208))</f>
        <v>1.6202598124095502</v>
      </c>
      <c r="J246" s="14"/>
      <c r="K246" s="14"/>
      <c r="L246" s="14">
        <f>(L187/L225*(1-G212)/G212)^(1/(1+G208))</f>
        <v>16.986907184397278</v>
      </c>
      <c r="M246" s="7"/>
      <c r="N246" s="14">
        <f>(N187/N225*(1-I212)/I212)^(1/(1+I208))</f>
        <v>19.632464424642929</v>
      </c>
      <c r="O246" s="7"/>
      <c r="P246" s="15"/>
      <c r="Q246" s="7"/>
      <c r="R246" s="7"/>
    </row>
    <row r="247" spans="1:18" x14ac:dyDescent="0.35">
      <c r="A247" s="7"/>
      <c r="B247" s="7"/>
      <c r="C247" s="7"/>
      <c r="D247" s="7"/>
      <c r="E247" s="7"/>
      <c r="F247" s="14"/>
      <c r="G247" s="14"/>
      <c r="H247" s="14"/>
      <c r="I247" s="14"/>
      <c r="J247" s="14"/>
      <c r="K247" s="14"/>
      <c r="L247" s="14"/>
      <c r="M247" s="7"/>
      <c r="N247" s="14"/>
      <c r="O247" s="7"/>
      <c r="P247" s="7"/>
    </row>
    <row r="248" spans="1:18" x14ac:dyDescent="0.35">
      <c r="A248" s="7" t="s">
        <v>14</v>
      </c>
      <c r="B248" s="7"/>
      <c r="C248" s="7"/>
      <c r="D248" s="7"/>
      <c r="E248" s="7"/>
      <c r="F248" s="14"/>
      <c r="G248" s="14"/>
      <c r="H248" s="14"/>
      <c r="I248" s="14"/>
      <c r="J248" s="14"/>
      <c r="K248" s="14"/>
      <c r="L248" s="14"/>
      <c r="M248" s="7"/>
      <c r="N248" s="14"/>
      <c r="O248" s="7"/>
      <c r="P248" s="7"/>
    </row>
    <row r="249" spans="1:18" x14ac:dyDescent="0.35">
      <c r="A249" s="7" t="s">
        <v>1</v>
      </c>
      <c r="B249" s="7"/>
      <c r="C249" s="7"/>
      <c r="D249" s="7"/>
      <c r="E249" s="7"/>
      <c r="F249" s="14"/>
      <c r="G249" s="14">
        <f>G250+G251</f>
        <v>20.078150976293308</v>
      </c>
      <c r="H249" s="14"/>
      <c r="I249" s="14">
        <f>I250+I251</f>
        <v>47.242822987824624</v>
      </c>
      <c r="J249" s="14"/>
      <c r="K249" s="14"/>
      <c r="L249" s="14">
        <f>L250+L251</f>
        <v>17.858434953063689</v>
      </c>
      <c r="M249" s="7"/>
      <c r="N249" s="14">
        <f>N250+N251</f>
        <v>30.826189982126166</v>
      </c>
      <c r="O249" s="7"/>
      <c r="P249" s="7"/>
    </row>
    <row r="250" spans="1:18" x14ac:dyDescent="0.35">
      <c r="A250" s="15" t="s">
        <v>156</v>
      </c>
      <c r="B250" s="7"/>
      <c r="C250" s="7"/>
      <c r="D250" s="7"/>
      <c r="E250" s="7"/>
      <c r="F250" s="14"/>
      <c r="G250" s="14">
        <f>G252/G185*100</f>
        <v>6.2194858739382974</v>
      </c>
      <c r="H250" s="14"/>
      <c r="I250" s="14">
        <f>I252/I185*100</f>
        <v>17.073710538324875</v>
      </c>
      <c r="J250" s="14"/>
      <c r="K250" s="14"/>
      <c r="L250" s="14">
        <f>L252/L185*100</f>
        <v>16.997237871144797</v>
      </c>
      <c r="M250" s="7"/>
      <c r="N250" s="14">
        <f>N252/N185*100</f>
        <v>28.961464675971254</v>
      </c>
      <c r="O250" s="7"/>
      <c r="P250" s="7"/>
    </row>
    <row r="251" spans="1:18" x14ac:dyDescent="0.35">
      <c r="A251" s="15" t="s">
        <v>157</v>
      </c>
      <c r="B251" s="7"/>
      <c r="C251" s="7"/>
      <c r="D251" s="7"/>
      <c r="E251" s="7"/>
      <c r="F251" s="14"/>
      <c r="G251" s="14">
        <f>G226/(G187+G225*G246)</f>
        <v>13.858665102355012</v>
      </c>
      <c r="H251" s="14"/>
      <c r="I251" s="14">
        <f>I226/(I187+I225*I246)</f>
        <v>30.169112449499746</v>
      </c>
      <c r="J251" s="14"/>
      <c r="K251" s="14"/>
      <c r="L251" s="14">
        <f>L226/(L187+L225*L246)</f>
        <v>0.86119708191889033</v>
      </c>
      <c r="M251" s="7"/>
      <c r="N251" s="14">
        <f>N226/(N187+N225*N246)</f>
        <v>1.8647253061549141</v>
      </c>
      <c r="O251" s="7"/>
      <c r="P251" s="7"/>
    </row>
    <row r="252" spans="1:18" x14ac:dyDescent="0.35">
      <c r="A252" s="7" t="s">
        <v>2</v>
      </c>
      <c r="B252" s="7"/>
      <c r="C252" s="7"/>
      <c r="D252" s="7"/>
      <c r="E252" s="7"/>
      <c r="F252" s="14"/>
      <c r="G252" s="14">
        <f>G253*G245</f>
        <v>6.2194858739382974</v>
      </c>
      <c r="H252" s="14"/>
      <c r="I252" s="14">
        <f>I253*I245</f>
        <v>17.073710538324875</v>
      </c>
      <c r="J252" s="14"/>
      <c r="K252" s="14"/>
      <c r="L252" s="14">
        <f>L253*L245</f>
        <v>8.4986189355723987</v>
      </c>
      <c r="M252" s="7"/>
      <c r="N252" s="14">
        <f>N253*N245</f>
        <v>14.480732337985629</v>
      </c>
      <c r="O252" s="7"/>
      <c r="P252" s="7"/>
    </row>
    <row r="253" spans="1:18" x14ac:dyDescent="0.35">
      <c r="A253" s="7" t="s">
        <v>0</v>
      </c>
      <c r="B253" s="7"/>
      <c r="C253" s="7"/>
      <c r="D253" s="7"/>
      <c r="E253" s="7"/>
      <c r="F253" s="14"/>
      <c r="G253" s="14">
        <f>G225/(G190+G186*G245)*(G251*G246)</f>
        <v>10.939938755484043</v>
      </c>
      <c r="H253" s="14"/>
      <c r="I253" s="14">
        <f>I225/(I190+I186*I245)*(I251*I246)</f>
        <v>32.421852405754237</v>
      </c>
      <c r="J253" s="14"/>
      <c r="K253" s="14"/>
      <c r="L253" s="14">
        <f>L225/(L190+L186*L245)*(L251*L246)</f>
        <v>6.2787037674444361</v>
      </c>
      <c r="M253" s="7"/>
      <c r="N253" s="14">
        <f>N225/(N190+N186*N245)*(N251*N246)</f>
        <v>21.670526686594815</v>
      </c>
      <c r="O253" s="7"/>
      <c r="P253" s="7"/>
    </row>
    <row r="254" spans="1:18" x14ac:dyDescent="0.35">
      <c r="A254" s="7"/>
      <c r="B254" s="7"/>
      <c r="C254" s="7"/>
      <c r="D254" s="7"/>
      <c r="E254" s="7"/>
      <c r="F254" s="7"/>
      <c r="G254" s="7"/>
      <c r="H254" s="7"/>
      <c r="I254" s="7"/>
      <c r="J254" s="7"/>
      <c r="K254" s="7"/>
      <c r="L254" s="7"/>
      <c r="M254" s="7"/>
      <c r="N254" s="7"/>
      <c r="O254" s="7"/>
      <c r="P254" s="7"/>
    </row>
    <row r="255" spans="1:18" x14ac:dyDescent="0.35">
      <c r="A255" s="15" t="s">
        <v>338</v>
      </c>
      <c r="B255" s="81"/>
      <c r="C255" s="81"/>
      <c r="D255" s="7"/>
      <c r="E255" s="7"/>
      <c r="F255" s="7"/>
      <c r="G255" s="14">
        <f>(G$194/G$176)/(G$249/G$226)</f>
        <v>0.70477881702631651</v>
      </c>
      <c r="H255" s="7"/>
      <c r="I255" s="14">
        <f>(I$194/I$172)/(I$249/I$226)</f>
        <v>0.59208628346830228</v>
      </c>
      <c r="J255" s="7"/>
      <c r="K255" s="7"/>
      <c r="L255" s="14">
        <f>(L194/L176)/(L249/L226)</f>
        <v>1.2544255680949314</v>
      </c>
      <c r="M255" s="7"/>
      <c r="N255" s="14">
        <f>(N194/N172)/(N249/N226)</f>
        <v>1.8386990481138554</v>
      </c>
      <c r="O255" s="7"/>
      <c r="P255" s="7"/>
    </row>
    <row r="256" spans="1:18" x14ac:dyDescent="0.35">
      <c r="A256" s="15" t="s">
        <v>339</v>
      </c>
      <c r="B256" s="81"/>
      <c r="C256" s="81"/>
      <c r="D256" s="7"/>
      <c r="E256" s="7"/>
      <c r="F256" s="7"/>
      <c r="G256" s="14">
        <f>(G$196/G$176)/(G$251/G$226)</f>
        <v>6.2347464297303569E-2</v>
      </c>
      <c r="H256" s="7"/>
      <c r="I256" s="14">
        <f>(I$196/I$172)/(I$251/I$226)</f>
        <v>6.2091713066538448E-2</v>
      </c>
      <c r="J256" s="7"/>
      <c r="K256" s="7"/>
      <c r="L256" s="14">
        <f>(L$196/L$176)/(L$251/L$226)</f>
        <v>17.037616999256059</v>
      </c>
      <c r="M256" s="7"/>
      <c r="N256" s="14">
        <f>(N$196/N$172)/(N$251/N$226)</f>
        <v>18.734479797564507</v>
      </c>
      <c r="O256" s="7"/>
      <c r="P256" s="7"/>
    </row>
    <row r="257" spans="1:46" x14ac:dyDescent="0.35">
      <c r="A257" s="15" t="s">
        <v>340</v>
      </c>
      <c r="B257" s="81"/>
      <c r="C257" s="81"/>
      <c r="D257" s="7"/>
      <c r="E257" s="7"/>
      <c r="F257" s="7"/>
      <c r="G257" s="14">
        <f>G$194/(G$249/G$228)</f>
        <v>0.60467916732823879</v>
      </c>
      <c r="H257" s="7"/>
      <c r="I257" s="14">
        <f>I$194/(I$249/I$228)</f>
        <v>0.5799991781365752</v>
      </c>
      <c r="J257" s="7"/>
      <c r="K257" s="7"/>
      <c r="L257" s="14">
        <f>L194/(L249/L228)</f>
        <v>1.4128557709385809</v>
      </c>
      <c r="M257" s="7"/>
      <c r="N257" s="14">
        <f>N194/(N249/N228)</f>
        <v>1.7898562994067868</v>
      </c>
      <c r="O257" s="7"/>
      <c r="P257" s="7"/>
    </row>
    <row r="258" spans="1:46" x14ac:dyDescent="0.35">
      <c r="A258" s="15" t="s">
        <v>341</v>
      </c>
      <c r="B258" s="81"/>
      <c r="C258" s="81"/>
      <c r="D258" s="7"/>
      <c r="E258" s="7"/>
      <c r="F258" s="7"/>
      <c r="G258" s="14">
        <f>(G194/G198)/(G249/G253)</f>
        <v>0.68846227370514101</v>
      </c>
      <c r="H258" s="7"/>
      <c r="I258" s="14">
        <f>(I194/I198)/(I249/I253)</f>
        <v>0.42940501517308177</v>
      </c>
      <c r="J258" s="7"/>
      <c r="K258" s="7"/>
      <c r="L258" s="14">
        <f>(L194/L198)/(L249/L253)</f>
        <v>1.3218876652892031</v>
      </c>
      <c r="M258" s="7"/>
      <c r="N258" s="14">
        <f>(N194/N198)/(N249/N253)</f>
        <v>2.2089822065850075</v>
      </c>
      <c r="O258" s="7"/>
      <c r="P258" s="7"/>
    </row>
    <row r="259" spans="1:46" x14ac:dyDescent="0.35">
      <c r="A259" s="81"/>
      <c r="B259" s="81"/>
      <c r="C259" s="81"/>
      <c r="D259" s="7"/>
      <c r="E259" s="7"/>
      <c r="F259" s="7"/>
      <c r="G259" s="7"/>
      <c r="H259" s="7"/>
      <c r="I259" s="7"/>
      <c r="J259" s="7"/>
      <c r="K259" s="7"/>
      <c r="L259" s="7"/>
      <c r="M259" s="7"/>
      <c r="N259" s="7"/>
      <c r="O259" s="7"/>
      <c r="P259" s="7"/>
    </row>
    <row r="260" spans="1:46" x14ac:dyDescent="0.35">
      <c r="A260" s="81" t="s">
        <v>15</v>
      </c>
      <c r="B260" s="81"/>
      <c r="C260" s="81"/>
      <c r="D260" s="7"/>
      <c r="E260" s="7"/>
      <c r="F260" s="7"/>
      <c r="G260" s="7"/>
      <c r="H260" s="7"/>
      <c r="I260" s="7"/>
      <c r="J260" s="7"/>
      <c r="K260" s="7"/>
      <c r="L260" s="7"/>
      <c r="M260" s="7"/>
      <c r="N260" s="7"/>
      <c r="O260" s="7"/>
      <c r="P260" s="7"/>
    </row>
    <row r="261" spans="1:46" x14ac:dyDescent="0.35">
      <c r="A261" s="81" t="s">
        <v>158</v>
      </c>
      <c r="B261" s="81"/>
      <c r="C261" s="81"/>
      <c r="D261" s="7"/>
      <c r="E261" s="7"/>
      <c r="F261" s="7"/>
      <c r="G261" s="14">
        <f>(G251/G253)/(G196/G198)</f>
        <v>16.419272111320339</v>
      </c>
      <c r="H261" s="7"/>
      <c r="I261" s="14">
        <f>(I251/I253)/(I196/I198)</f>
        <v>22.206711265070254</v>
      </c>
      <c r="J261" s="7"/>
      <c r="K261" s="7"/>
      <c r="L261" s="14">
        <f>1/((L251/L253)/(L196/L198))</f>
        <v>17.953887683779932</v>
      </c>
      <c r="M261" s="7"/>
      <c r="N261" s="14">
        <f>1/((N251/N253)/(N196/N198))</f>
        <v>22.507289904184312</v>
      </c>
      <c r="O261" s="7"/>
      <c r="P261" s="7"/>
    </row>
    <row r="262" spans="1:46" x14ac:dyDescent="0.35">
      <c r="A262" s="81" t="s">
        <v>159</v>
      </c>
      <c r="B262" s="81"/>
      <c r="C262" s="81"/>
      <c r="D262" s="7"/>
      <c r="E262" s="7"/>
      <c r="F262" s="7"/>
      <c r="G262" s="14">
        <f>1/((G196/G197)/(G251/G252))</f>
        <v>34.264206064841289</v>
      </c>
      <c r="H262" s="7"/>
      <c r="I262" s="14">
        <f>1/((I196/I197)/(I251/I252))</f>
        <v>24.618140683848225</v>
      </c>
      <c r="J262" s="7"/>
      <c r="K262" s="7"/>
      <c r="L262" s="14">
        <f>(L196/L197)/(L251/L252)</f>
        <v>37.466685678344767</v>
      </c>
      <c r="M262" s="7"/>
      <c r="N262" s="14">
        <f>(N196/N197)/(N251/N252)</f>
        <v>24.951359193151237</v>
      </c>
      <c r="O262" s="7"/>
      <c r="P262" s="7"/>
    </row>
    <row r="263" spans="1:46" x14ac:dyDescent="0.35">
      <c r="A263" s="81"/>
      <c r="B263" s="81"/>
      <c r="C263" s="81"/>
      <c r="D263" s="7"/>
      <c r="E263" s="7"/>
      <c r="F263" s="7"/>
      <c r="G263" s="7"/>
      <c r="H263" s="7"/>
      <c r="I263" s="7"/>
      <c r="J263" s="7"/>
      <c r="K263" s="7"/>
      <c r="L263" s="7"/>
      <c r="M263" s="7"/>
      <c r="N263" s="7"/>
      <c r="O263" s="7"/>
      <c r="P263" s="7"/>
    </row>
    <row r="264" spans="1:46" x14ac:dyDescent="0.35">
      <c r="A264" s="81" t="s">
        <v>48</v>
      </c>
      <c r="B264" s="81"/>
      <c r="C264" s="81"/>
      <c r="D264" s="7"/>
      <c r="E264" s="7"/>
      <c r="F264" s="7"/>
      <c r="G264" s="7"/>
      <c r="H264" s="7"/>
      <c r="I264" s="7"/>
      <c r="J264" s="7"/>
      <c r="K264" s="7"/>
      <c r="L264" s="7"/>
      <c r="M264" s="7"/>
      <c r="N264" s="7"/>
      <c r="O264" s="7"/>
    </row>
    <row r="265" spans="1:46" x14ac:dyDescent="0.35">
      <c r="A265" s="81"/>
      <c r="B265" s="81"/>
      <c r="C265" s="81"/>
      <c r="D265" s="7"/>
      <c r="E265" s="7"/>
      <c r="F265" s="7"/>
      <c r="G265" s="7"/>
      <c r="H265" s="7"/>
      <c r="I265" s="7"/>
      <c r="J265" s="7"/>
      <c r="K265" s="7"/>
      <c r="L265" s="7"/>
      <c r="M265" s="7"/>
      <c r="N265" s="7"/>
      <c r="O265" s="7"/>
    </row>
    <row r="266" spans="1:46" x14ac:dyDescent="0.35">
      <c r="A266" s="81" t="s">
        <v>43</v>
      </c>
      <c r="B266" s="81"/>
      <c r="C266" s="81"/>
      <c r="D266" s="7"/>
      <c r="E266" s="7"/>
      <c r="F266" s="7"/>
      <c r="G266" s="7"/>
      <c r="H266" s="7"/>
      <c r="I266" s="7"/>
      <c r="J266" s="7"/>
      <c r="K266" s="7"/>
      <c r="L266" s="42" t="s">
        <v>74</v>
      </c>
      <c r="M266" s="7"/>
      <c r="N266" s="8" t="s">
        <v>72</v>
      </c>
      <c r="O266" s="7"/>
    </row>
    <row r="267" spans="1:46" x14ac:dyDescent="0.35">
      <c r="A267" s="15" t="s">
        <v>337</v>
      </c>
      <c r="B267" s="81"/>
      <c r="C267" s="81"/>
      <c r="D267" s="7"/>
      <c r="E267" s="7"/>
      <c r="F267" s="7"/>
      <c r="G267" s="7"/>
      <c r="H267" s="7"/>
      <c r="I267" s="19"/>
      <c r="J267" s="19"/>
      <c r="K267" s="19"/>
      <c r="L267" s="35">
        <v>1</v>
      </c>
      <c r="M267" s="71"/>
      <c r="N267" s="35">
        <v>0.5</v>
      </c>
      <c r="O267" s="7"/>
      <c r="P267" s="15"/>
      <c r="Q267" s="7"/>
      <c r="R267" s="7"/>
      <c r="S267" s="7"/>
      <c r="T267" s="7"/>
      <c r="U267" s="7"/>
      <c r="V267" s="7"/>
      <c r="W267" s="7"/>
      <c r="X267" s="7"/>
      <c r="Y267" s="7"/>
      <c r="Z267" s="7"/>
    </row>
    <row r="268" spans="1:46" s="80" customFormat="1" x14ac:dyDescent="0.35">
      <c r="A268" s="81" t="s">
        <v>116</v>
      </c>
      <c r="B268" s="81"/>
      <c r="C268" s="81"/>
      <c r="D268" s="81"/>
      <c r="E268" s="81"/>
      <c r="F268" s="81"/>
      <c r="G268" s="81"/>
      <c r="H268" s="81"/>
      <c r="I268" s="81"/>
      <c r="J268" s="89">
        <v>0.5</v>
      </c>
      <c r="K268" s="81"/>
      <c r="L268" s="88">
        <f>J268</f>
        <v>0.5</v>
      </c>
      <c r="M268" s="121"/>
      <c r="N268" s="88">
        <f>J268</f>
        <v>0.5</v>
      </c>
      <c r="O268" s="81"/>
      <c r="P268" s="81"/>
      <c r="Q268" s="81"/>
      <c r="R268" s="81"/>
      <c r="S268" s="81"/>
      <c r="T268" s="81"/>
      <c r="U268" s="81"/>
      <c r="V268" s="81"/>
      <c r="W268" s="81"/>
      <c r="X268" s="81"/>
      <c r="Y268" s="81"/>
      <c r="Z268" s="81"/>
    </row>
    <row r="269" spans="1:46" s="80" customFormat="1" x14ac:dyDescent="0.35">
      <c r="A269" s="15" t="s">
        <v>315</v>
      </c>
      <c r="B269" s="81"/>
      <c r="C269" s="81"/>
      <c r="D269" s="81"/>
      <c r="E269" s="81"/>
      <c r="F269" s="81"/>
      <c r="G269" s="81"/>
      <c r="H269" s="81"/>
      <c r="I269" s="81"/>
      <c r="J269" s="89">
        <v>0</v>
      </c>
      <c r="K269" s="81"/>
      <c r="L269" s="88">
        <f>J269</f>
        <v>0</v>
      </c>
      <c r="M269" s="121"/>
      <c r="N269" s="88">
        <f>J269</f>
        <v>0</v>
      </c>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1"/>
      <c r="AR269" s="81"/>
      <c r="AS269" s="81"/>
      <c r="AT269" s="81"/>
    </row>
    <row r="270" spans="1:46" x14ac:dyDescent="0.35">
      <c r="A270" s="81" t="s">
        <v>251</v>
      </c>
      <c r="B270" s="81"/>
      <c r="C270" s="81"/>
      <c r="D270" s="7"/>
      <c r="E270" s="7"/>
      <c r="F270" s="7"/>
      <c r="G270" s="7"/>
      <c r="H270" s="7"/>
      <c r="I270" s="7"/>
      <c r="J270" s="7"/>
      <c r="K270" s="7"/>
      <c r="L270" s="36">
        <v>0.67</v>
      </c>
      <c r="M270" s="71"/>
      <c r="N270" s="14">
        <f>1-L270</f>
        <v>0.32999999999999996</v>
      </c>
      <c r="O270" s="7"/>
      <c r="P270" s="15"/>
      <c r="Q270" s="7"/>
      <c r="R270" s="7"/>
      <c r="S270" s="7"/>
      <c r="T270" s="7"/>
      <c r="U270" s="7"/>
      <c r="V270" s="7"/>
      <c r="W270" s="7"/>
      <c r="X270" s="7"/>
      <c r="Y270" s="7"/>
      <c r="Z270" s="7"/>
    </row>
    <row r="271" spans="1:46" x14ac:dyDescent="0.35">
      <c r="A271" s="81" t="s">
        <v>252</v>
      </c>
      <c r="B271" s="81"/>
      <c r="C271" s="81"/>
      <c r="D271" s="7"/>
      <c r="E271" s="7"/>
      <c r="F271" s="7"/>
      <c r="G271" s="7"/>
      <c r="H271" s="7"/>
      <c r="I271" s="7"/>
      <c r="J271" s="7"/>
      <c r="K271" s="7"/>
      <c r="L271" s="69">
        <v>7.1999999999999995E-2</v>
      </c>
      <c r="M271" s="71"/>
      <c r="N271" s="69">
        <v>5.1999999999999998E-2</v>
      </c>
      <c r="O271" s="7"/>
      <c r="P271" s="7"/>
      <c r="Q271" s="7"/>
      <c r="R271" s="7"/>
      <c r="S271" s="7"/>
      <c r="T271" s="7"/>
      <c r="U271" s="7"/>
      <c r="V271" s="7"/>
      <c r="W271" s="7"/>
      <c r="X271" s="7"/>
      <c r="Y271" s="7"/>
      <c r="Z271" s="7"/>
    </row>
    <row r="272" spans="1:46" x14ac:dyDescent="0.35">
      <c r="A272" s="81" t="s">
        <v>290</v>
      </c>
      <c r="B272" s="81"/>
      <c r="C272" s="81"/>
      <c r="D272" s="7"/>
      <c r="E272" s="7"/>
      <c r="F272" s="7"/>
      <c r="G272" s="7"/>
      <c r="H272" s="7"/>
      <c r="I272" s="7"/>
      <c r="J272" s="7"/>
      <c r="K272" s="7"/>
      <c r="L272" s="37">
        <v>0.1</v>
      </c>
      <c r="M272" s="71"/>
      <c r="N272" s="37">
        <v>0.1</v>
      </c>
      <c r="O272" s="7"/>
      <c r="P272" s="15"/>
      <c r="Q272" s="7"/>
      <c r="R272" s="7"/>
      <c r="S272" s="7"/>
      <c r="T272" s="7"/>
      <c r="U272" s="7"/>
      <c r="V272" s="7"/>
      <c r="W272" s="7"/>
      <c r="X272" s="7"/>
      <c r="Y272" s="7"/>
      <c r="Z272" s="7"/>
    </row>
    <row r="273" spans="1:26" x14ac:dyDescent="0.35">
      <c r="A273" s="81" t="s">
        <v>253</v>
      </c>
      <c r="B273" s="81"/>
      <c r="C273" s="81"/>
      <c r="D273" s="7"/>
      <c r="E273" s="7"/>
      <c r="F273" s="7"/>
      <c r="G273" s="7"/>
      <c r="H273" s="7"/>
      <c r="I273" s="7"/>
      <c r="J273" s="7"/>
      <c r="K273" s="7"/>
      <c r="L273" s="36">
        <v>0.18</v>
      </c>
      <c r="M273" s="71"/>
      <c r="N273" s="36">
        <v>0.18</v>
      </c>
      <c r="O273" s="7"/>
      <c r="P273" s="15"/>
      <c r="Q273" s="7"/>
      <c r="R273" s="7"/>
      <c r="S273" s="7"/>
      <c r="T273" s="7"/>
      <c r="U273" s="7"/>
      <c r="V273" s="7"/>
      <c r="W273" s="7"/>
      <c r="X273" s="7"/>
      <c r="Y273" s="7"/>
      <c r="Z273" s="7"/>
    </row>
    <row r="274" spans="1:26" x14ac:dyDescent="0.35">
      <c r="A274" s="81" t="s">
        <v>254</v>
      </c>
      <c r="B274" s="81"/>
      <c r="C274" s="81"/>
      <c r="D274" s="7"/>
      <c r="E274" s="7"/>
      <c r="F274" s="7"/>
      <c r="G274" s="7"/>
      <c r="H274" s="7"/>
      <c r="I274" s="7"/>
      <c r="J274" s="7"/>
      <c r="K274" s="7"/>
      <c r="L274" s="37">
        <v>0.04</v>
      </c>
      <c r="M274" s="71"/>
      <c r="N274" s="37">
        <v>0.04</v>
      </c>
      <c r="O274" s="7"/>
      <c r="P274" s="7"/>
      <c r="Q274" s="7"/>
      <c r="R274" s="7"/>
      <c r="S274" s="7"/>
      <c r="T274" s="7"/>
      <c r="U274" s="7"/>
      <c r="V274" s="7"/>
      <c r="W274" s="7"/>
      <c r="X274" s="7"/>
      <c r="Y274" s="7"/>
      <c r="Z274" s="7"/>
    </row>
    <row r="275" spans="1:26" s="80" customFormat="1" x14ac:dyDescent="0.35">
      <c r="A275" s="81" t="s">
        <v>248</v>
      </c>
      <c r="B275" s="81"/>
      <c r="C275" s="81"/>
      <c r="D275" s="81"/>
      <c r="E275" s="81"/>
      <c r="F275" s="81"/>
      <c r="G275" s="81"/>
      <c r="H275" s="81"/>
      <c r="I275" s="81"/>
      <c r="J275" s="123">
        <v>0.5</v>
      </c>
      <c r="K275" s="81"/>
      <c r="L275" s="88">
        <f>J275</f>
        <v>0.5</v>
      </c>
      <c r="M275" s="81"/>
      <c r="N275" s="88">
        <f>J275</f>
        <v>0.5</v>
      </c>
      <c r="O275" s="81"/>
      <c r="P275" s="81"/>
      <c r="Q275" s="81"/>
      <c r="R275" s="81"/>
      <c r="S275" s="81"/>
      <c r="T275" s="81"/>
      <c r="U275" s="81"/>
      <c r="V275" s="81"/>
      <c r="W275" s="81"/>
      <c r="X275" s="81"/>
      <c r="Y275" s="81"/>
      <c r="Z275" s="81"/>
    </row>
    <row r="276" spans="1:26" x14ac:dyDescent="0.35">
      <c r="A276" s="81"/>
      <c r="B276" s="15"/>
      <c r="C276" s="81"/>
      <c r="D276" s="7"/>
      <c r="E276" s="7"/>
      <c r="F276" s="7"/>
      <c r="G276" s="7"/>
      <c r="H276" s="7"/>
      <c r="I276" s="7"/>
      <c r="J276" s="7"/>
      <c r="K276" s="7"/>
      <c r="L276" s="16"/>
      <c r="M276" s="7"/>
      <c r="N276" s="16"/>
      <c r="O276" s="7"/>
      <c r="P276" s="7"/>
      <c r="Q276" s="7"/>
      <c r="R276" s="7"/>
      <c r="S276" s="7"/>
      <c r="T276" s="7"/>
      <c r="U276" s="7"/>
      <c r="V276" s="7"/>
      <c r="W276" s="7"/>
      <c r="X276" s="7"/>
      <c r="Y276" s="7"/>
      <c r="Z276" s="7"/>
    </row>
    <row r="277" spans="1:26" x14ac:dyDescent="0.3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x14ac:dyDescent="0.35">
      <c r="A278" s="15" t="s">
        <v>163</v>
      </c>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x14ac:dyDescent="0.3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x14ac:dyDescent="0.35">
      <c r="A280" s="7" t="s">
        <v>18</v>
      </c>
      <c r="B280" s="7"/>
      <c r="C280" s="7"/>
      <c r="D280" s="7"/>
      <c r="E280" s="7"/>
      <c r="F280" s="7"/>
      <c r="G280" s="7"/>
      <c r="H280" s="7"/>
      <c r="I280" s="8" t="s">
        <v>62</v>
      </c>
      <c r="J280" s="7"/>
      <c r="K280" s="7"/>
      <c r="L280" s="42" t="s">
        <v>74</v>
      </c>
      <c r="M280" s="7"/>
      <c r="N280" s="8" t="s">
        <v>72</v>
      </c>
      <c r="O280" s="15"/>
      <c r="P280" s="15"/>
      <c r="Q280" s="7"/>
      <c r="R280" s="7"/>
      <c r="S280" s="7"/>
      <c r="T280" s="7"/>
      <c r="U280" s="7"/>
      <c r="V280" s="7"/>
      <c r="W280" s="7"/>
      <c r="X280" s="7"/>
      <c r="Y280" s="7"/>
      <c r="Z280" s="7"/>
    </row>
    <row r="281" spans="1:26" x14ac:dyDescent="0.35">
      <c r="A281" s="7"/>
      <c r="B281" s="15" t="s">
        <v>117</v>
      </c>
      <c r="C281" s="7"/>
      <c r="D281" s="7"/>
      <c r="E281" s="7"/>
      <c r="F281" s="7"/>
      <c r="G281" s="7"/>
      <c r="H281" s="7"/>
      <c r="I281" s="19">
        <f t="shared" ref="I281:I286" ca="1" si="0">L281+N281</f>
        <v>2826.9462408873324</v>
      </c>
      <c r="J281" s="19"/>
      <c r="K281" s="19"/>
      <c r="L281" s="19">
        <f>O294</f>
        <v>2030.3992000000001</v>
      </c>
      <c r="M281" s="19"/>
      <c r="N281" s="19">
        <f ca="1">O296</f>
        <v>796.54704088733251</v>
      </c>
      <c r="O281" s="7"/>
      <c r="P281" s="15"/>
      <c r="Q281" s="7"/>
      <c r="R281" s="7"/>
      <c r="S281" s="7"/>
      <c r="T281" s="7"/>
      <c r="U281" s="7"/>
      <c r="V281" s="7"/>
      <c r="W281" s="7"/>
      <c r="X281" s="7"/>
      <c r="Y281" s="7"/>
      <c r="Z281" s="7"/>
    </row>
    <row r="282" spans="1:26" x14ac:dyDescent="0.35">
      <c r="A282" s="7"/>
      <c r="B282" s="15" t="s">
        <v>246</v>
      </c>
      <c r="C282" s="7"/>
      <c r="D282" s="7"/>
      <c r="E282" s="7"/>
      <c r="F282" s="7"/>
      <c r="G282" s="7"/>
      <c r="H282" s="7"/>
      <c r="I282" s="19">
        <f t="shared" ca="1" si="0"/>
        <v>-220.04099556333682</v>
      </c>
      <c r="J282" s="24" t="s">
        <v>245</v>
      </c>
      <c r="K282" s="19"/>
      <c r="L282" s="19">
        <f ca="1">G305*L36/100+G306*G43/100*(1-L272)</f>
        <v>-219.12207247455441</v>
      </c>
      <c r="M282" s="19"/>
      <c r="N282" s="19">
        <f ca="1">I305*N36/100+I306*I43/100*(1-N272)</f>
        <v>-0.91892308878239426</v>
      </c>
      <c r="O282" s="7"/>
      <c r="P282" s="15"/>
      <c r="Q282" s="7"/>
      <c r="R282" s="7"/>
      <c r="S282" s="7"/>
      <c r="T282" s="7"/>
      <c r="U282" s="7"/>
      <c r="V282" s="7"/>
      <c r="W282" s="7"/>
      <c r="X282" s="7"/>
      <c r="Y282" s="7"/>
      <c r="Z282" s="7"/>
    </row>
    <row r="283" spans="1:26" x14ac:dyDescent="0.35">
      <c r="A283" s="7"/>
      <c r="B283" s="15" t="s">
        <v>118</v>
      </c>
      <c r="C283" s="7"/>
      <c r="D283" s="7"/>
      <c r="E283" s="7"/>
      <c r="F283" s="7"/>
      <c r="G283" s="7"/>
      <c r="H283" s="7"/>
      <c r="I283" s="19">
        <f t="shared" ca="1" si="0"/>
        <v>-21.1637103261025</v>
      </c>
      <c r="J283" s="24" t="s">
        <v>247</v>
      </c>
      <c r="K283" s="19"/>
      <c r="L283" s="19">
        <f ca="1">L305*L43/100+L306*G43/100</f>
        <v>-16.95072034878298</v>
      </c>
      <c r="M283" s="19"/>
      <c r="N283" s="19">
        <f ca="1">N305*N43/100+N306*I43/100</f>
        <v>-4.212989977319519</v>
      </c>
      <c r="P283" s="15"/>
      <c r="Q283" s="15"/>
      <c r="R283" s="7"/>
      <c r="S283" s="7"/>
      <c r="T283" s="7"/>
      <c r="U283" s="7"/>
      <c r="V283" s="7"/>
      <c r="W283" s="7"/>
      <c r="X283" s="7"/>
      <c r="Y283" s="7"/>
      <c r="Z283" s="7"/>
    </row>
    <row r="284" spans="1:26" x14ac:dyDescent="0.35">
      <c r="A284" s="7"/>
      <c r="B284" s="15" t="s">
        <v>119</v>
      </c>
      <c r="C284" s="7"/>
      <c r="D284" s="7"/>
      <c r="E284" s="7"/>
      <c r="F284" s="7"/>
      <c r="G284" s="7"/>
      <c r="H284" s="7"/>
      <c r="I284" s="19">
        <f t="shared" ca="1" si="0"/>
        <v>175.81378530619097</v>
      </c>
      <c r="J284" s="24" t="s">
        <v>247</v>
      </c>
      <c r="K284" s="19"/>
      <c r="L284" s="19">
        <f ca="1">L305*L44/100</f>
        <v>155.34346691003904</v>
      </c>
      <c r="M284" s="19"/>
      <c r="N284" s="19">
        <f ca="1">N305*N44/100</f>
        <v>20.470318396151931</v>
      </c>
      <c r="P284" s="15"/>
      <c r="Q284" s="15"/>
      <c r="R284" s="7"/>
      <c r="S284" s="7"/>
      <c r="T284" s="7"/>
      <c r="U284" s="7"/>
      <c r="V284" s="7"/>
      <c r="W284" s="7"/>
      <c r="X284" s="7"/>
      <c r="Y284" s="7"/>
      <c r="Z284" s="7"/>
    </row>
    <row r="285" spans="1:26" x14ac:dyDescent="0.35">
      <c r="A285" s="7"/>
      <c r="B285" s="15" t="s">
        <v>120</v>
      </c>
      <c r="C285" s="7"/>
      <c r="D285" s="7"/>
      <c r="E285" s="7"/>
      <c r="F285" s="7"/>
      <c r="G285" s="7"/>
      <c r="H285" s="7"/>
      <c r="I285" s="19">
        <f t="shared" ca="1" si="0"/>
        <v>245.28908998481728</v>
      </c>
      <c r="J285" s="24" t="s">
        <v>247</v>
      </c>
      <c r="K285" s="19"/>
      <c r="L285" s="19">
        <f ca="1">L305*L45/100</f>
        <v>197.61911079442856</v>
      </c>
      <c r="M285" s="19"/>
      <c r="N285" s="19">
        <f ca="1">N305*N45/100</f>
        <v>47.669979190388702</v>
      </c>
      <c r="P285" s="15"/>
      <c r="Q285" s="15"/>
      <c r="R285" s="7"/>
      <c r="S285" s="7"/>
      <c r="T285" s="7"/>
      <c r="U285" s="7"/>
      <c r="V285" s="7"/>
      <c r="W285" s="7"/>
      <c r="X285" s="7"/>
      <c r="Y285" s="7"/>
      <c r="Z285" s="7"/>
    </row>
    <row r="286" spans="1:26" x14ac:dyDescent="0.35">
      <c r="A286" s="7"/>
      <c r="B286" s="15" t="s">
        <v>121</v>
      </c>
      <c r="C286" s="7"/>
      <c r="D286" s="7"/>
      <c r="E286" s="7"/>
      <c r="F286" s="7"/>
      <c r="G286" s="7"/>
      <c r="H286" s="7"/>
      <c r="I286" s="19">
        <f t="shared" ca="1" si="0"/>
        <v>2206.96608035909</v>
      </c>
      <c r="J286" s="19"/>
      <c r="K286" s="19"/>
      <c r="L286" s="19">
        <f ca="1">L281+L282-SUM(L283:L285)</f>
        <v>1475.2652701697612</v>
      </c>
      <c r="M286" s="19"/>
      <c r="N286" s="19">
        <f ca="1">N281+N282-SUM(N283:N285)</f>
        <v>731.70081018932899</v>
      </c>
      <c r="O286" s="7"/>
      <c r="P286" s="15"/>
      <c r="Q286" s="7"/>
      <c r="R286" s="7"/>
      <c r="S286" s="7"/>
      <c r="T286" s="7"/>
      <c r="U286" s="7"/>
      <c r="V286" s="7"/>
      <c r="W286" s="7"/>
      <c r="X286" s="7"/>
    </row>
    <row r="287" spans="1:26" x14ac:dyDescent="0.35">
      <c r="A287" s="7"/>
      <c r="B287" s="15"/>
      <c r="C287" s="15" t="s">
        <v>123</v>
      </c>
      <c r="D287" s="7"/>
      <c r="E287" s="7"/>
      <c r="F287" s="7"/>
      <c r="G287" s="7"/>
      <c r="H287" s="7"/>
      <c r="I287" s="44">
        <v>0</v>
      </c>
      <c r="J287" s="19"/>
      <c r="K287" s="19"/>
      <c r="L287" s="19"/>
      <c r="M287" s="19"/>
      <c r="N287" s="19"/>
      <c r="O287" s="7"/>
      <c r="P287" s="15"/>
      <c r="Q287" s="7"/>
      <c r="R287" s="7"/>
      <c r="S287" s="7"/>
      <c r="T287" s="7"/>
      <c r="U287" s="7"/>
      <c r="V287" s="7"/>
      <c r="W287" s="7"/>
      <c r="X287" s="7"/>
    </row>
    <row r="288" spans="1:26" x14ac:dyDescent="0.35">
      <c r="A288" s="7"/>
      <c r="B288" s="15"/>
      <c r="C288" s="15" t="s">
        <v>122</v>
      </c>
      <c r="D288" s="7"/>
      <c r="E288" s="7"/>
      <c r="F288" s="7"/>
      <c r="G288" s="7"/>
      <c r="H288" s="7"/>
      <c r="I288" s="19">
        <f ca="1">I286-I287</f>
        <v>2206.96608035909</v>
      </c>
      <c r="J288" s="19"/>
      <c r="K288" s="19"/>
      <c r="L288" s="19">
        <f ca="1">I288*L270</f>
        <v>1478.6672738405905</v>
      </c>
      <c r="M288" s="19"/>
      <c r="N288" s="19">
        <f ca="1">I288*N270</f>
        <v>728.29880651849965</v>
      </c>
      <c r="O288" s="7"/>
      <c r="P288" s="24"/>
      <c r="Q288" s="7"/>
      <c r="R288" s="7"/>
      <c r="S288" s="7"/>
      <c r="T288" s="7"/>
      <c r="U288" s="7"/>
      <c r="V288" s="7"/>
      <c r="W288" s="7"/>
      <c r="X288" s="7"/>
    </row>
    <row r="289" spans="1:34" x14ac:dyDescent="0.35">
      <c r="A289" s="7"/>
      <c r="B289" s="7"/>
      <c r="C289" s="7"/>
      <c r="D289" s="7"/>
      <c r="E289" s="7"/>
      <c r="F289" s="7"/>
      <c r="G289" s="7"/>
      <c r="H289" s="7"/>
      <c r="I289" s="7"/>
      <c r="J289" s="7"/>
      <c r="K289" s="7"/>
      <c r="L289" s="7"/>
      <c r="M289" s="7"/>
      <c r="N289" s="7"/>
      <c r="O289" s="7"/>
      <c r="S289" s="15"/>
      <c r="T289" s="7"/>
      <c r="U289" s="7"/>
      <c r="V289" s="7"/>
      <c r="W289" s="7"/>
      <c r="X289" s="7"/>
      <c r="Y289" s="7"/>
      <c r="Z289" s="7"/>
    </row>
    <row r="290" spans="1:34" x14ac:dyDescent="0.35">
      <c r="A290" s="15" t="s">
        <v>160</v>
      </c>
      <c r="B290" s="7"/>
      <c r="C290" s="7"/>
      <c r="D290" s="7"/>
      <c r="E290" s="7"/>
      <c r="F290" s="7"/>
      <c r="G290" s="15"/>
      <c r="H290" s="7"/>
      <c r="I290" s="7"/>
      <c r="J290" s="7"/>
      <c r="K290" s="7"/>
      <c r="L290" s="7"/>
      <c r="M290" s="7"/>
      <c r="N290" s="7"/>
      <c r="O290" s="7"/>
      <c r="P290" s="7"/>
      <c r="Q290" s="7"/>
      <c r="S290" s="15"/>
      <c r="T290" s="7"/>
      <c r="U290" s="7"/>
      <c r="V290" s="7"/>
      <c r="W290" s="7"/>
      <c r="X290" s="7"/>
      <c r="Y290" s="7"/>
      <c r="Z290" s="7"/>
    </row>
    <row r="291" spans="1:34" x14ac:dyDescent="0.35">
      <c r="A291" s="7"/>
      <c r="B291" s="7"/>
      <c r="C291" s="7"/>
      <c r="D291" s="7"/>
      <c r="E291" s="38" t="s">
        <v>161</v>
      </c>
      <c r="F291" s="7"/>
      <c r="G291" s="7"/>
      <c r="H291" s="7"/>
      <c r="I291" s="45" t="s">
        <v>162</v>
      </c>
      <c r="J291" s="6"/>
      <c r="K291" s="7"/>
      <c r="L291" s="7"/>
      <c r="M291" s="7"/>
      <c r="N291" s="7"/>
      <c r="O291" s="46" t="s">
        <v>124</v>
      </c>
      <c r="S291" s="15"/>
      <c r="T291" s="7"/>
      <c r="U291" s="7"/>
      <c r="V291" s="7"/>
      <c r="W291" s="7"/>
      <c r="X291" s="7"/>
      <c r="Y291" s="7"/>
      <c r="Z291" s="7"/>
    </row>
    <row r="292" spans="1:34" x14ac:dyDescent="0.35">
      <c r="A292" s="7"/>
      <c r="D292" s="7"/>
      <c r="E292" s="7" t="s">
        <v>56</v>
      </c>
      <c r="F292" s="7" t="s">
        <v>57</v>
      </c>
      <c r="G292" s="7" t="s">
        <v>49</v>
      </c>
      <c r="H292" s="7"/>
      <c r="K292" s="7" t="s">
        <v>56</v>
      </c>
      <c r="L292" s="7" t="s">
        <v>57</v>
      </c>
      <c r="M292" s="7" t="s">
        <v>49</v>
      </c>
      <c r="N292" s="27"/>
      <c r="O292" s="7" t="s">
        <v>56</v>
      </c>
      <c r="P292" s="7" t="s">
        <v>57</v>
      </c>
      <c r="Q292" s="7" t="s">
        <v>49</v>
      </c>
      <c r="R292" s="15"/>
      <c r="S292" s="7"/>
      <c r="T292" s="7"/>
      <c r="U292" s="7"/>
      <c r="V292" s="7"/>
      <c r="W292" s="7"/>
    </row>
    <row r="293" spans="1:34" x14ac:dyDescent="0.35">
      <c r="A293" s="7"/>
      <c r="B293" s="15" t="s">
        <v>70</v>
      </c>
      <c r="C293" s="7"/>
      <c r="D293" s="7"/>
      <c r="E293" s="19">
        <f ca="1">K293-O293</f>
        <v>904.57279556333697</v>
      </c>
      <c r="F293" s="19">
        <f ca="1">L293-P293</f>
        <v>235.65261032610252</v>
      </c>
      <c r="G293" s="19">
        <f ca="1">E293-F293</f>
        <v>668.92018523723448</v>
      </c>
      <c r="H293" s="7"/>
      <c r="I293" s="6" t="s">
        <v>70</v>
      </c>
      <c r="J293" s="6"/>
      <c r="K293" s="43">
        <f>E25</f>
        <v>684.53180000000009</v>
      </c>
      <c r="L293" s="43">
        <f>C25</f>
        <v>214.48890000000003</v>
      </c>
      <c r="M293" s="19">
        <f>K293-L293</f>
        <v>470.04290000000003</v>
      </c>
      <c r="N293" s="27"/>
      <c r="O293" s="25">
        <f ca="1">I282</f>
        <v>-220.04099556333682</v>
      </c>
      <c r="P293" s="25">
        <f ca="1">I283</f>
        <v>-21.1637103261025</v>
      </c>
      <c r="Q293" s="23">
        <f ca="1">M293-G293</f>
        <v>-198.87728523723445</v>
      </c>
      <c r="R293" s="7"/>
      <c r="S293" s="7"/>
      <c r="T293" s="7"/>
      <c r="U293" s="7"/>
      <c r="V293" s="7"/>
      <c r="W293" s="7"/>
    </row>
    <row r="294" spans="1:34" x14ac:dyDescent="0.35">
      <c r="A294" s="7"/>
      <c r="B294" s="15" t="s">
        <v>127</v>
      </c>
      <c r="C294" s="7"/>
      <c r="D294" s="7"/>
      <c r="E294" s="19">
        <v>0</v>
      </c>
      <c r="F294" s="19">
        <f ca="1">L294-P294</f>
        <v>412.61414085321826</v>
      </c>
      <c r="G294" s="19">
        <f ca="1">E294-F294</f>
        <v>-412.61414085321826</v>
      </c>
      <c r="H294" s="7"/>
      <c r="I294" s="6" t="s">
        <v>71</v>
      </c>
      <c r="J294" s="6"/>
      <c r="K294" s="43">
        <f>E26</f>
        <v>2030.3992000000001</v>
      </c>
      <c r="L294" s="43">
        <f>C26</f>
        <v>2067.0951999999997</v>
      </c>
      <c r="M294" s="19">
        <f>K294-L294</f>
        <v>-36.695999999999685</v>
      </c>
      <c r="N294" s="27"/>
      <c r="O294" s="25">
        <f>K294-E294</f>
        <v>2030.3992000000001</v>
      </c>
      <c r="P294" s="25">
        <f ca="1">L288+I284</f>
        <v>1654.4810591467815</v>
      </c>
      <c r="Q294" s="23">
        <f ca="1">M294-G294</f>
        <v>375.91814085321857</v>
      </c>
      <c r="R294" s="7"/>
      <c r="S294" s="7"/>
      <c r="T294" s="7"/>
      <c r="U294" s="7"/>
      <c r="V294" s="7"/>
      <c r="W294" s="7"/>
    </row>
    <row r="295" spans="1:34" x14ac:dyDescent="0.35">
      <c r="A295" s="7"/>
      <c r="B295" s="7" t="s">
        <v>28</v>
      </c>
      <c r="C295" s="7"/>
      <c r="D295" s="7"/>
      <c r="E295" s="19">
        <f>E294</f>
        <v>0</v>
      </c>
      <c r="F295" s="19">
        <f ca="1">G293*L270*L269</f>
        <v>0</v>
      </c>
      <c r="G295" s="24"/>
      <c r="H295" s="15"/>
      <c r="I295" s="15"/>
      <c r="J295" s="7"/>
      <c r="K295" s="25">
        <f>K294</f>
        <v>2030.3992000000001</v>
      </c>
      <c r="L295" s="7">
        <v>0</v>
      </c>
      <c r="M295" s="19"/>
      <c r="N295" s="7"/>
      <c r="O295" s="25">
        <f>K295-E295</f>
        <v>2030.3992000000001</v>
      </c>
      <c r="P295" s="25">
        <f ca="1">L295-F295</f>
        <v>0</v>
      </c>
      <c r="R295" s="7"/>
      <c r="S295" s="7"/>
      <c r="T295" s="7"/>
      <c r="U295" s="7"/>
      <c r="V295" s="7"/>
      <c r="W295" s="7"/>
    </row>
    <row r="296" spans="1:34" x14ac:dyDescent="0.35">
      <c r="A296" s="7"/>
      <c r="B296" s="15" t="s">
        <v>128</v>
      </c>
      <c r="C296" s="7"/>
      <c r="D296" s="7"/>
      <c r="E296" s="19">
        <f ca="1">E293*2*L272</f>
        <v>180.9145591126674</v>
      </c>
      <c r="F296" s="19">
        <f ca="1">L296-P296</f>
        <v>202.16440349668324</v>
      </c>
      <c r="G296" s="19">
        <f ca="1">E296-F296</f>
        <v>-21.24984438401583</v>
      </c>
      <c r="H296" s="7"/>
      <c r="I296" s="6" t="s">
        <v>72</v>
      </c>
      <c r="J296" s="6"/>
      <c r="K296" s="43">
        <f>E27</f>
        <v>977.46159999999986</v>
      </c>
      <c r="L296" s="43">
        <f>C27</f>
        <v>1175.7523000000001</v>
      </c>
      <c r="M296" s="19">
        <f>K296-L296</f>
        <v>-198.29070000000024</v>
      </c>
      <c r="N296" s="27"/>
      <c r="O296" s="25">
        <f ca="1">K296-E296</f>
        <v>796.54704088733251</v>
      </c>
      <c r="P296" s="25">
        <f ca="1">N288+I285</f>
        <v>973.58789650331687</v>
      </c>
      <c r="Q296" s="23">
        <f ca="1">M296-G296</f>
        <v>-177.04085561598441</v>
      </c>
      <c r="R296" s="15"/>
      <c r="S296" s="7"/>
      <c r="T296" s="7"/>
      <c r="U296" s="7"/>
      <c r="V296" s="7"/>
      <c r="W296" s="7"/>
      <c r="X296" s="7"/>
      <c r="Y296" s="7"/>
      <c r="Z296" s="7"/>
      <c r="AA296" s="7"/>
      <c r="AB296" s="7"/>
      <c r="AC296" s="7"/>
      <c r="AD296" s="7"/>
      <c r="AE296" s="7"/>
      <c r="AF296" s="7"/>
      <c r="AG296" s="7"/>
      <c r="AH296" s="7"/>
    </row>
    <row r="297" spans="1:34" x14ac:dyDescent="0.35">
      <c r="A297" s="7"/>
      <c r="B297" s="7" t="s">
        <v>28</v>
      </c>
      <c r="C297" s="7"/>
      <c r="D297" s="7"/>
      <c r="E297" s="19">
        <f ca="1">E296</f>
        <v>180.9145591126674</v>
      </c>
      <c r="F297" s="19">
        <f ca="1">G293*N270*N269</f>
        <v>0</v>
      </c>
      <c r="G297" s="19"/>
      <c r="H297" s="7"/>
      <c r="I297" s="6"/>
      <c r="J297" s="6"/>
      <c r="K297" s="43">
        <f>K296</f>
        <v>977.46159999999986</v>
      </c>
      <c r="L297" s="43">
        <v>0</v>
      </c>
      <c r="M297" s="19"/>
      <c r="N297" s="27"/>
      <c r="O297" s="25">
        <f ca="1">K297-E297</f>
        <v>796.54704088733251</v>
      </c>
      <c r="P297" s="25">
        <f ca="1">L297-F297</f>
        <v>0</v>
      </c>
      <c r="Q297" s="23"/>
      <c r="R297" s="7"/>
      <c r="S297" s="7"/>
      <c r="T297" s="7"/>
      <c r="U297" s="7"/>
      <c r="V297" s="7"/>
      <c r="W297" s="7"/>
    </row>
    <row r="298" spans="1:34" x14ac:dyDescent="0.35">
      <c r="A298" s="7"/>
      <c r="B298" s="15" t="s">
        <v>62</v>
      </c>
      <c r="C298" s="7"/>
      <c r="D298" s="7"/>
      <c r="E298" s="19">
        <f ca="1">E293+E294+E296</f>
        <v>1085.4873546760043</v>
      </c>
      <c r="F298" s="19">
        <f ca="1">F293+F294+F296</f>
        <v>850.43115467600398</v>
      </c>
      <c r="G298" s="19">
        <f ca="1">G293+G294+G296</f>
        <v>235.05620000000039</v>
      </c>
      <c r="H298" s="15"/>
      <c r="I298" s="6" t="s">
        <v>62</v>
      </c>
      <c r="J298" s="6"/>
      <c r="K298" s="43">
        <f>E28</f>
        <v>3692.3926000000001</v>
      </c>
      <c r="L298" s="43">
        <f>C28</f>
        <v>3457.3363999999997</v>
      </c>
      <c r="M298" s="19">
        <f>K298-L298</f>
        <v>235.05620000000044</v>
      </c>
      <c r="N298" s="27"/>
      <c r="O298" s="25">
        <f ca="1">K298-E298</f>
        <v>2606.9052453239956</v>
      </c>
      <c r="P298" s="23">
        <f ca="1">L298-F298</f>
        <v>2606.9052453239956</v>
      </c>
      <c r="Q298" s="23">
        <f ca="1">M298-G298</f>
        <v>0</v>
      </c>
    </row>
    <row r="299" spans="1:34" x14ac:dyDescent="0.35">
      <c r="A299" s="7"/>
      <c r="B299" s="7"/>
      <c r="C299" s="7"/>
      <c r="D299" s="7"/>
      <c r="E299" s="7"/>
      <c r="F299" s="7"/>
      <c r="G299" s="7"/>
      <c r="H299" s="7"/>
      <c r="I299" s="7"/>
      <c r="J299" s="7"/>
      <c r="K299" s="7"/>
      <c r="L299" s="7"/>
      <c r="M299" s="7"/>
      <c r="N299" s="7"/>
      <c r="O299" s="7"/>
    </row>
    <row r="300" spans="1:34" x14ac:dyDescent="0.35">
      <c r="A300" s="7" t="s">
        <v>50</v>
      </c>
      <c r="B300" s="7"/>
      <c r="C300" s="7"/>
      <c r="D300" s="7"/>
      <c r="E300" s="7"/>
      <c r="F300" s="7"/>
      <c r="G300" s="7"/>
      <c r="H300" s="7"/>
      <c r="I300" s="15"/>
      <c r="J300" s="7"/>
      <c r="K300" s="7"/>
      <c r="L300" s="7"/>
      <c r="M300" s="7"/>
      <c r="N300" s="7"/>
      <c r="O300" s="7"/>
    </row>
    <row r="301" spans="1:34" x14ac:dyDescent="0.35">
      <c r="A301" s="7"/>
      <c r="B301" s="7"/>
      <c r="C301" s="7"/>
      <c r="D301" s="7"/>
      <c r="E301" s="7"/>
      <c r="F301" s="7"/>
      <c r="G301" s="7"/>
      <c r="H301" s="7"/>
      <c r="I301" s="7"/>
      <c r="J301" s="7"/>
      <c r="K301" s="7"/>
      <c r="L301" s="7"/>
      <c r="M301" s="7"/>
      <c r="N301" s="7"/>
      <c r="O301" s="7"/>
    </row>
    <row r="302" spans="1:34" x14ac:dyDescent="0.35">
      <c r="A302" s="15" t="s">
        <v>125</v>
      </c>
      <c r="B302" s="7"/>
      <c r="C302" s="7"/>
      <c r="D302" s="7"/>
      <c r="E302" s="7"/>
      <c r="F302" s="7"/>
      <c r="G302" s="7" t="s">
        <v>53</v>
      </c>
      <c r="H302" s="7"/>
      <c r="I302" s="7" t="s">
        <v>53</v>
      </c>
      <c r="J302" s="7"/>
      <c r="K302" s="7"/>
      <c r="L302" s="7" t="s">
        <v>54</v>
      </c>
      <c r="M302" s="7"/>
      <c r="N302" s="7" t="s">
        <v>54</v>
      </c>
      <c r="O302" s="7"/>
    </row>
    <row r="303" spans="1:34" x14ac:dyDescent="0.35">
      <c r="A303" s="7"/>
      <c r="B303" s="7"/>
      <c r="C303" s="7"/>
      <c r="D303" s="7"/>
      <c r="E303" s="7"/>
      <c r="F303" s="7"/>
      <c r="G303" s="7" t="s">
        <v>52</v>
      </c>
      <c r="H303" s="7"/>
      <c r="I303" s="7" t="s">
        <v>52</v>
      </c>
      <c r="J303" s="7"/>
      <c r="K303" s="7"/>
      <c r="L303" s="7" t="s">
        <v>52</v>
      </c>
      <c r="M303" s="7"/>
      <c r="N303" s="7" t="s">
        <v>52</v>
      </c>
      <c r="O303" s="7"/>
    </row>
    <row r="304" spans="1:34" x14ac:dyDescent="0.35">
      <c r="A304" s="7"/>
      <c r="B304" s="7"/>
      <c r="C304" s="7"/>
      <c r="D304" s="7"/>
      <c r="E304" s="7"/>
      <c r="F304" s="7"/>
      <c r="G304" s="15" t="s">
        <v>59</v>
      </c>
      <c r="H304" s="7"/>
      <c r="I304" s="15" t="s">
        <v>72</v>
      </c>
      <c r="J304" s="7"/>
      <c r="K304" s="7"/>
      <c r="L304" s="15" t="s">
        <v>59</v>
      </c>
      <c r="M304" s="7"/>
      <c r="N304" s="15" t="s">
        <v>72</v>
      </c>
      <c r="O304" s="7"/>
    </row>
    <row r="305" spans="1:33" x14ac:dyDescent="0.35">
      <c r="A305" s="15" t="s">
        <v>131</v>
      </c>
      <c r="B305" s="7"/>
      <c r="C305" s="7"/>
      <c r="D305" s="7"/>
      <c r="E305" s="7"/>
      <c r="F305" s="7"/>
      <c r="G305" s="16">
        <f ca="1">(-F295/G228-L267*O295*(EXP(-L268*LN(G228/((1+L272)*(1+L274))))))*(1-L271)</f>
        <v>-1689.2810800588945</v>
      </c>
      <c r="H305" s="16"/>
      <c r="I305" s="16">
        <f ca="1">(-F297/I228-N267*O297*(EXP(-N268*LN(I228/((1+N272)*(1+N274))))))*(1-N271)</f>
        <v>-294.86258565924066</v>
      </c>
      <c r="J305" s="16"/>
      <c r="K305" s="7"/>
      <c r="L305" s="16">
        <f ca="1">((F295/G228*EXP(-L268*LN(1/(G228*(1+L272)*(1+L273)))))+O295+N305*N37/L37+N306*I37/G37)*(1-L271)</f>
        <v>1995.522951439561</v>
      </c>
      <c r="M305" s="14"/>
      <c r="N305" s="16">
        <f ca="1">((F297/I228*EXP(-N268*LN(1/(I228*(1+N272)*(1+N273)))))+O297+L305*L38/N38+L306*G38/I38)*(1-N271)</f>
        <v>1030.4116776784631</v>
      </c>
      <c r="O305" s="14"/>
      <c r="P305" s="204"/>
      <c r="Q305" s="7"/>
      <c r="R305" s="7"/>
      <c r="S305" s="7"/>
      <c r="T305" s="7"/>
      <c r="U305" s="7"/>
      <c r="V305" s="7"/>
      <c r="W305" s="7"/>
      <c r="X305" s="7"/>
      <c r="Y305" s="7"/>
      <c r="Z305" s="7"/>
    </row>
    <row r="306" spans="1:33" x14ac:dyDescent="0.35">
      <c r="A306" s="15" t="s">
        <v>132</v>
      </c>
      <c r="B306" s="7"/>
      <c r="C306" s="7"/>
      <c r="D306" s="7"/>
      <c r="E306" s="7"/>
      <c r="F306" s="7"/>
      <c r="G306" s="16">
        <f ca="1">((1-L272)*P294+I306*I37/G37+I305*N37/L37)*(1-L271)</f>
        <v>1423.736318976936</v>
      </c>
      <c r="H306" s="16"/>
      <c r="I306" s="16">
        <f ca="1">((1-N272)*P296+G306*G38/I38+G305*L38/N38)*(1-N271)</f>
        <v>872.40683177131064</v>
      </c>
      <c r="J306" s="16"/>
      <c r="K306" s="7"/>
      <c r="L306" s="16">
        <f ca="1">-L275*P294*(1-L271)</f>
        <v>-767.67921144410661</v>
      </c>
      <c r="M306" s="7"/>
      <c r="N306" s="16">
        <f ca="1">-N275*P296*(1-N271)</f>
        <v>-461.48066294257217</v>
      </c>
      <c r="P306" s="205"/>
      <c r="Q306" s="7"/>
      <c r="R306" s="7"/>
      <c r="S306" s="7"/>
      <c r="T306" s="7"/>
      <c r="U306" s="7"/>
      <c r="V306" s="7"/>
      <c r="W306" s="7"/>
      <c r="X306" s="7"/>
      <c r="Y306" s="7"/>
      <c r="Z306" s="7"/>
    </row>
    <row r="307" spans="1:33" x14ac:dyDescent="0.35">
      <c r="A307" s="7" t="s">
        <v>35</v>
      </c>
      <c r="B307" s="7"/>
      <c r="C307" s="7"/>
      <c r="D307" s="7"/>
      <c r="E307" s="7"/>
      <c r="F307" s="7"/>
      <c r="G307" s="16">
        <f ca="1">G305*G228+G306</f>
        <v>-980.53195790201266</v>
      </c>
      <c r="H307" s="7"/>
      <c r="I307" s="16">
        <f ca="1">I305*I228+I306</f>
        <v>319.32945360052713</v>
      </c>
      <c r="J307" s="7"/>
      <c r="K307" s="7"/>
      <c r="L307" s="16">
        <f ca="1">L305+L306*L228</f>
        <v>1407.3850584906468</v>
      </c>
      <c r="M307" s="7"/>
      <c r="N307" s="16">
        <f ca="1">N305+N306*N228</f>
        <v>712.95261174038546</v>
      </c>
      <c r="O307" s="7"/>
    </row>
    <row r="308" spans="1:33" x14ac:dyDescent="0.35">
      <c r="A308" s="7"/>
      <c r="B308" s="7"/>
      <c r="C308" s="7"/>
      <c r="D308" s="7"/>
      <c r="E308" s="7"/>
      <c r="F308" s="7"/>
      <c r="G308" s="7"/>
      <c r="H308" s="7"/>
      <c r="I308" s="7"/>
      <c r="J308" s="7"/>
      <c r="K308" s="7"/>
      <c r="L308" s="7"/>
      <c r="M308" s="7"/>
      <c r="N308" s="7"/>
      <c r="O308" s="7"/>
    </row>
    <row r="309" spans="1:33" x14ac:dyDescent="0.35">
      <c r="A309" s="15" t="s">
        <v>126</v>
      </c>
      <c r="B309" s="7"/>
      <c r="C309" s="7"/>
      <c r="D309" s="7"/>
      <c r="E309" s="7"/>
      <c r="F309" s="7"/>
      <c r="G309" s="7"/>
      <c r="H309" s="7"/>
      <c r="I309" s="7"/>
      <c r="J309" s="7"/>
      <c r="K309" s="7"/>
      <c r="L309" s="7"/>
      <c r="M309" s="7"/>
      <c r="N309" s="7"/>
      <c r="O309" s="7"/>
    </row>
    <row r="310" spans="1:33" x14ac:dyDescent="0.35">
      <c r="A310" s="7" t="s">
        <v>32</v>
      </c>
      <c r="B310" s="7"/>
      <c r="C310" s="7"/>
      <c r="D310" s="7"/>
      <c r="E310" s="7"/>
      <c r="F310" s="16"/>
      <c r="G310" s="16">
        <f ca="1">(G305*G226+G306*G176)/1000</f>
        <v>-689.4963329996117</v>
      </c>
      <c r="H310" s="16"/>
      <c r="I310" s="16">
        <f ca="1">(I305*I226+I306*I172)/1000</f>
        <v>271.08657940063222</v>
      </c>
      <c r="J310" s="16"/>
      <c r="K310" s="7"/>
      <c r="L310" s="16">
        <f ca="1">(L305*L176+L306*L226)/1000</f>
        <v>596.17638774842692</v>
      </c>
      <c r="M310" s="7"/>
      <c r="N310" s="16">
        <f ca="1">(N305*N172+N306*N226)/1000</f>
        <v>569.77561448321399</v>
      </c>
      <c r="O310" s="15"/>
      <c r="P310" s="7"/>
      <c r="Q310" s="7"/>
    </row>
    <row r="311" spans="1:33" x14ac:dyDescent="0.35">
      <c r="A311" s="7"/>
      <c r="B311" s="7"/>
      <c r="C311" s="7"/>
      <c r="D311" s="7"/>
      <c r="E311" s="7"/>
      <c r="F311" s="7"/>
      <c r="G311" s="7"/>
      <c r="H311" s="7"/>
      <c r="I311" s="7"/>
      <c r="J311" s="7"/>
      <c r="K311" s="7"/>
      <c r="L311" s="7"/>
      <c r="M311" s="7"/>
      <c r="N311" s="7"/>
      <c r="O311" s="7"/>
    </row>
    <row r="312" spans="1:33" x14ac:dyDescent="0.35">
      <c r="A312" s="7"/>
      <c r="B312" s="7"/>
      <c r="C312" s="7"/>
      <c r="D312" s="7"/>
      <c r="E312" s="7"/>
      <c r="F312" s="7"/>
      <c r="G312" s="7"/>
      <c r="H312" s="7"/>
      <c r="I312" s="7"/>
      <c r="J312" s="7"/>
      <c r="K312" s="7"/>
      <c r="L312" s="7"/>
      <c r="M312" s="7"/>
      <c r="N312" s="7"/>
      <c r="O312" s="7"/>
    </row>
    <row r="313" spans="1:33" x14ac:dyDescent="0.35">
      <c r="A313" s="29" t="s">
        <v>143</v>
      </c>
      <c r="B313" s="27"/>
      <c r="C313" s="27"/>
      <c r="D313" s="27"/>
      <c r="E313" s="27"/>
      <c r="F313" s="27"/>
      <c r="G313" s="27"/>
      <c r="H313" s="27"/>
      <c r="I313" s="27"/>
      <c r="J313" s="27"/>
      <c r="K313" s="27"/>
      <c r="L313" s="27"/>
      <c r="M313" s="27"/>
      <c r="N313" s="27"/>
      <c r="O313" s="27"/>
      <c r="P313" s="27"/>
      <c r="Q313" s="27"/>
      <c r="R313" s="7"/>
      <c r="S313" s="7"/>
      <c r="T313" s="7"/>
    </row>
    <row r="314" spans="1:33" x14ac:dyDescent="0.35">
      <c r="A314" s="169" t="s">
        <v>529</v>
      </c>
      <c r="B314" s="170"/>
      <c r="C314" s="170"/>
      <c r="D314" s="172"/>
      <c r="E314" s="169"/>
      <c r="F314" s="170"/>
      <c r="G314" s="170"/>
      <c r="H314" s="171">
        <v>0.92500000000000004</v>
      </c>
      <c r="I314" s="207" t="s">
        <v>530</v>
      </c>
      <c r="J314" s="208"/>
      <c r="K314" s="208"/>
      <c r="L314" s="172"/>
      <c r="M314" s="170"/>
      <c r="N314" s="170"/>
      <c r="O314" s="170"/>
      <c r="P314" s="170"/>
      <c r="Q314" s="170"/>
      <c r="R314" s="172"/>
      <c r="S314" s="172"/>
      <c r="T314" s="172"/>
      <c r="U314" s="172"/>
      <c r="V314" s="172"/>
      <c r="W314" s="172"/>
      <c r="X314" s="172"/>
      <c r="Y314" s="172"/>
      <c r="Z314" s="172"/>
      <c r="AA314" s="172"/>
      <c r="AB314" s="172"/>
      <c r="AC314" s="172"/>
      <c r="AD314" s="172"/>
      <c r="AE314" s="172"/>
      <c r="AF314" s="172"/>
      <c r="AG314" s="172"/>
    </row>
    <row r="315" spans="1:33" x14ac:dyDescent="0.35">
      <c r="A315" s="27"/>
      <c r="B315" s="27"/>
      <c r="C315" s="27"/>
      <c r="D315" s="27"/>
      <c r="E315" s="27"/>
      <c r="F315" s="28" t="s">
        <v>59</v>
      </c>
      <c r="G315" s="27"/>
      <c r="H315" s="27"/>
      <c r="I315" s="28" t="s">
        <v>72</v>
      </c>
      <c r="J315" s="27"/>
      <c r="K315" s="27"/>
      <c r="L315" s="27"/>
      <c r="M315" s="28" t="s">
        <v>59</v>
      </c>
      <c r="N315" s="27"/>
      <c r="O315" s="27"/>
      <c r="P315" s="28" t="s">
        <v>72</v>
      </c>
      <c r="Q315" s="27"/>
      <c r="R315" s="7"/>
      <c r="S315" s="7"/>
      <c r="T315" s="7"/>
    </row>
    <row r="316" spans="1:33" x14ac:dyDescent="0.35">
      <c r="A316" s="27"/>
      <c r="B316" s="27"/>
      <c r="C316" s="27"/>
      <c r="D316" s="27"/>
      <c r="E316" s="27" t="s">
        <v>21</v>
      </c>
      <c r="F316" s="27"/>
      <c r="G316" s="27"/>
      <c r="H316" s="27" t="s">
        <v>21</v>
      </c>
      <c r="I316" s="27"/>
      <c r="J316" s="27"/>
      <c r="K316" s="27"/>
      <c r="L316" s="27" t="s">
        <v>31</v>
      </c>
      <c r="M316" s="27"/>
      <c r="N316" s="27"/>
      <c r="O316" s="27" t="s">
        <v>31</v>
      </c>
      <c r="P316" s="27"/>
      <c r="Q316" s="27"/>
      <c r="R316" s="7"/>
      <c r="S316" s="7"/>
      <c r="T316" s="7"/>
    </row>
    <row r="317" spans="1:33" x14ac:dyDescent="0.35">
      <c r="A317" s="27" t="s">
        <v>44</v>
      </c>
      <c r="B317" s="27"/>
      <c r="C317" s="27"/>
      <c r="D317" s="27"/>
      <c r="E317" s="27" t="s">
        <v>61</v>
      </c>
      <c r="F317" s="27" t="s">
        <v>58</v>
      </c>
      <c r="G317" s="27" t="s">
        <v>60</v>
      </c>
      <c r="H317" s="27" t="s">
        <v>61</v>
      </c>
      <c r="I317" s="27" t="s">
        <v>58</v>
      </c>
      <c r="J317" s="27" t="s">
        <v>60</v>
      </c>
      <c r="K317" s="27"/>
      <c r="L317" s="27" t="s">
        <v>61</v>
      </c>
      <c r="M317" s="27" t="s">
        <v>58</v>
      </c>
      <c r="N317" s="27" t="s">
        <v>60</v>
      </c>
      <c r="O317" s="27" t="s">
        <v>61</v>
      </c>
      <c r="P317" s="27" t="s">
        <v>58</v>
      </c>
      <c r="Q317" s="27" t="s">
        <v>60</v>
      </c>
      <c r="R317" s="7"/>
      <c r="S317" s="7"/>
      <c r="T317" s="7"/>
    </row>
    <row r="318" spans="1:33" x14ac:dyDescent="0.35">
      <c r="A318" s="27" t="s">
        <v>34</v>
      </c>
      <c r="B318" s="27"/>
      <c r="C318" s="27"/>
      <c r="D318" s="27"/>
      <c r="E318" s="170">
        <f ca="1">H314*G306*G197/1000</f>
        <v>10.548152661493836</v>
      </c>
      <c r="F318" s="170">
        <f ca="1">H314*G305*G252/1000</f>
        <v>-9.7184753284472105</v>
      </c>
      <c r="G318" s="170">
        <f ca="1">H314*(G305*G252+G306*G197)/1000</f>
        <v>0.82967733304662605</v>
      </c>
      <c r="H318" s="27">
        <f ca="1">I306*I197/1000</f>
        <v>11.890825761653563</v>
      </c>
      <c r="I318" s="27">
        <f ca="1">I305*I252/1000</f>
        <v>-5.0343984361278977</v>
      </c>
      <c r="J318" s="27">
        <f ca="1">(I305*I252+I306*I197)/1000</f>
        <v>6.8564273255256651</v>
      </c>
      <c r="K318" s="27"/>
      <c r="L318" s="170">
        <f ca="1">H314*L306*L252/1000</f>
        <v>-6.0348971016123594</v>
      </c>
      <c r="M318" s="170">
        <f ca="1">H314*L305*L197/1000</f>
        <v>10.487306051177985</v>
      </c>
      <c r="N318" s="170">
        <f ca="1">H314*(L305*L197+L306*L252)/1000</f>
        <v>4.4524089495656236</v>
      </c>
      <c r="O318" s="27">
        <f ca="1">N306*N252/1000</f>
        <v>-6.6825779592275509</v>
      </c>
      <c r="P318" s="27">
        <f ca="1">N305*N197/1000</f>
        <v>15.853385319525733</v>
      </c>
      <c r="Q318" s="27">
        <f ca="1">(N305*N197+N306*N252)/1000</f>
        <v>9.1708073602981823</v>
      </c>
      <c r="R318" s="7"/>
      <c r="S318" s="7"/>
      <c r="T318" s="7"/>
      <c r="U318" s="7"/>
    </row>
    <row r="319" spans="1:33" x14ac:dyDescent="0.35">
      <c r="A319" s="29" t="s">
        <v>244</v>
      </c>
      <c r="B319" s="27"/>
      <c r="C319" s="27"/>
      <c r="D319" s="27"/>
      <c r="E319" s="170">
        <f ca="1">H314*G306*G196/1000</f>
        <v>0.68596609054914082</v>
      </c>
      <c r="F319" s="170">
        <f ca="1">H314*G305*G251/1000</f>
        <v>-21.655342195859728</v>
      </c>
      <c r="G319" s="170">
        <f ca="1">H314*(G305*G251+G306*G196)/1000</f>
        <v>-20.969376105310584</v>
      </c>
      <c r="H319" s="27">
        <f ca="1">I306*I196/1000</f>
        <v>0.8534761425599191</v>
      </c>
      <c r="I319" s="27">
        <f ca="1">I305*I251/1000</f>
        <v>-8.8957425039038824</v>
      </c>
      <c r="J319" s="27">
        <f ca="1">(I305*I251+I306*I196)/1000</f>
        <v>-8.0422663613439642</v>
      </c>
      <c r="K319" s="27"/>
      <c r="L319" s="170">
        <f ca="1">H314*L306*L251/1000</f>
        <v>-0.61153886448954997</v>
      </c>
      <c r="M319" s="170">
        <f ca="1">H314*L305*L196/1000</f>
        <v>39.816530310435979</v>
      </c>
      <c r="N319" s="170">
        <f ca="1">H314*(L305*L196+L306*L251)/1000</f>
        <v>39.204991445946419</v>
      </c>
      <c r="O319" s="27">
        <f ca="1">N306*N251/1000</f>
        <v>-0.86053467049016052</v>
      </c>
      <c r="P319" s="27">
        <f ca="1">N305*N196/1000</f>
        <v>50.937844366873307</v>
      </c>
      <c r="Q319" s="27">
        <f ca="1">(N305*N196+N306*N251)/1000</f>
        <v>50.077309696383146</v>
      </c>
      <c r="R319" s="7"/>
      <c r="S319" s="7"/>
      <c r="T319" s="7"/>
      <c r="U319" s="7"/>
    </row>
    <row r="320" spans="1:33" x14ac:dyDescent="0.35">
      <c r="A320" s="27" t="s">
        <v>29</v>
      </c>
      <c r="B320" s="27"/>
      <c r="C320" s="27"/>
      <c r="D320" s="27"/>
      <c r="E320" s="170">
        <f ca="1">H314*G306*G198/10</f>
        <v>889.09882989154153</v>
      </c>
      <c r="F320" s="170">
        <f ca="1">H314*G305*G253/10</f>
        <v>-1709.4584189894074</v>
      </c>
      <c r="G320" s="170">
        <f ca="1">H314*(G305/10*G253+G306/10*G198)</f>
        <v>-820.35958909786564</v>
      </c>
      <c r="H320" s="27">
        <f ca="1">I306*I198/10</f>
        <v>2036.8118928991025</v>
      </c>
      <c r="I320" s="27">
        <f ca="1">I305*I253/10</f>
        <v>-955.9991232222967</v>
      </c>
      <c r="J320" s="27">
        <f ca="1">I305/10*I253+I306/10*I198</f>
        <v>1080.8127696768056</v>
      </c>
      <c r="K320" s="27"/>
      <c r="L320" s="170">
        <f ca="1">H314*L306*L253/10*L188/100</f>
        <v>-267.51168481810021</v>
      </c>
      <c r="M320" s="170">
        <f ca="1">H314*L305*L198/10*L188/100</f>
        <v>970.1158542969373</v>
      </c>
      <c r="N320" s="170">
        <f ca="1">H314*(L305*L198+L306*L253)/10*L188/100</f>
        <v>702.60416947883687</v>
      </c>
      <c r="O320" s="27">
        <f ca="1">N306*N253/10*N188/100</f>
        <v>-600.03174129866863</v>
      </c>
      <c r="P320" s="27">
        <f ca="1">N305*N198/10*N188/100</f>
        <v>1578.0589026281198</v>
      </c>
      <c r="Q320" s="27">
        <f ca="1">(N305*N198+N306*N253)/10*N188/100</f>
        <v>978.02716132945091</v>
      </c>
      <c r="R320" s="7"/>
      <c r="S320" s="7"/>
      <c r="T320" s="7"/>
      <c r="U320" s="7"/>
    </row>
    <row r="321" spans="1:27" x14ac:dyDescent="0.35">
      <c r="A321" s="27"/>
      <c r="B321" s="27"/>
      <c r="C321" s="27"/>
      <c r="D321" s="27"/>
      <c r="E321" s="27"/>
      <c r="F321" s="27"/>
      <c r="G321" s="27"/>
      <c r="H321" s="27"/>
      <c r="I321" s="27"/>
      <c r="J321" s="27"/>
      <c r="K321" s="27"/>
      <c r="L321" s="27"/>
      <c r="M321" s="27"/>
      <c r="N321" s="27"/>
      <c r="O321" s="27"/>
      <c r="P321" s="27"/>
      <c r="Q321" s="27"/>
      <c r="R321" s="7"/>
      <c r="S321" s="7"/>
      <c r="T321" s="7"/>
      <c r="U321" s="7"/>
    </row>
    <row r="322" spans="1:27" x14ac:dyDescent="0.35">
      <c r="A322" s="29" t="s">
        <v>130</v>
      </c>
      <c r="B322" s="25"/>
      <c r="C322" s="25"/>
      <c r="D322" s="25"/>
      <c r="E322" s="25"/>
      <c r="F322" s="25"/>
      <c r="G322" s="25">
        <f>G98</f>
        <v>1903.4354964816262</v>
      </c>
      <c r="H322" s="26"/>
      <c r="I322" s="25"/>
      <c r="J322" s="25">
        <f>I98</f>
        <v>1744.8264268960127</v>
      </c>
      <c r="K322" s="25"/>
      <c r="L322" s="25"/>
      <c r="M322" s="25"/>
      <c r="N322" s="25">
        <f>L98</f>
        <v>2282.6452304394425</v>
      </c>
      <c r="O322" s="25"/>
      <c r="P322" s="25"/>
      <c r="Q322" s="25">
        <f>N98</f>
        <v>2125.7963558413712</v>
      </c>
      <c r="R322" s="25"/>
      <c r="S322" s="7"/>
      <c r="T322" s="7"/>
      <c r="U322" s="7"/>
    </row>
    <row r="323" spans="1:27" x14ac:dyDescent="0.35">
      <c r="A323" s="27"/>
      <c r="B323" s="27"/>
      <c r="C323" s="27"/>
      <c r="D323" s="27"/>
      <c r="E323" s="27"/>
      <c r="F323" s="27"/>
      <c r="G323" s="27"/>
      <c r="H323" s="27"/>
      <c r="I323" s="27"/>
      <c r="J323" s="27"/>
      <c r="K323" s="33" t="s">
        <v>142</v>
      </c>
      <c r="L323" s="27"/>
      <c r="M323" s="27"/>
      <c r="N323" s="27"/>
      <c r="O323" s="27"/>
      <c r="P323" s="27"/>
      <c r="Q323" s="27"/>
      <c r="R323" s="33" t="s">
        <v>142</v>
      </c>
      <c r="S323" s="7"/>
      <c r="T323" s="7"/>
    </row>
    <row r="324" spans="1:27" x14ac:dyDescent="0.35">
      <c r="A324" s="29" t="s">
        <v>258</v>
      </c>
      <c r="B324" s="27"/>
      <c r="C324" s="27"/>
      <c r="D324" s="27"/>
      <c r="E324" s="27">
        <f ca="1">E318*1000/G322*100/G185</f>
        <v>5.5416391472111313</v>
      </c>
      <c r="F324" s="27">
        <f ca="1">F318*1000/G322*100/G185</f>
        <v>-5.105755013191235</v>
      </c>
      <c r="G324" s="27">
        <f ca="1">G318*1000/G322*100/G185</f>
        <v>0.43588413401989684</v>
      </c>
      <c r="H324" s="27">
        <f ca="1">H318*1000/J322*100/I185</f>
        <v>6.8149046680860632</v>
      </c>
      <c r="I324" s="27">
        <f ca="1">I318*1000/J322*100/I185</f>
        <v>-2.8853290840418566</v>
      </c>
      <c r="J324" s="27">
        <f ca="1">J318*1000/J322*100/I185</f>
        <v>3.9295755840442066</v>
      </c>
      <c r="K324" s="27">
        <f ca="1">G324+J324</f>
        <v>4.3654597180641037</v>
      </c>
      <c r="L324" s="27">
        <f ca="1">L318*1000/N322*100/L185</f>
        <v>-5.287634732840683</v>
      </c>
      <c r="M324" s="27">
        <f ca="1">M318*1000/N322*100/L185</f>
        <v>9.188730610721338</v>
      </c>
      <c r="N324" s="27">
        <f ca="1">N318*1000/N322*100/L185</f>
        <v>3.901095877880655</v>
      </c>
      <c r="O324" s="27">
        <f ca="1">O318*1000/Q322*100/N185</f>
        <v>-6.2871290007293741</v>
      </c>
      <c r="P324" s="27">
        <f ca="1">P318*1000/Q322*100/N185</f>
        <v>14.915243669472851</v>
      </c>
      <c r="Q324" s="27">
        <f ca="1">Q318*1000/Q322*100/N185</f>
        <v>8.6281146687434767</v>
      </c>
      <c r="R324" s="27">
        <f ca="1">N324+Q324</f>
        <v>12.529210546624132</v>
      </c>
      <c r="S324" s="7"/>
      <c r="T324" s="7"/>
    </row>
    <row r="325" spans="1:27" x14ac:dyDescent="0.35">
      <c r="A325" s="29" t="s">
        <v>259</v>
      </c>
      <c r="B325" s="27"/>
      <c r="C325" s="27"/>
      <c r="D325" s="27"/>
      <c r="E325" s="27">
        <f ca="1">E319*1000/G322</f>
        <v>0.36038315551911454</v>
      </c>
      <c r="F325" s="27">
        <f ca="1">F319*1000/G322</f>
        <v>-11.376977174108703</v>
      </c>
      <c r="G325" s="27">
        <f ca="1">G319*1000/$G$322</f>
        <v>-11.016594018589588</v>
      </c>
      <c r="H325" s="27">
        <f ca="1">H319*1000/J322</f>
        <v>0.48914673081735954</v>
      </c>
      <c r="I325" s="27">
        <f ca="1">I319*1000/J322</f>
        <v>-5.0983538343863284</v>
      </c>
      <c r="J325" s="27">
        <f ca="1">J319*1000/J322</f>
        <v>-4.609207103568969</v>
      </c>
      <c r="K325" s="27">
        <f ca="1">G325+J325</f>
        <v>-15.625801122158556</v>
      </c>
      <c r="L325" s="27">
        <f ca="1">L319*1000/N322</f>
        <v>-0.26790797638396913</v>
      </c>
      <c r="M325" s="27">
        <f ca="1">M319*1000/N322</f>
        <v>17.443153136315761</v>
      </c>
      <c r="N325" s="27">
        <f ca="1">N319*1000/N322</f>
        <v>17.175245159931791</v>
      </c>
      <c r="O325" s="27">
        <f ca="1">O319*1000/Q322</f>
        <v>-0.40480578872267781</v>
      </c>
      <c r="P325" s="27">
        <f ca="1">P319*1000/Q322</f>
        <v>23.961770480461929</v>
      </c>
      <c r="Q325" s="27">
        <f ca="1">Q319*1000/Q322</f>
        <v>23.55696469173925</v>
      </c>
      <c r="R325" s="27">
        <f ca="1">N325+Q325</f>
        <v>40.732209851671044</v>
      </c>
      <c r="S325" s="7"/>
      <c r="T325" s="7"/>
    </row>
    <row r="326" spans="1:27" x14ac:dyDescent="0.35">
      <c r="A326" s="27" t="s">
        <v>37</v>
      </c>
      <c r="B326" s="27"/>
      <c r="C326" s="27"/>
      <c r="D326" s="27"/>
      <c r="E326" s="27">
        <f t="shared" ref="E326:J326" ca="1" si="1">E324+E325</f>
        <v>5.9020223027302459</v>
      </c>
      <c r="F326" s="27">
        <f t="shared" ca="1" si="1"/>
        <v>-16.482732187299938</v>
      </c>
      <c r="G326" s="27">
        <f t="shared" ca="1" si="1"/>
        <v>-10.580709884569691</v>
      </c>
      <c r="H326" s="27">
        <f t="shared" ca="1" si="1"/>
        <v>7.3040513989034226</v>
      </c>
      <c r="I326" s="27">
        <f t="shared" ca="1" si="1"/>
        <v>-7.983682918428185</v>
      </c>
      <c r="J326" s="27">
        <f t="shared" ca="1" si="1"/>
        <v>-0.67963151952476242</v>
      </c>
      <c r="K326" s="27">
        <f ca="1">G326+J326</f>
        <v>-11.260341404094454</v>
      </c>
      <c r="L326" s="27">
        <f t="shared" ref="L326:Q326" ca="1" si="2">L324+L325</f>
        <v>-5.5555427092246523</v>
      </c>
      <c r="M326" s="27">
        <f t="shared" ca="1" si="2"/>
        <v>26.631883747037101</v>
      </c>
      <c r="N326" s="27">
        <f t="shared" ca="1" si="2"/>
        <v>21.076341037812448</v>
      </c>
      <c r="O326" s="27">
        <f t="shared" ca="1" si="2"/>
        <v>-6.691934789452052</v>
      </c>
      <c r="P326" s="27">
        <f t="shared" ca="1" si="2"/>
        <v>38.87701414993478</v>
      </c>
      <c r="Q326" s="27">
        <f t="shared" ca="1" si="2"/>
        <v>32.185079360482725</v>
      </c>
      <c r="R326" s="27">
        <f ca="1">N326+Q326</f>
        <v>53.261420398295172</v>
      </c>
      <c r="S326" s="7"/>
      <c r="T326" s="7"/>
    </row>
    <row r="327" spans="1:27" x14ac:dyDescent="0.35">
      <c r="A327" s="27" t="s">
        <v>30</v>
      </c>
      <c r="B327" s="27"/>
      <c r="C327" s="27"/>
      <c r="D327" s="27"/>
      <c r="E327" s="27">
        <f t="shared" ref="E327:J327" ca="1" si="3">E320*$G$188/100</f>
        <v>889.09882989154153</v>
      </c>
      <c r="F327" s="27">
        <f t="shared" ca="1" si="3"/>
        <v>-1709.4584189894074</v>
      </c>
      <c r="G327" s="27">
        <f t="shared" ca="1" si="3"/>
        <v>-820.35958909786564</v>
      </c>
      <c r="H327" s="27">
        <f t="shared" ca="1" si="3"/>
        <v>2036.8118928991025</v>
      </c>
      <c r="I327" s="27">
        <f t="shared" ca="1" si="3"/>
        <v>-955.99912322229682</v>
      </c>
      <c r="J327" s="27">
        <f t="shared" ca="1" si="3"/>
        <v>1080.8127696768056</v>
      </c>
      <c r="K327" s="27"/>
      <c r="L327" s="27">
        <f ca="1">L320*$L$188/100</f>
        <v>-160.50701089086013</v>
      </c>
      <c r="M327" s="27">
        <f ca="1">M320*$L$188/100</f>
        <v>582.0695125781624</v>
      </c>
      <c r="N327" s="27">
        <f ca="1">N320*$L$188/100</f>
        <v>421.56250168730213</v>
      </c>
      <c r="O327" s="27">
        <f ca="1">O320*N188/100</f>
        <v>-360.01904477920124</v>
      </c>
      <c r="P327" s="27">
        <f ca="1">P320*N188/100</f>
        <v>946.83534157687188</v>
      </c>
      <c r="Q327" s="27">
        <f ca="1">Q320*N188/100</f>
        <v>586.81629679767047</v>
      </c>
      <c r="R327" s="7"/>
      <c r="S327" s="7"/>
      <c r="T327" s="7"/>
    </row>
    <row r="328" spans="1:27" x14ac:dyDescent="0.35">
      <c r="A328" s="27"/>
      <c r="B328" s="27"/>
      <c r="C328" s="27"/>
      <c r="D328" s="27"/>
      <c r="E328" s="27"/>
      <c r="F328" s="27"/>
      <c r="G328" s="27"/>
      <c r="H328" s="27"/>
      <c r="I328" s="27"/>
      <c r="J328" s="27"/>
      <c r="K328" s="27"/>
      <c r="L328" s="27"/>
      <c r="M328" s="27"/>
      <c r="N328" s="27"/>
      <c r="O328" s="27"/>
      <c r="P328" s="27"/>
      <c r="Q328" s="27"/>
      <c r="R328" s="7"/>
      <c r="S328" s="7"/>
      <c r="T328" s="7"/>
    </row>
    <row r="329" spans="1:27" s="81" customFormat="1" x14ac:dyDescent="0.35">
      <c r="A329" s="81" t="s">
        <v>289</v>
      </c>
    </row>
    <row r="330" spans="1:27" s="81" customFormat="1" x14ac:dyDescent="0.35">
      <c r="A330" s="81" t="s">
        <v>36</v>
      </c>
      <c r="G330" s="100">
        <f ca="1">G326/F10*100</f>
        <v>-20.030877067452369</v>
      </c>
      <c r="J330" s="100">
        <f ca="1">J326/F11*100</f>
        <v>-0.18768544525582206</v>
      </c>
      <c r="N330" s="100">
        <f ca="1">N326/O10*100</f>
        <v>6.2616322398765414</v>
      </c>
      <c r="Q330" s="100">
        <f ca="1">Q326/O11*100</f>
        <v>2.7886609487473994</v>
      </c>
    </row>
    <row r="331" spans="1:27" x14ac:dyDescent="0.35">
      <c r="A331" s="7"/>
      <c r="B331" s="7"/>
      <c r="C331" s="7"/>
      <c r="D331" s="7"/>
      <c r="E331" s="7"/>
      <c r="F331" s="7"/>
      <c r="G331" s="7"/>
      <c r="H331" s="7"/>
      <c r="I331" s="7"/>
      <c r="J331" s="7"/>
      <c r="K331" s="7"/>
      <c r="L331" s="15" t="s">
        <v>310</v>
      </c>
      <c r="M331" s="81"/>
      <c r="N331" s="81"/>
      <c r="O331" s="81"/>
      <c r="P331" s="81"/>
      <c r="Q331" s="81"/>
      <c r="R331" s="81"/>
      <c r="S331" s="7"/>
      <c r="T331" s="7"/>
    </row>
    <row r="332" spans="1:27" x14ac:dyDescent="0.35">
      <c r="A332" s="15" t="s">
        <v>309</v>
      </c>
      <c r="B332" s="7"/>
      <c r="C332" s="7"/>
      <c r="D332" s="7"/>
      <c r="E332" s="7"/>
      <c r="F332" s="7"/>
      <c r="G332" s="31" t="s">
        <v>139</v>
      </c>
      <c r="H332" s="31" t="s">
        <v>140</v>
      </c>
      <c r="I332" s="31" t="s">
        <v>141</v>
      </c>
      <c r="J332" s="32"/>
      <c r="K332" s="32"/>
      <c r="L332" s="32"/>
      <c r="M332" s="32"/>
      <c r="N332" s="31" t="s">
        <v>139</v>
      </c>
      <c r="O332" s="31" t="s">
        <v>140</v>
      </c>
      <c r="P332" s="31" t="s">
        <v>141</v>
      </c>
      <c r="Q332" s="7"/>
      <c r="R332" s="7"/>
      <c r="S332" s="7"/>
      <c r="T332" s="7"/>
    </row>
    <row r="333" spans="1:27" x14ac:dyDescent="0.35">
      <c r="A333" s="15" t="s">
        <v>260</v>
      </c>
      <c r="B333" s="7"/>
      <c r="C333" s="7"/>
      <c r="D333" s="7"/>
      <c r="E333" s="7"/>
      <c r="F333" s="7"/>
      <c r="G333" s="59">
        <f ca="1">G324/(C12+D12)*100</f>
        <v>0.13473235641568623</v>
      </c>
      <c r="H333" s="59">
        <f ca="1">J324/(C12+D12)*100</f>
        <v>1.2146369570030162</v>
      </c>
      <c r="I333" s="59">
        <f ca="1">100*K324/(C12+D12)</f>
        <v>1.3493693134187026</v>
      </c>
      <c r="J333" s="65"/>
      <c r="K333" s="65"/>
      <c r="L333" s="65"/>
      <c r="M333" s="65"/>
      <c r="N333" s="59">
        <f ca="1">N324/(K12+L12)*100</f>
        <v>0.49942871520104132</v>
      </c>
      <c r="O333" s="59">
        <f ca="1">Q324/(K12+L12)*100</f>
        <v>1.1045942879924369</v>
      </c>
      <c r="P333" s="59">
        <f ca="1">N333+O333</f>
        <v>1.6040230031934781</v>
      </c>
      <c r="Q333" s="7"/>
      <c r="R333" s="7"/>
      <c r="S333" s="58" t="s">
        <v>294</v>
      </c>
      <c r="T333" s="65"/>
      <c r="U333" s="65"/>
      <c r="V333" s="65"/>
      <c r="W333" s="65"/>
      <c r="X333" s="65"/>
      <c r="Y333" s="65"/>
    </row>
    <row r="334" spans="1:27" x14ac:dyDescent="0.35">
      <c r="A334" s="15" t="s">
        <v>261</v>
      </c>
      <c r="B334" s="7"/>
      <c r="C334" s="7"/>
      <c r="D334" s="7"/>
      <c r="E334" s="7"/>
      <c r="F334" s="7"/>
      <c r="G334" s="59">
        <f ca="1">G325/E12*100</f>
        <v>-10.547597861119378</v>
      </c>
      <c r="H334" s="59">
        <f ca="1">J325/E12*100</f>
        <v>-4.4129848939721956</v>
      </c>
      <c r="I334" s="59">
        <f ca="1">100*K325/E12</f>
        <v>-14.960582755091572</v>
      </c>
      <c r="J334" s="65"/>
      <c r="K334" s="65"/>
      <c r="L334" s="65"/>
      <c r="M334" s="65"/>
      <c r="N334" s="59">
        <f ca="1">N325/M12*100</f>
        <v>1.603845734647795</v>
      </c>
      <c r="O334" s="59">
        <f ca="1">Q325/M12*100</f>
        <v>2.1997786343240033</v>
      </c>
      <c r="P334" s="59">
        <f ca="1">N334+O334</f>
        <v>3.8036243689717981</v>
      </c>
      <c r="Q334" s="7"/>
      <c r="R334" s="7"/>
      <c r="S334" s="7"/>
      <c r="T334" s="7"/>
    </row>
    <row r="335" spans="1:27" x14ac:dyDescent="0.35">
      <c r="A335" s="15" t="s">
        <v>165</v>
      </c>
      <c r="B335" s="7"/>
      <c r="C335" s="7"/>
      <c r="D335" s="7"/>
      <c r="E335" s="7"/>
      <c r="F335" s="7"/>
      <c r="G335" s="14">
        <f ca="1">100*((1+G333/100)/(1+G334/100)-1)</f>
        <v>11.941915434478844</v>
      </c>
      <c r="H335" s="14">
        <f ca="1">100*((1+H333/100)/(1+H334/100)-1)</f>
        <v>5.8874333974472171</v>
      </c>
      <c r="I335" s="14">
        <f ca="1">100*((1+I333/100)/(1+I334/100)-1)</f>
        <v>19.179284850387202</v>
      </c>
      <c r="J335" s="7"/>
      <c r="K335" s="7"/>
      <c r="L335" s="7"/>
      <c r="M335" s="7"/>
      <c r="N335" s="14">
        <f ca="1">100*((1+N333/100)/(1+N334/100)-1)</f>
        <v>-1.0869834812464729</v>
      </c>
      <c r="O335" s="14">
        <f ca="1">100*((1+O333/100)/(1+O334/100)-1)</f>
        <v>-1.0716112705588143</v>
      </c>
      <c r="P335" s="14">
        <f ca="1">100*((1+P333/100)/(1+P334/100)-1)</f>
        <v>-2.1190024713971245</v>
      </c>
      <c r="Q335" s="7"/>
      <c r="R335" s="7"/>
      <c r="S335" s="15"/>
      <c r="T335" s="7"/>
      <c r="U335" s="7"/>
      <c r="V335" s="7"/>
      <c r="W335" s="7"/>
      <c r="X335" s="7"/>
      <c r="Y335" s="7"/>
      <c r="Z335" s="7"/>
      <c r="AA335" s="7"/>
    </row>
    <row r="336" spans="1:27" x14ac:dyDescent="0.35">
      <c r="A336" s="15" t="s">
        <v>164</v>
      </c>
      <c r="B336" s="7"/>
      <c r="C336" s="7"/>
      <c r="D336" s="7"/>
      <c r="E336" s="7"/>
      <c r="F336" s="7"/>
      <c r="G336" s="14">
        <f ca="1">G326/F12*100</f>
        <v>-2.4723306542753942</v>
      </c>
      <c r="H336" s="14">
        <f ca="1">J326/F12*100</f>
        <v>-0.15880539752661141</v>
      </c>
      <c r="I336" s="14">
        <f ca="1">G336+H336</f>
        <v>-2.6311360518020055</v>
      </c>
      <c r="J336" s="7"/>
      <c r="K336" s="7"/>
      <c r="L336" s="15" t="s">
        <v>311</v>
      </c>
      <c r="M336" s="81"/>
      <c r="N336" s="14">
        <f ca="1">N326/N12*100</f>
        <v>3.1564427884439077</v>
      </c>
      <c r="O336" s="14">
        <f ca="1">Q326/N12*100</f>
        <v>4.8201137693032328</v>
      </c>
      <c r="P336" s="14">
        <f ca="1">N336+O336</f>
        <v>7.9765565577471405</v>
      </c>
      <c r="Q336" s="7"/>
      <c r="R336" s="7"/>
      <c r="S336" s="7"/>
      <c r="T336" s="7"/>
    </row>
    <row r="337" spans="1:20" x14ac:dyDescent="0.35">
      <c r="A337" s="7"/>
      <c r="B337" s="7"/>
      <c r="C337" s="7"/>
      <c r="D337" s="7"/>
      <c r="E337" s="7"/>
      <c r="F337" s="7"/>
      <c r="G337" s="7"/>
      <c r="H337" s="7"/>
      <c r="I337" s="14"/>
      <c r="J337" s="7"/>
      <c r="K337" s="7"/>
      <c r="L337" s="7"/>
      <c r="M337" s="7"/>
      <c r="N337" s="7"/>
      <c r="O337" s="7"/>
      <c r="P337" s="14"/>
      <c r="Q337" s="7"/>
      <c r="R337" s="7"/>
      <c r="S337" s="7"/>
      <c r="T337" s="7"/>
    </row>
    <row r="338" spans="1:20" x14ac:dyDescent="0.35">
      <c r="A338" s="7"/>
      <c r="B338" s="7"/>
      <c r="C338" s="7"/>
      <c r="D338" s="7"/>
      <c r="E338" s="7"/>
      <c r="F338" s="7"/>
      <c r="G338" s="48" t="s">
        <v>167</v>
      </c>
      <c r="H338" s="7"/>
      <c r="I338" s="48" t="s">
        <v>167</v>
      </c>
      <c r="J338" s="7"/>
      <c r="K338" s="7"/>
      <c r="L338" s="7"/>
      <c r="M338" s="7"/>
      <c r="N338" s="48" t="s">
        <v>167</v>
      </c>
      <c r="O338" s="7"/>
      <c r="P338" s="48" t="s">
        <v>167</v>
      </c>
      <c r="Q338" s="7"/>
      <c r="R338" s="7"/>
      <c r="S338" s="7"/>
      <c r="T338" s="7"/>
    </row>
    <row r="339" spans="1:20" x14ac:dyDescent="0.35">
      <c r="A339" s="7"/>
      <c r="B339" s="7"/>
      <c r="C339" s="7"/>
      <c r="D339" s="7"/>
      <c r="E339" s="7"/>
      <c r="F339" s="7"/>
      <c r="G339" s="48" t="s">
        <v>168</v>
      </c>
      <c r="H339" s="7"/>
      <c r="I339" s="48" t="s">
        <v>171</v>
      </c>
      <c r="J339" s="7"/>
      <c r="K339" s="7"/>
      <c r="L339" s="7"/>
      <c r="M339" s="7"/>
      <c r="N339" s="48" t="s">
        <v>168</v>
      </c>
      <c r="O339" s="7"/>
      <c r="P339" s="48" t="s">
        <v>171</v>
      </c>
      <c r="Q339" s="7"/>
      <c r="R339" s="7"/>
      <c r="S339" s="7"/>
      <c r="T339" s="7"/>
    </row>
    <row r="340" spans="1:20" x14ac:dyDescent="0.35">
      <c r="A340" s="7"/>
      <c r="B340" s="7"/>
      <c r="C340" s="7"/>
      <c r="D340" s="7"/>
      <c r="E340" s="7"/>
      <c r="F340" s="7"/>
      <c r="G340" s="48" t="s">
        <v>169</v>
      </c>
      <c r="H340" s="7"/>
      <c r="I340" s="48" t="s">
        <v>172</v>
      </c>
      <c r="J340" s="7"/>
      <c r="K340" s="7"/>
      <c r="L340" s="7"/>
      <c r="M340" s="7"/>
      <c r="N340" s="48" t="s">
        <v>169</v>
      </c>
      <c r="O340" s="7"/>
      <c r="P340" s="48" t="s">
        <v>172</v>
      </c>
      <c r="Q340" s="7"/>
      <c r="R340" s="7"/>
      <c r="S340" s="7"/>
      <c r="T340" s="7"/>
    </row>
    <row r="341" spans="1:20" x14ac:dyDescent="0.35">
      <c r="A341" s="6" t="s">
        <v>166</v>
      </c>
      <c r="B341" s="7"/>
      <c r="C341" s="7"/>
      <c r="D341" s="7"/>
      <c r="E341" s="7"/>
      <c r="F341" s="7"/>
      <c r="G341" s="48" t="s">
        <v>170</v>
      </c>
      <c r="H341" s="7"/>
      <c r="I341" s="48" t="s">
        <v>173</v>
      </c>
      <c r="J341" s="1"/>
      <c r="K341" s="1"/>
      <c r="L341" s="1"/>
      <c r="M341" s="1"/>
      <c r="N341" s="48" t="s">
        <v>170</v>
      </c>
      <c r="O341" s="7"/>
      <c r="P341" s="48" t="s">
        <v>173</v>
      </c>
      <c r="Q341" s="7"/>
      <c r="R341" s="7"/>
      <c r="S341" s="7"/>
      <c r="T341" s="7"/>
    </row>
    <row r="343" spans="1:20" x14ac:dyDescent="0.35">
      <c r="A343" s="2"/>
      <c r="B343" s="2"/>
      <c r="C343" s="2"/>
      <c r="D343" s="2"/>
      <c r="E343" s="2"/>
      <c r="F343" s="2"/>
      <c r="G343" s="2">
        <f ca="1">G326</f>
        <v>-10.580709884569691</v>
      </c>
      <c r="H343" s="2"/>
      <c r="I343" s="2">
        <f ca="1">I335</f>
        <v>19.179284850387202</v>
      </c>
      <c r="J343" s="2"/>
      <c r="K343" s="2"/>
      <c r="L343" s="2"/>
      <c r="M343" s="2"/>
      <c r="N343" s="2">
        <f ca="1">N326</f>
        <v>21.076341037812448</v>
      </c>
      <c r="O343" s="2"/>
      <c r="P343" s="2">
        <f ca="1">P335</f>
        <v>-2.1190024713971245</v>
      </c>
      <c r="Q343" s="2"/>
      <c r="R343" s="2"/>
    </row>
    <row r="345" spans="1:20" x14ac:dyDescent="0.35">
      <c r="A345" t="s">
        <v>287</v>
      </c>
      <c r="C345" s="78"/>
      <c r="D345" s="78"/>
      <c r="E345" s="78"/>
      <c r="F345" s="78" t="s">
        <v>59</v>
      </c>
      <c r="G345" s="78"/>
      <c r="H345" s="78"/>
      <c r="I345" s="78"/>
      <c r="J345" s="78" t="s">
        <v>72</v>
      </c>
      <c r="K345" s="78"/>
      <c r="L345" s="75"/>
      <c r="M345" s="75" t="s">
        <v>272</v>
      </c>
      <c r="N345" s="75"/>
    </row>
    <row r="346" spans="1:20" x14ac:dyDescent="0.35">
      <c r="C346" s="78"/>
      <c r="D346" s="78"/>
      <c r="E346" s="77" t="s">
        <v>273</v>
      </c>
      <c r="F346" s="77" t="s">
        <v>274</v>
      </c>
      <c r="G346" s="77" t="s">
        <v>60</v>
      </c>
      <c r="H346" s="78"/>
      <c r="I346" s="77" t="s">
        <v>273</v>
      </c>
      <c r="J346" s="77" t="s">
        <v>274</v>
      </c>
      <c r="K346" s="77" t="s">
        <v>60</v>
      </c>
      <c r="L346" s="75"/>
      <c r="M346" s="77" t="s">
        <v>60</v>
      </c>
      <c r="N346" s="75"/>
    </row>
    <row r="347" spans="1:20" x14ac:dyDescent="0.35">
      <c r="C347" s="78"/>
      <c r="D347" s="78"/>
      <c r="E347" s="77" t="s">
        <v>275</v>
      </c>
      <c r="F347" s="77" t="s">
        <v>276</v>
      </c>
      <c r="G347" s="77" t="s">
        <v>277</v>
      </c>
      <c r="H347" s="78"/>
      <c r="I347" s="77" t="s">
        <v>275</v>
      </c>
      <c r="J347" s="77" t="s">
        <v>276</v>
      </c>
      <c r="K347" s="77" t="s">
        <v>277</v>
      </c>
      <c r="L347" s="75"/>
      <c r="M347" s="77" t="s">
        <v>277</v>
      </c>
      <c r="N347" s="75"/>
    </row>
    <row r="348" spans="1:20" x14ac:dyDescent="0.35">
      <c r="C348" s="78" t="s">
        <v>278</v>
      </c>
      <c r="D348" s="78"/>
      <c r="E348" s="78"/>
      <c r="F348" s="78"/>
      <c r="G348" s="78"/>
      <c r="H348" s="78"/>
      <c r="I348" s="78"/>
      <c r="J348" s="78"/>
      <c r="K348" s="78"/>
      <c r="L348" s="75"/>
      <c r="M348" s="75"/>
      <c r="N348" s="75"/>
    </row>
    <row r="349" spans="1:20" x14ac:dyDescent="0.35">
      <c r="C349" s="78" t="s">
        <v>279</v>
      </c>
      <c r="D349" s="78"/>
      <c r="E349" s="78">
        <f t="shared" ref="E349:G351" ca="1" si="4">E324</f>
        <v>5.5416391472111313</v>
      </c>
      <c r="F349" s="78">
        <f t="shared" ca="1" si="4"/>
        <v>-5.105755013191235</v>
      </c>
      <c r="G349" s="78">
        <f t="shared" ca="1" si="4"/>
        <v>0.43588413401989684</v>
      </c>
      <c r="H349" s="78"/>
      <c r="I349" s="78">
        <f t="shared" ref="I349:K351" ca="1" si="5">H324</f>
        <v>6.8149046680860632</v>
      </c>
      <c r="J349" s="78">
        <f t="shared" ca="1" si="5"/>
        <v>-2.8853290840418566</v>
      </c>
      <c r="K349" s="78">
        <f t="shared" ca="1" si="5"/>
        <v>3.9295755840442066</v>
      </c>
      <c r="L349" s="75"/>
      <c r="M349" s="78">
        <f ca="1">K324</f>
        <v>4.3654597180641037</v>
      </c>
      <c r="N349" s="75"/>
    </row>
    <row r="350" spans="1:20" x14ac:dyDescent="0.35">
      <c r="C350" s="78" t="s">
        <v>280</v>
      </c>
      <c r="D350" s="78"/>
      <c r="E350" s="78">
        <f t="shared" ca="1" si="4"/>
        <v>0.36038315551911454</v>
      </c>
      <c r="F350" s="78">
        <f t="shared" ca="1" si="4"/>
        <v>-11.376977174108703</v>
      </c>
      <c r="G350" s="78">
        <f t="shared" ca="1" si="4"/>
        <v>-11.016594018589588</v>
      </c>
      <c r="H350" s="78"/>
      <c r="I350" s="78">
        <f t="shared" ca="1" si="5"/>
        <v>0.48914673081735954</v>
      </c>
      <c r="J350" s="78">
        <f t="shared" ca="1" si="5"/>
        <v>-5.0983538343863284</v>
      </c>
      <c r="K350" s="78">
        <f t="shared" ca="1" si="5"/>
        <v>-4.609207103568969</v>
      </c>
      <c r="L350" s="75"/>
      <c r="M350" s="78">
        <f ca="1">K325</f>
        <v>-15.625801122158556</v>
      </c>
      <c r="N350" s="75"/>
    </row>
    <row r="351" spans="1:20" x14ac:dyDescent="0.35">
      <c r="C351" s="78" t="s">
        <v>281</v>
      </c>
      <c r="D351" s="78"/>
      <c r="E351" s="78">
        <f t="shared" ca="1" si="4"/>
        <v>5.9020223027302459</v>
      </c>
      <c r="F351" s="78">
        <f t="shared" ca="1" si="4"/>
        <v>-16.482732187299938</v>
      </c>
      <c r="G351" s="78">
        <f t="shared" ca="1" si="4"/>
        <v>-10.580709884569691</v>
      </c>
      <c r="H351" s="78"/>
      <c r="I351" s="78">
        <f t="shared" ca="1" si="5"/>
        <v>7.3040513989034226</v>
      </c>
      <c r="J351" s="78">
        <f t="shared" ca="1" si="5"/>
        <v>-7.983682918428185</v>
      </c>
      <c r="K351" s="78">
        <f t="shared" ca="1" si="5"/>
        <v>-0.67963151952476242</v>
      </c>
      <c r="L351" s="75"/>
      <c r="M351" s="78">
        <f ca="1">K326</f>
        <v>-11.260341404094454</v>
      </c>
      <c r="N351" s="75"/>
    </row>
    <row r="352" spans="1:20" x14ac:dyDescent="0.35">
      <c r="C352" s="78" t="s">
        <v>282</v>
      </c>
      <c r="D352" s="78"/>
      <c r="E352" s="78"/>
      <c r="F352" s="78"/>
      <c r="G352" s="78"/>
      <c r="H352" s="78"/>
      <c r="I352" s="78"/>
      <c r="J352" s="78"/>
      <c r="K352" s="78"/>
      <c r="L352" s="75"/>
      <c r="M352" s="75"/>
      <c r="N352" s="75"/>
    </row>
    <row r="353" spans="2:14" x14ac:dyDescent="0.35">
      <c r="C353" s="78" t="s">
        <v>286</v>
      </c>
      <c r="D353" s="72"/>
      <c r="E353" s="72"/>
      <c r="F353" s="72"/>
      <c r="G353" s="79">
        <f ca="1">G330</f>
        <v>-20.030877067452369</v>
      </c>
      <c r="H353" s="73"/>
      <c r="I353" s="73"/>
      <c r="J353" s="73"/>
      <c r="K353" s="79">
        <f ca="1">J330</f>
        <v>-0.18768544525582206</v>
      </c>
      <c r="L353" s="73"/>
      <c r="M353" s="79">
        <f ca="1">I336</f>
        <v>-2.6311360518020055</v>
      </c>
      <c r="N353" s="75" t="s">
        <v>295</v>
      </c>
    </row>
    <row r="354" spans="2:14" x14ac:dyDescent="0.35">
      <c r="C354" s="78" t="s">
        <v>283</v>
      </c>
      <c r="D354" s="72"/>
      <c r="E354" s="72"/>
      <c r="F354" s="72"/>
      <c r="G354" s="79">
        <f ca="1">G333</f>
        <v>0.13473235641568623</v>
      </c>
      <c r="H354" s="74"/>
      <c r="I354" s="74"/>
      <c r="J354" s="74"/>
      <c r="K354" s="79">
        <f ca="1">H333</f>
        <v>1.2146369570030162</v>
      </c>
      <c r="L354" s="74"/>
      <c r="M354" s="79">
        <f ca="1">I333</f>
        <v>1.3493693134187026</v>
      </c>
      <c r="N354" s="75"/>
    </row>
    <row r="355" spans="2:14" x14ac:dyDescent="0.35">
      <c r="C355" s="78" t="s">
        <v>284</v>
      </c>
      <c r="D355" s="72"/>
      <c r="E355" s="72"/>
      <c r="F355" s="72"/>
      <c r="G355" s="134">
        <f ca="1">G334</f>
        <v>-10.547597861119378</v>
      </c>
      <c r="H355" s="74"/>
      <c r="I355" s="74"/>
      <c r="J355" s="74"/>
      <c r="K355" s="79">
        <f ca="1">H334</f>
        <v>-4.4129848939721956</v>
      </c>
      <c r="L355" s="74"/>
      <c r="M355" s="79">
        <f ca="1">I334</f>
        <v>-14.960582755091572</v>
      </c>
      <c r="N355" s="75"/>
    </row>
    <row r="356" spans="2:14" x14ac:dyDescent="0.35">
      <c r="C356" s="78" t="s">
        <v>285</v>
      </c>
      <c r="D356" s="72"/>
      <c r="E356" s="72"/>
      <c r="F356" s="72"/>
      <c r="G356" s="76">
        <f ca="1">G335</f>
        <v>11.941915434478844</v>
      </c>
      <c r="H356" s="74"/>
      <c r="I356" s="74"/>
      <c r="J356" s="74"/>
      <c r="K356" s="79">
        <f ca="1">H335</f>
        <v>5.8874333974472171</v>
      </c>
      <c r="L356" s="74"/>
      <c r="M356" s="79">
        <f ca="1">I335</f>
        <v>19.179284850387202</v>
      </c>
      <c r="N356" s="75"/>
    </row>
    <row r="358" spans="2:14" x14ac:dyDescent="0.35">
      <c r="C358" s="72"/>
      <c r="D358" s="72"/>
      <c r="E358" s="72"/>
      <c r="F358" s="72"/>
      <c r="G358" s="72"/>
      <c r="H358" s="72"/>
      <c r="I358" s="72"/>
      <c r="J358" s="72"/>
      <c r="K358" s="72"/>
      <c r="L358" s="72"/>
      <c r="M358" s="72"/>
      <c r="N358" s="75"/>
    </row>
    <row r="359" spans="2:14" x14ac:dyDescent="0.35">
      <c r="B359" s="9"/>
      <c r="C359" s="9"/>
      <c r="D359" s="161"/>
      <c r="E359" s="162"/>
      <c r="F359" s="162"/>
      <c r="G359" s="162"/>
      <c r="H359" s="162"/>
      <c r="I359" s="162"/>
      <c r="J359" s="163" t="s">
        <v>327</v>
      </c>
      <c r="K359" s="164" t="s">
        <v>328</v>
      </c>
    </row>
    <row r="360" spans="2:14" x14ac:dyDescent="0.35">
      <c r="C360" s="157" t="s">
        <v>329</v>
      </c>
      <c r="D360" s="165"/>
      <c r="E360" s="166"/>
      <c r="F360" s="166"/>
      <c r="G360" s="166"/>
      <c r="H360" s="166"/>
      <c r="I360" s="166"/>
      <c r="J360" s="167">
        <f>G52</f>
        <v>0.36436041834271921</v>
      </c>
      <c r="K360" s="167">
        <f>F241/F238</f>
        <v>0.35592500228482049</v>
      </c>
    </row>
    <row r="361" spans="2:14" x14ac:dyDescent="0.35">
      <c r="C361" s="157" t="s">
        <v>330</v>
      </c>
      <c r="D361" s="165"/>
      <c r="E361" s="166"/>
      <c r="F361" s="166"/>
      <c r="G361" s="166"/>
      <c r="H361" s="166"/>
      <c r="I361" s="166"/>
      <c r="J361" s="167">
        <f>G179/1000</f>
        <v>0.18224019697990657</v>
      </c>
      <c r="K361" s="167">
        <f>F241/F242</f>
        <v>0.2074910252450497</v>
      </c>
    </row>
    <row r="362" spans="2:14" x14ac:dyDescent="0.35">
      <c r="C362" s="157" t="s">
        <v>331</v>
      </c>
      <c r="D362" s="165"/>
      <c r="E362" s="166"/>
      <c r="F362" s="166"/>
      <c r="G362" s="166"/>
      <c r="H362" s="166"/>
      <c r="I362" s="166"/>
      <c r="J362" s="167">
        <f>G54*G60</f>
        <v>0.61338475759482747</v>
      </c>
      <c r="K362" s="167">
        <f>F239/F238</f>
        <v>0.28712665485505406</v>
      </c>
    </row>
    <row r="363" spans="2:14" x14ac:dyDescent="0.35">
      <c r="C363" s="157" t="s">
        <v>332</v>
      </c>
      <c r="D363" s="165"/>
      <c r="E363" s="166"/>
      <c r="F363" s="166"/>
      <c r="G363" s="166"/>
      <c r="H363" s="166"/>
      <c r="I363" s="166"/>
      <c r="J363" s="167">
        <f>G177/1000</f>
        <v>0.30679336563778342</v>
      </c>
      <c r="K363" s="167">
        <f>F239/F242</f>
        <v>0.16738415005580939</v>
      </c>
    </row>
    <row r="364" spans="2:14" x14ac:dyDescent="0.35">
      <c r="C364" s="157" t="s">
        <v>333</v>
      </c>
      <c r="D364" s="165"/>
      <c r="E364" s="166"/>
      <c r="F364" s="166"/>
      <c r="J364" s="1">
        <f>J360+J362</f>
        <v>0.97774517593754662</v>
      </c>
      <c r="K364" s="1">
        <f>K360+K362</f>
        <v>0.64305165713987456</v>
      </c>
    </row>
    <row r="365" spans="2:14" x14ac:dyDescent="0.35">
      <c r="C365" s="157" t="s">
        <v>334</v>
      </c>
      <c r="D365" s="165"/>
      <c r="E365" s="166"/>
      <c r="F365" s="166"/>
      <c r="J365" s="1">
        <f>J361+J363</f>
        <v>0.48903356261768999</v>
      </c>
      <c r="K365" s="1">
        <f>K361+K363</f>
        <v>0.37487517530085912</v>
      </c>
    </row>
    <row r="366" spans="2:14" x14ac:dyDescent="0.35">
      <c r="C366" s="157" t="s">
        <v>335</v>
      </c>
      <c r="D366" s="165"/>
      <c r="E366" s="166"/>
      <c r="F366" s="166"/>
      <c r="G366" s="166"/>
      <c r="H366" s="166"/>
      <c r="I366" s="166"/>
      <c r="J366" s="167">
        <f>G54*G62</f>
        <v>2.2254824062453347E-2</v>
      </c>
      <c r="K366" s="167">
        <f>1-K360-K362</f>
        <v>0.35694834286012544</v>
      </c>
    </row>
    <row r="367" spans="2:14" x14ac:dyDescent="0.35">
      <c r="C367" s="157" t="s">
        <v>336</v>
      </c>
      <c r="D367" s="165"/>
      <c r="E367" s="166"/>
      <c r="F367" s="166"/>
      <c r="G367" s="166"/>
      <c r="H367" s="166"/>
      <c r="I367" s="166"/>
      <c r="J367" s="167">
        <f>G178/1000</f>
        <v>1.1131076035487008E-2</v>
      </c>
      <c r="K367" s="167">
        <f>F240/F242</f>
        <v>0.20808759470148525</v>
      </c>
    </row>
  </sheetData>
  <pageMargins left="0.39370078740157483" right="0.39370078740157483" top="0.98425196850393704" bottom="0.98425196850393704" header="0.51181102362204722" footer="0.51181102362204722"/>
  <pageSetup paperSize="9" scale="65" fitToHeight="0" orientation="landscape" r:id="rId1"/>
  <headerFooter>
    <oddHeader>&amp;LAdrian Wood&amp;CPage &amp;P&amp;R&amp;D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5"/>
  <sheetViews>
    <sheetView topLeftCell="A263" workbookViewId="0">
      <selection activeCell="A278" sqref="A278:XFD317"/>
    </sheetView>
  </sheetViews>
  <sheetFormatPr defaultColWidth="8" defaultRowHeight="15.5" x14ac:dyDescent="0.35"/>
  <cols>
    <col min="1" max="1" width="14.33203125" style="175" customWidth="1"/>
    <col min="2" max="2" width="8" style="175"/>
    <col min="3" max="6" width="7.9140625" style="175" customWidth="1"/>
    <col min="7" max="7" width="8.6640625" style="175" customWidth="1"/>
    <col min="8" max="8" width="7.9140625" style="175" customWidth="1"/>
    <col min="9" max="9" width="7.08203125" style="175" customWidth="1"/>
    <col min="10" max="10" width="8.6640625" style="175" customWidth="1"/>
    <col min="11" max="11" width="6.33203125" style="175" customWidth="1"/>
    <col min="12" max="16384" width="8" style="175"/>
  </cols>
  <sheetData>
    <row r="1" spans="1:11" x14ac:dyDescent="0.35">
      <c r="A1" s="174" t="s">
        <v>506</v>
      </c>
      <c r="B1" s="174"/>
      <c r="C1" s="174"/>
      <c r="D1" s="174"/>
      <c r="E1" s="174"/>
      <c r="F1" s="174"/>
      <c r="G1" s="174"/>
      <c r="H1" s="174"/>
      <c r="I1" s="174"/>
      <c r="J1" s="174"/>
      <c r="K1" s="174"/>
    </row>
    <row r="2" spans="1:11" x14ac:dyDescent="0.35">
      <c r="A2" s="174" t="s">
        <v>509</v>
      </c>
      <c r="B2" s="174"/>
      <c r="C2" s="174"/>
      <c r="D2" s="174"/>
      <c r="E2" s="174"/>
      <c r="F2" s="174"/>
      <c r="G2" s="174"/>
      <c r="H2" s="174"/>
      <c r="I2" s="174"/>
      <c r="J2" s="174"/>
      <c r="K2" s="174"/>
    </row>
    <row r="3" spans="1:11" x14ac:dyDescent="0.35">
      <c r="A3" s="175" t="s">
        <v>347</v>
      </c>
    </row>
    <row r="5" spans="1:11" x14ac:dyDescent="0.35">
      <c r="A5" s="175" t="s">
        <v>348</v>
      </c>
    </row>
    <row r="7" spans="1:11" x14ac:dyDescent="0.35">
      <c r="A7" s="175" t="s">
        <v>349</v>
      </c>
    </row>
    <row r="9" spans="1:11" x14ac:dyDescent="0.35">
      <c r="C9" s="175" t="s">
        <v>350</v>
      </c>
      <c r="E9" s="175" t="s">
        <v>351</v>
      </c>
      <c r="G9" s="175" t="s">
        <v>352</v>
      </c>
    </row>
    <row r="10" spans="1:11" x14ac:dyDescent="0.35">
      <c r="C10" s="175" t="s">
        <v>353</v>
      </c>
      <c r="E10" s="175" t="s">
        <v>354</v>
      </c>
      <c r="G10" s="175" t="s">
        <v>355</v>
      </c>
    </row>
    <row r="12" spans="1:11" x14ac:dyDescent="0.35">
      <c r="A12" s="175" t="s">
        <v>356</v>
      </c>
      <c r="C12" s="176">
        <v>17.388003000000026</v>
      </c>
      <c r="D12" s="177"/>
      <c r="E12" s="176">
        <v>161.3755388212947</v>
      </c>
      <c r="F12" s="176"/>
      <c r="G12" s="177">
        <f>E12-C12</f>
        <v>143.98753582129467</v>
      </c>
      <c r="H12" s="177"/>
    </row>
    <row r="13" spans="1:11" x14ac:dyDescent="0.35">
      <c r="A13" s="175" t="s">
        <v>357</v>
      </c>
      <c r="C13" s="176">
        <v>40.525934999999997</v>
      </c>
      <c r="E13" s="176">
        <v>68.592305389772093</v>
      </c>
      <c r="G13" s="177">
        <f>E13-C13</f>
        <v>28.066370389772096</v>
      </c>
    </row>
    <row r="14" spans="1:11" x14ac:dyDescent="0.35">
      <c r="A14" s="175" t="s">
        <v>358</v>
      </c>
      <c r="C14" s="176">
        <f>276.659997-C13</f>
        <v>236.13406199999997</v>
      </c>
      <c r="D14" s="177"/>
      <c r="E14" s="176">
        <f>188.83077636-E13</f>
        <v>120.23847097022789</v>
      </c>
      <c r="F14" s="176"/>
      <c r="G14" s="177">
        <f>E14-C14</f>
        <v>-115.89559102977208</v>
      </c>
      <c r="H14" s="177"/>
    </row>
    <row r="15" spans="1:11" x14ac:dyDescent="0.35">
      <c r="A15" s="175" t="s">
        <v>62</v>
      </c>
      <c r="C15" s="176">
        <v>294.048</v>
      </c>
      <c r="D15" s="177"/>
      <c r="E15" s="176">
        <v>350.20631518624646</v>
      </c>
      <c r="F15" s="176"/>
      <c r="G15" s="177">
        <f>G12+G13+G14</f>
        <v>56.158315181294682</v>
      </c>
      <c r="H15" s="177"/>
    </row>
    <row r="17" spans="1:12" x14ac:dyDescent="0.35">
      <c r="A17" s="175" t="s">
        <v>359</v>
      </c>
    </row>
    <row r="19" spans="1:12" x14ac:dyDescent="0.35">
      <c r="A19" s="175" t="s">
        <v>360</v>
      </c>
    </row>
    <row r="21" spans="1:12" x14ac:dyDescent="0.35">
      <c r="E21" s="175" t="s">
        <v>53</v>
      </c>
      <c r="G21" s="175" t="s">
        <v>54</v>
      </c>
      <c r="I21" s="175" t="s">
        <v>54</v>
      </c>
      <c r="K21" s="175" t="s">
        <v>361</v>
      </c>
    </row>
    <row r="22" spans="1:12" x14ac:dyDescent="0.35">
      <c r="E22" s="175" t="s">
        <v>52</v>
      </c>
      <c r="G22" s="175" t="s">
        <v>52</v>
      </c>
      <c r="I22" s="175" t="s">
        <v>362</v>
      </c>
    </row>
    <row r="23" spans="1:12" x14ac:dyDescent="0.35">
      <c r="A23" s="175" t="s">
        <v>363</v>
      </c>
      <c r="E23" s="177">
        <v>2002.49</v>
      </c>
      <c r="F23" s="177"/>
      <c r="G23" s="177">
        <f>I23+K23</f>
        <v>350.09609999999998</v>
      </c>
      <c r="H23" s="177"/>
      <c r="I23" s="177">
        <v>251.85</v>
      </c>
      <c r="J23" s="177"/>
      <c r="K23" s="177">
        <f>0.37*K26</f>
        <v>98.246099999999984</v>
      </c>
    </row>
    <row r="24" spans="1:12" x14ac:dyDescent="0.35">
      <c r="A24" s="175" t="s">
        <v>364</v>
      </c>
      <c r="E24" s="177">
        <f>E23*E28</f>
        <v>4705.8514999999998</v>
      </c>
      <c r="F24" s="177"/>
      <c r="G24" s="177">
        <f>I24+K24</f>
        <v>906.05552699999987</v>
      </c>
      <c r="H24" s="177"/>
      <c r="I24" s="177">
        <f>I28*I23</f>
        <v>604.43999999999994</v>
      </c>
      <c r="J24" s="177"/>
      <c r="K24" s="177">
        <f>K28*K23</f>
        <v>301.61552699999993</v>
      </c>
    </row>
    <row r="25" spans="1:12" x14ac:dyDescent="0.35">
      <c r="E25" s="177"/>
      <c r="F25" s="177"/>
      <c r="G25" s="177"/>
      <c r="H25" s="177"/>
      <c r="I25" s="177"/>
      <c r="J25" s="177"/>
      <c r="K25" s="177"/>
    </row>
    <row r="26" spans="1:12" x14ac:dyDescent="0.35">
      <c r="A26" s="175" t="s">
        <v>365</v>
      </c>
      <c r="E26" s="177">
        <v>8706.48</v>
      </c>
      <c r="F26" s="177"/>
      <c r="G26" s="177">
        <f>I26+K26</f>
        <v>2079.98</v>
      </c>
      <c r="H26" s="177"/>
      <c r="I26" s="177">
        <v>1814.45</v>
      </c>
      <c r="J26" s="177"/>
      <c r="K26" s="177">
        <v>265.52999999999997</v>
      </c>
      <c r="L26" s="175" t="s">
        <v>366</v>
      </c>
    </row>
    <row r="28" spans="1:12" x14ac:dyDescent="0.35">
      <c r="A28" s="175" t="s">
        <v>367</v>
      </c>
      <c r="E28" s="175">
        <v>2.35</v>
      </c>
      <c r="I28" s="176">
        <v>2.4</v>
      </c>
      <c r="K28" s="175">
        <v>3.07</v>
      </c>
      <c r="L28" s="175" t="s">
        <v>366</v>
      </c>
    </row>
    <row r="30" spans="1:12" x14ac:dyDescent="0.35">
      <c r="A30" s="175" t="s">
        <v>368</v>
      </c>
    </row>
    <row r="32" spans="1:12" x14ac:dyDescent="0.35">
      <c r="D32" s="175" t="s">
        <v>369</v>
      </c>
      <c r="J32" s="175" t="s">
        <v>370</v>
      </c>
    </row>
    <row r="33" spans="1:13" x14ac:dyDescent="0.35">
      <c r="C33" s="175" t="s">
        <v>371</v>
      </c>
      <c r="G33" s="175" t="s">
        <v>372</v>
      </c>
      <c r="I33" s="175" t="s">
        <v>371</v>
      </c>
      <c r="M33" s="175" t="s">
        <v>372</v>
      </c>
    </row>
    <row r="34" spans="1:13" x14ac:dyDescent="0.35">
      <c r="C34" s="175" t="s">
        <v>373</v>
      </c>
      <c r="D34" s="175" t="s">
        <v>301</v>
      </c>
      <c r="E34" s="175" t="s">
        <v>302</v>
      </c>
      <c r="F34" s="175" t="s">
        <v>62</v>
      </c>
      <c r="G34" s="175" t="s">
        <v>374</v>
      </c>
      <c r="I34" s="175" t="s">
        <v>373</v>
      </c>
      <c r="J34" s="175" t="s">
        <v>301</v>
      </c>
      <c r="K34" s="175" t="s">
        <v>302</v>
      </c>
      <c r="L34" s="175" t="s">
        <v>62</v>
      </c>
      <c r="M34" s="175" t="s">
        <v>374</v>
      </c>
    </row>
    <row r="36" spans="1:13" x14ac:dyDescent="0.35">
      <c r="A36" s="175" t="s">
        <v>59</v>
      </c>
      <c r="C36" s="177"/>
      <c r="D36" s="177"/>
      <c r="E36" s="177"/>
      <c r="F36" s="177">
        <v>74.400000000000006</v>
      </c>
      <c r="G36" s="177">
        <v>2421</v>
      </c>
      <c r="H36" s="177"/>
      <c r="I36" s="178">
        <f t="shared" ref="I36:M38" si="0">I44+I52</f>
        <v>0</v>
      </c>
      <c r="J36" s="178">
        <f t="shared" si="0"/>
        <v>0</v>
      </c>
      <c r="K36" s="178">
        <f t="shared" si="0"/>
        <v>0</v>
      </c>
      <c r="L36" s="177">
        <f t="shared" si="0"/>
        <v>204.95</v>
      </c>
      <c r="M36" s="177">
        <f t="shared" si="0"/>
        <v>430.42</v>
      </c>
    </row>
    <row r="37" spans="1:13" x14ac:dyDescent="0.35">
      <c r="A37" s="175" t="s">
        <v>375</v>
      </c>
      <c r="C37" s="177"/>
      <c r="D37" s="177"/>
      <c r="E37" s="177"/>
      <c r="F37" s="177">
        <f>F38-F36</f>
        <v>276.20000000000005</v>
      </c>
      <c r="G37" s="177">
        <f>G38-G36</f>
        <v>10620</v>
      </c>
      <c r="H37" s="177"/>
      <c r="I37" s="178">
        <f t="shared" si="0"/>
        <v>0</v>
      </c>
      <c r="J37" s="178">
        <f t="shared" si="0"/>
        <v>0</v>
      </c>
      <c r="K37" s="178">
        <f t="shared" si="0"/>
        <v>0</v>
      </c>
      <c r="L37" s="177">
        <f t="shared" si="0"/>
        <v>1375.45</v>
      </c>
      <c r="M37" s="177">
        <f t="shared" si="0"/>
        <v>2810.34</v>
      </c>
    </row>
    <row r="38" spans="1:13" x14ac:dyDescent="0.35">
      <c r="A38" s="175" t="s">
        <v>376</v>
      </c>
      <c r="C38" s="177">
        <f>(F67*K71+G67)/100*F38</f>
        <v>173.52322523736507</v>
      </c>
      <c r="D38" s="177">
        <f>F38-E38-C38</f>
        <v>172.44332705757438</v>
      </c>
      <c r="E38" s="177">
        <f>B67/100*F38</f>
        <v>4.6334477050606022</v>
      </c>
      <c r="F38" s="177">
        <v>350.6</v>
      </c>
      <c r="G38" s="177">
        <v>13041</v>
      </c>
      <c r="H38" s="177"/>
      <c r="I38" s="177">
        <f t="shared" si="0"/>
        <v>153.67011840775754</v>
      </c>
      <c r="J38" s="177">
        <f t="shared" si="0"/>
        <v>750.54816937614703</v>
      </c>
      <c r="K38" s="177">
        <f t="shared" si="0"/>
        <v>676.18171221609543</v>
      </c>
      <c r="L38" s="177">
        <f t="shared" si="0"/>
        <v>1580.4</v>
      </c>
      <c r="M38" s="177">
        <f t="shared" si="0"/>
        <v>3240.76</v>
      </c>
    </row>
    <row r="40" spans="1:13" x14ac:dyDescent="0.35">
      <c r="J40" s="175" t="s">
        <v>377</v>
      </c>
    </row>
    <row r="41" spans="1:13" x14ac:dyDescent="0.35">
      <c r="I41" s="175" t="s">
        <v>371</v>
      </c>
      <c r="M41" s="175" t="s">
        <v>372</v>
      </c>
    </row>
    <row r="42" spans="1:13" x14ac:dyDescent="0.35">
      <c r="I42" s="175" t="s">
        <v>373</v>
      </c>
      <c r="J42" s="175" t="s">
        <v>301</v>
      </c>
      <c r="K42" s="175" t="s">
        <v>302</v>
      </c>
      <c r="L42" s="175" t="s">
        <v>62</v>
      </c>
      <c r="M42" s="175" t="s">
        <v>374</v>
      </c>
    </row>
    <row r="44" spans="1:13" x14ac:dyDescent="0.35">
      <c r="I44" s="177"/>
      <c r="J44" s="177"/>
      <c r="K44" s="177"/>
      <c r="L44" s="177">
        <v>121.4</v>
      </c>
      <c r="M44" s="177">
        <v>282.31</v>
      </c>
    </row>
    <row r="45" spans="1:13" x14ac:dyDescent="0.35">
      <c r="I45" s="177"/>
      <c r="J45" s="177"/>
      <c r="K45" s="177"/>
      <c r="L45" s="177">
        <f>L46-L44</f>
        <v>891.6</v>
      </c>
      <c r="M45" s="177">
        <f>M46-M44</f>
        <v>2516.09</v>
      </c>
    </row>
    <row r="46" spans="1:13" x14ac:dyDescent="0.35">
      <c r="I46" s="177">
        <f>(F64*K71+G64)/100*L46</f>
        <v>87.851718407757545</v>
      </c>
      <c r="J46" s="177">
        <f>L46-I46-K46</f>
        <v>409.54076937614707</v>
      </c>
      <c r="K46" s="177">
        <f>B64/100*L46</f>
        <v>515.60751221609542</v>
      </c>
      <c r="L46" s="177">
        <v>1013</v>
      </c>
      <c r="M46" s="177">
        <v>2798.4</v>
      </c>
    </row>
    <row r="48" spans="1:13" x14ac:dyDescent="0.35">
      <c r="J48" s="175" t="s">
        <v>378</v>
      </c>
    </row>
    <row r="49" spans="1:13" x14ac:dyDescent="0.35">
      <c r="I49" s="175" t="s">
        <v>371</v>
      </c>
      <c r="M49" s="175" t="s">
        <v>372</v>
      </c>
    </row>
    <row r="50" spans="1:13" x14ac:dyDescent="0.35">
      <c r="I50" s="175" t="s">
        <v>373</v>
      </c>
      <c r="J50" s="175" t="s">
        <v>301</v>
      </c>
      <c r="K50" s="175" t="s">
        <v>302</v>
      </c>
      <c r="L50" s="175" t="s">
        <v>62</v>
      </c>
      <c r="M50" s="175" t="s">
        <v>374</v>
      </c>
    </row>
    <row r="52" spans="1:13" x14ac:dyDescent="0.35">
      <c r="I52" s="177"/>
      <c r="J52" s="177"/>
      <c r="K52" s="177"/>
      <c r="L52" s="177">
        <v>83.55</v>
      </c>
      <c r="M52" s="177">
        <v>148.11000000000001</v>
      </c>
    </row>
    <row r="53" spans="1:13" x14ac:dyDescent="0.35">
      <c r="I53" s="177"/>
      <c r="J53" s="177"/>
      <c r="K53" s="177"/>
      <c r="L53" s="177">
        <f>L54-L52</f>
        <v>483.84999999999997</v>
      </c>
      <c r="M53" s="177">
        <f>M54-M52</f>
        <v>294.25</v>
      </c>
    </row>
    <row r="54" spans="1:13" x14ac:dyDescent="0.35">
      <c r="I54" s="177">
        <f>(F65*K71+G65)/100*L54</f>
        <v>65.818399999999997</v>
      </c>
      <c r="J54" s="177">
        <f>L54-K54-I54</f>
        <v>341.00739999999996</v>
      </c>
      <c r="K54" s="177">
        <f>B65/100*L54</f>
        <v>160.57420000000002</v>
      </c>
      <c r="L54" s="177">
        <v>567.4</v>
      </c>
      <c r="M54" s="177">
        <v>442.36</v>
      </c>
    </row>
    <row r="55" spans="1:13" x14ac:dyDescent="0.35">
      <c r="A55" s="175" t="s">
        <v>42</v>
      </c>
    </row>
    <row r="57" spans="1:13" x14ac:dyDescent="0.35">
      <c r="A57" s="175" t="s">
        <v>379</v>
      </c>
    </row>
    <row r="59" spans="1:13" x14ac:dyDescent="0.35">
      <c r="A59" s="175" t="s">
        <v>380</v>
      </c>
    </row>
    <row r="60" spans="1:13" x14ac:dyDescent="0.35">
      <c r="H60" s="175" t="s">
        <v>381</v>
      </c>
    </row>
    <row r="61" spans="1:13" x14ac:dyDescent="0.35">
      <c r="B61" s="175" t="s">
        <v>382</v>
      </c>
      <c r="C61" s="175" t="s">
        <v>383</v>
      </c>
      <c r="E61" s="175" t="s">
        <v>384</v>
      </c>
      <c r="G61" s="175" t="s">
        <v>385</v>
      </c>
      <c r="H61" s="175" t="s">
        <v>386</v>
      </c>
    </row>
    <row r="62" spans="1:13" x14ac:dyDescent="0.35">
      <c r="A62" s="175" t="s">
        <v>387</v>
      </c>
      <c r="B62" s="175" t="s">
        <v>388</v>
      </c>
      <c r="C62" s="175" t="s">
        <v>389</v>
      </c>
      <c r="D62" s="175" t="s">
        <v>390</v>
      </c>
      <c r="E62" s="175" t="s">
        <v>389</v>
      </c>
      <c r="F62" s="175" t="s">
        <v>390</v>
      </c>
      <c r="H62" s="175" t="s">
        <v>391</v>
      </c>
    </row>
    <row r="64" spans="1:13" x14ac:dyDescent="0.35">
      <c r="A64" s="175" t="s">
        <v>392</v>
      </c>
      <c r="B64" s="177">
        <v>50.899063397442788</v>
      </c>
      <c r="C64" s="177">
        <v>18.707195941644247</v>
      </c>
      <c r="D64" s="177">
        <v>13.868882678249717</v>
      </c>
      <c r="E64" s="177">
        <v>7.8152801580126319</v>
      </c>
      <c r="F64" s="177">
        <v>5.2368396303841545</v>
      </c>
      <c r="G64" s="177">
        <v>3.4355906171733532</v>
      </c>
      <c r="H64" s="177">
        <v>3.1763521897506517</v>
      </c>
    </row>
    <row r="65" spans="1:11" x14ac:dyDescent="0.35">
      <c r="A65" s="175" t="s">
        <v>393</v>
      </c>
      <c r="B65" s="177">
        <v>28.3</v>
      </c>
      <c r="C65" s="177">
        <v>13.1</v>
      </c>
      <c r="D65" s="177">
        <v>21.3</v>
      </c>
      <c r="E65" s="177">
        <v>25.8</v>
      </c>
      <c r="F65" s="177">
        <v>10.7</v>
      </c>
      <c r="G65" s="177">
        <v>0.9</v>
      </c>
      <c r="H65" s="177">
        <v>4.5</v>
      </c>
    </row>
    <row r="67" spans="1:11" x14ac:dyDescent="0.35">
      <c r="A67" s="175" t="s">
        <v>394</v>
      </c>
      <c r="B67" s="177">
        <v>1.3215766414890477</v>
      </c>
      <c r="C67" s="177">
        <v>3.4292493147575436</v>
      </c>
      <c r="D67" s="177">
        <v>20.871008738264372</v>
      </c>
      <c r="E67" s="177">
        <v>24.854635631224976</v>
      </c>
      <c r="F67" s="177">
        <v>25.774646419625476</v>
      </c>
      <c r="G67" s="177">
        <v>23.718572415903626</v>
      </c>
      <c r="H67" s="177">
        <v>10.6432547260566</v>
      </c>
    </row>
    <row r="69" spans="1:11" x14ac:dyDescent="0.35">
      <c r="A69" s="175" t="s">
        <v>395</v>
      </c>
    </row>
    <row r="71" spans="1:11" x14ac:dyDescent="0.35">
      <c r="A71" s="179" t="s">
        <v>396</v>
      </c>
      <c r="K71" s="175">
        <v>1</v>
      </c>
    </row>
    <row r="73" spans="1:11" x14ac:dyDescent="0.35">
      <c r="A73" s="175" t="s">
        <v>397</v>
      </c>
      <c r="F73" s="175" t="s">
        <v>398</v>
      </c>
      <c r="I73" s="175" t="s">
        <v>399</v>
      </c>
    </row>
    <row r="74" spans="1:11" x14ac:dyDescent="0.35">
      <c r="A74" s="175" t="s">
        <v>400</v>
      </c>
      <c r="F74" s="175" t="s">
        <v>401</v>
      </c>
      <c r="I74" s="175" t="s">
        <v>402</v>
      </c>
    </row>
    <row r="76" spans="1:11" x14ac:dyDescent="0.35">
      <c r="A76" s="175" t="s">
        <v>403</v>
      </c>
      <c r="G76" s="175">
        <v>76.91</v>
      </c>
      <c r="J76" s="175">
        <v>61.83</v>
      </c>
    </row>
    <row r="77" spans="1:11" x14ac:dyDescent="0.35">
      <c r="A77" s="175" t="s">
        <v>404</v>
      </c>
      <c r="G77" s="175">
        <v>12.66</v>
      </c>
      <c r="J77" s="175">
        <v>14.73</v>
      </c>
    </row>
    <row r="78" spans="1:11" x14ac:dyDescent="0.35">
      <c r="A78" s="175" t="s">
        <v>405</v>
      </c>
      <c r="G78" s="175">
        <f>100-G77-G76</f>
        <v>10.430000000000007</v>
      </c>
      <c r="J78" s="175">
        <v>23.44</v>
      </c>
    </row>
    <row r="79" spans="1:11" x14ac:dyDescent="0.35">
      <c r="G79" s="175">
        <f>G76+G77+G78</f>
        <v>100</v>
      </c>
      <c r="J79" s="175">
        <f>J76+J77+J78</f>
        <v>100</v>
      </c>
    </row>
    <row r="81" spans="1:10" x14ac:dyDescent="0.35">
      <c r="A81" s="175" t="s">
        <v>406</v>
      </c>
    </row>
    <row r="84" spans="1:10" x14ac:dyDescent="0.35">
      <c r="A84" s="175" t="s">
        <v>407</v>
      </c>
      <c r="G84" s="176">
        <v>9.41</v>
      </c>
      <c r="H84" s="176"/>
      <c r="I84" s="176"/>
      <c r="J84" s="176">
        <v>0.86</v>
      </c>
    </row>
    <row r="85" spans="1:10" x14ac:dyDescent="0.35">
      <c r="A85" s="175" t="s">
        <v>408</v>
      </c>
      <c r="G85" s="176">
        <v>0.31280000000000002</v>
      </c>
      <c r="H85" s="176"/>
      <c r="I85" s="176"/>
      <c r="J85" s="176">
        <v>0.16120000000000001</v>
      </c>
    </row>
    <row r="86" spans="1:10" x14ac:dyDescent="0.35">
      <c r="A86" s="175" t="s">
        <v>409</v>
      </c>
      <c r="G86" s="176">
        <v>1.58</v>
      </c>
      <c r="H86" s="176"/>
      <c r="I86" s="176"/>
      <c r="J86" s="176">
        <v>1.7</v>
      </c>
    </row>
    <row r="87" spans="1:10" x14ac:dyDescent="0.35">
      <c r="A87" s="175" t="s">
        <v>410</v>
      </c>
      <c r="G87" s="176">
        <f>(1-G85)*G84+G85*G84*G86</f>
        <v>11.117199840000001</v>
      </c>
      <c r="H87" s="176"/>
      <c r="I87" s="176"/>
      <c r="J87" s="176">
        <f>(1-J85)*J84+J85*J84*J86</f>
        <v>0.95704239999999996</v>
      </c>
    </row>
    <row r="89" spans="1:10" x14ac:dyDescent="0.35">
      <c r="A89" s="175" t="s">
        <v>411</v>
      </c>
      <c r="G89" s="176">
        <v>0.50236000000000003</v>
      </c>
      <c r="H89" s="176"/>
      <c r="I89" s="176"/>
      <c r="J89" s="176">
        <v>0.13247999999999999</v>
      </c>
    </row>
    <row r="90" spans="1:10" x14ac:dyDescent="0.35">
      <c r="A90" s="175" t="s">
        <v>412</v>
      </c>
      <c r="G90" s="176">
        <v>2.0784458816</v>
      </c>
      <c r="H90" s="176"/>
      <c r="I90" s="176"/>
      <c r="J90" s="176">
        <v>3.1451103813999999</v>
      </c>
    </row>
    <row r="91" spans="1:10" x14ac:dyDescent="0.35">
      <c r="A91" s="175" t="s">
        <v>413</v>
      </c>
      <c r="G91" s="176">
        <f>G93*G87/G89</f>
        <v>14.987013044188641</v>
      </c>
      <c r="J91" s="176">
        <f>J93*J87/J89</f>
        <v>2.343903571622894</v>
      </c>
    </row>
    <row r="92" spans="1:10" x14ac:dyDescent="0.35">
      <c r="A92" s="175" t="s">
        <v>414</v>
      </c>
      <c r="G92" s="176">
        <f>G91/G90</f>
        <v>7.2106823549581911</v>
      </c>
      <c r="J92" s="176">
        <f>J91/J90</f>
        <v>0.74525319857916705</v>
      </c>
    </row>
    <row r="93" spans="1:10" x14ac:dyDescent="0.35">
      <c r="A93" s="175" t="s">
        <v>415</v>
      </c>
      <c r="G93" s="176">
        <f>(G89*G90)/(G89*G90+(1-G89))</f>
        <v>0.67722771752195154</v>
      </c>
      <c r="J93" s="176">
        <f>(J89*J90)/(J89*J90+(1-J89))</f>
        <v>0.32445829481389848</v>
      </c>
    </row>
    <row r="95" spans="1:10" x14ac:dyDescent="0.35">
      <c r="A95" s="175" t="s">
        <v>416</v>
      </c>
    </row>
    <row r="97" spans="1:11" x14ac:dyDescent="0.35">
      <c r="A97" s="175" t="s">
        <v>417</v>
      </c>
      <c r="G97" s="175">
        <f>G260</f>
        <v>1900</v>
      </c>
      <c r="J97" s="175">
        <f>K260</f>
        <v>2400</v>
      </c>
      <c r="K97" s="175" t="s">
        <v>366</v>
      </c>
    </row>
    <row r="99" spans="1:11" x14ac:dyDescent="0.35">
      <c r="A99" s="175" t="s">
        <v>418</v>
      </c>
      <c r="G99" s="180">
        <f ca="1">G120/G138*G97</f>
        <v>27464.152510726821</v>
      </c>
      <c r="H99" s="180"/>
      <c r="I99" s="180"/>
      <c r="J99" s="180">
        <f ca="1">J120/J138*J97</f>
        <v>3714.8661814653087</v>
      </c>
    </row>
    <row r="100" spans="1:11" x14ac:dyDescent="0.35">
      <c r="A100" s="175" t="s">
        <v>419</v>
      </c>
      <c r="G100" s="180">
        <f>E23*1000/F36</f>
        <v>26915.18817204301</v>
      </c>
      <c r="H100" s="180"/>
      <c r="I100" s="180"/>
      <c r="J100" s="180">
        <f>G23*1000/L36</f>
        <v>1708.2024884118077</v>
      </c>
    </row>
    <row r="102" spans="1:11" x14ac:dyDescent="0.35">
      <c r="A102" s="175" t="s">
        <v>420</v>
      </c>
    </row>
    <row r="104" spans="1:11" x14ac:dyDescent="0.35">
      <c r="A104" s="175" t="s">
        <v>418</v>
      </c>
      <c r="G104" s="177">
        <f ca="1">(G143/10)/(G138/G97)</f>
        <v>26.533359057434403</v>
      </c>
      <c r="H104" s="177"/>
      <c r="I104" s="177"/>
      <c r="J104" s="177">
        <f ca="1">(J143/10)/(J138/J97)</f>
        <v>4.2774190692769487</v>
      </c>
    </row>
    <row r="105" spans="1:11" x14ac:dyDescent="0.35">
      <c r="A105" s="175" t="s">
        <v>419</v>
      </c>
      <c r="G105" s="177">
        <f>G36/F36</f>
        <v>32.54032258064516</v>
      </c>
      <c r="H105" s="177"/>
      <c r="I105" s="177"/>
      <c r="J105" s="177">
        <f>M36/L36</f>
        <v>2.1001219809709686</v>
      </c>
    </row>
    <row r="106" spans="1:11" x14ac:dyDescent="0.35">
      <c r="A106" s="175" t="s">
        <v>42</v>
      </c>
    </row>
    <row r="107" spans="1:11" x14ac:dyDescent="0.35">
      <c r="A107" s="175" t="s">
        <v>45</v>
      </c>
    </row>
    <row r="109" spans="1:11" x14ac:dyDescent="0.35">
      <c r="A109" s="175" t="s">
        <v>47</v>
      </c>
    </row>
    <row r="111" spans="1:11" x14ac:dyDescent="0.35">
      <c r="A111" s="175" t="s">
        <v>421</v>
      </c>
    </row>
    <row r="113" spans="1:11" x14ac:dyDescent="0.35">
      <c r="F113" s="175" t="s">
        <v>398</v>
      </c>
      <c r="I113" s="175" t="s">
        <v>399</v>
      </c>
    </row>
    <row r="114" spans="1:11" x14ac:dyDescent="0.35">
      <c r="F114" s="175" t="s">
        <v>401</v>
      </c>
      <c r="I114" s="175" t="s">
        <v>402</v>
      </c>
    </row>
    <row r="115" spans="1:11" x14ac:dyDescent="0.35">
      <c r="A115" s="175" t="s">
        <v>38</v>
      </c>
    </row>
    <row r="116" spans="1:11" x14ac:dyDescent="0.35">
      <c r="A116" s="175" t="s">
        <v>422</v>
      </c>
      <c r="G116" s="176">
        <f>56.4+124.6</f>
        <v>181</v>
      </c>
      <c r="H116" s="176"/>
      <c r="I116" s="176"/>
      <c r="J116" s="176">
        <f>41.6+238.3</f>
        <v>279.90000000000003</v>
      </c>
    </row>
    <row r="117" spans="1:11" x14ac:dyDescent="0.35">
      <c r="A117" s="175" t="s">
        <v>423</v>
      </c>
      <c r="G117" s="176"/>
      <c r="H117" s="176"/>
      <c r="I117" s="176"/>
      <c r="J117" s="176">
        <v>196.3</v>
      </c>
    </row>
    <row r="118" spans="1:11" x14ac:dyDescent="0.35">
      <c r="A118" s="175" t="s">
        <v>39</v>
      </c>
      <c r="G118" s="176"/>
      <c r="H118" s="176"/>
      <c r="I118" s="176"/>
      <c r="J118" s="176"/>
    </row>
    <row r="119" spans="1:11" x14ac:dyDescent="0.35">
      <c r="A119" s="175" t="s">
        <v>424</v>
      </c>
      <c r="F119" s="181"/>
      <c r="G119" s="176">
        <v>216.1</v>
      </c>
      <c r="H119" s="176"/>
      <c r="I119" s="176"/>
      <c r="J119" s="176">
        <v>153.6</v>
      </c>
    </row>
    <row r="120" spans="1:11" x14ac:dyDescent="0.35">
      <c r="A120" s="175" t="s">
        <v>33</v>
      </c>
      <c r="F120" s="181"/>
      <c r="G120" s="176">
        <f ca="1">G124-G119-G116</f>
        <v>602.90000000001362</v>
      </c>
      <c r="H120" s="176"/>
      <c r="I120" s="176"/>
      <c r="J120" s="176">
        <f ca="1">J124-J119-J117-J116</f>
        <v>370.20000000000215</v>
      </c>
    </row>
    <row r="121" spans="1:11" x14ac:dyDescent="0.35">
      <c r="A121" s="175" t="s">
        <v>425</v>
      </c>
      <c r="F121" s="181"/>
      <c r="G121" s="176">
        <f ca="1">G76/100*G120*G93</f>
        <v>314.02398445657064</v>
      </c>
      <c r="H121" s="176"/>
      <c r="I121" s="176"/>
      <c r="J121" s="176">
        <f ca="1">J76/100*J120*J93</f>
        <v>74.26677107560748</v>
      </c>
    </row>
    <row r="122" spans="1:11" x14ac:dyDescent="0.35">
      <c r="A122" s="175" t="s">
        <v>426</v>
      </c>
      <c r="F122" s="181"/>
      <c r="G122" s="176">
        <f ca="1">G76/100*G120*(1-G93)</f>
        <v>149.66640554343985</v>
      </c>
      <c r="H122" s="176"/>
      <c r="I122" s="176"/>
      <c r="J122" s="176">
        <f ca="1">J76/100*J120*(1-J93)</f>
        <v>154.62788892439383</v>
      </c>
    </row>
    <row r="123" spans="1:11" x14ac:dyDescent="0.35">
      <c r="A123" s="175" t="s">
        <v>22</v>
      </c>
      <c r="F123" s="181"/>
      <c r="G123" s="176">
        <f ca="1">G120-G121-G122</f>
        <v>139.20961000000312</v>
      </c>
      <c r="H123" s="176"/>
      <c r="I123" s="176"/>
      <c r="J123" s="176">
        <f ca="1">J120-J121-J122</f>
        <v>141.30534000000083</v>
      </c>
      <c r="K123" s="177"/>
    </row>
    <row r="124" spans="1:11" x14ac:dyDescent="0.35">
      <c r="A124" s="175" t="s">
        <v>40</v>
      </c>
      <c r="G124" s="176">
        <f ca="1">G116+G117+G119+G120</f>
        <v>1000.0000000000136</v>
      </c>
      <c r="H124" s="176"/>
      <c r="I124" s="176"/>
      <c r="J124" s="176">
        <f ca="1">J116+J117+J119+J120</f>
        <v>1000.0000000000023</v>
      </c>
    </row>
    <row r="125" spans="1:11" x14ac:dyDescent="0.35">
      <c r="G125" s="176"/>
      <c r="H125" s="176"/>
      <c r="I125" s="176"/>
      <c r="J125" s="176"/>
    </row>
    <row r="126" spans="1:11" x14ac:dyDescent="0.35">
      <c r="G126" s="176"/>
      <c r="H126" s="176"/>
      <c r="I126" s="176"/>
      <c r="J126" s="176"/>
    </row>
    <row r="127" spans="1:11" x14ac:dyDescent="0.35">
      <c r="A127" s="175" t="s">
        <v>46</v>
      </c>
      <c r="G127" s="176"/>
      <c r="H127" s="176"/>
      <c r="I127" s="176"/>
      <c r="J127" s="176"/>
    </row>
    <row r="128" spans="1:11" x14ac:dyDescent="0.35">
      <c r="A128" s="175" t="s">
        <v>427</v>
      </c>
      <c r="G128" s="176">
        <f>G91</f>
        <v>14.987013044188641</v>
      </c>
      <c r="H128" s="176"/>
      <c r="I128" s="176"/>
      <c r="J128" s="176">
        <f>J91</f>
        <v>2.343903571622894</v>
      </c>
    </row>
    <row r="129" spans="1:11" x14ac:dyDescent="0.35">
      <c r="A129" s="175" t="s">
        <v>428</v>
      </c>
      <c r="G129" s="176">
        <v>100</v>
      </c>
      <c r="H129" s="176"/>
      <c r="I129" s="176"/>
      <c r="J129" s="176">
        <v>50</v>
      </c>
    </row>
    <row r="130" spans="1:11" x14ac:dyDescent="0.35">
      <c r="A130" s="175" t="s">
        <v>26</v>
      </c>
      <c r="G130" s="176">
        <f>G128/G129*100</f>
        <v>14.987013044188641</v>
      </c>
      <c r="H130" s="176"/>
      <c r="I130" s="176"/>
      <c r="J130" s="176">
        <f>J128/J129*100</f>
        <v>4.687807143245788</v>
      </c>
    </row>
    <row r="131" spans="1:11" x14ac:dyDescent="0.35">
      <c r="A131" s="175" t="s">
        <v>429</v>
      </c>
      <c r="G131" s="176">
        <f>G92</f>
        <v>7.2106823549581911</v>
      </c>
      <c r="H131" s="176"/>
      <c r="I131" s="176"/>
      <c r="J131" s="176">
        <f>J92</f>
        <v>0.74525319857916705</v>
      </c>
    </row>
    <row r="132" spans="1:11" x14ac:dyDescent="0.35">
      <c r="A132" s="175" t="s">
        <v>20</v>
      </c>
      <c r="G132" s="176">
        <v>100</v>
      </c>
      <c r="H132" s="176"/>
      <c r="I132" s="176"/>
      <c r="J132" s="176">
        <v>60.1</v>
      </c>
    </row>
    <row r="133" spans="1:11" x14ac:dyDescent="0.35">
      <c r="A133" s="175" t="s">
        <v>23</v>
      </c>
      <c r="G133" s="176">
        <v>23.9</v>
      </c>
      <c r="H133" s="176"/>
      <c r="I133" s="176"/>
      <c r="J133" s="176">
        <v>33.15</v>
      </c>
    </row>
    <row r="134" spans="1:11" x14ac:dyDescent="0.35">
      <c r="A134" s="175" t="s">
        <v>25</v>
      </c>
      <c r="G134" s="176">
        <f>G132*G133/100</f>
        <v>23.9</v>
      </c>
      <c r="H134" s="176"/>
      <c r="I134" s="176"/>
      <c r="J134" s="176">
        <f>J132*J133/100</f>
        <v>19.92315</v>
      </c>
    </row>
    <row r="135" spans="1:11" x14ac:dyDescent="0.35">
      <c r="G135" s="176"/>
      <c r="H135" s="176"/>
      <c r="I135" s="176"/>
      <c r="J135" s="176"/>
    </row>
    <row r="136" spans="1:11" x14ac:dyDescent="0.35">
      <c r="A136" s="175" t="s">
        <v>430</v>
      </c>
      <c r="G136" s="176"/>
      <c r="H136" s="176"/>
      <c r="I136" s="176"/>
      <c r="J136" s="176"/>
    </row>
    <row r="137" spans="1:11" x14ac:dyDescent="0.35">
      <c r="A137" s="175" t="s">
        <v>431</v>
      </c>
      <c r="G137" s="176"/>
      <c r="H137" s="176"/>
      <c r="I137" s="176"/>
      <c r="J137" s="176"/>
    </row>
    <row r="138" spans="1:11" x14ac:dyDescent="0.35">
      <c r="A138" s="175" t="s">
        <v>24</v>
      </c>
      <c r="G138" s="176">
        <f ca="1">G139+G140</f>
        <v>41.709279015713953</v>
      </c>
      <c r="H138" s="176"/>
      <c r="I138" s="176"/>
      <c r="J138" s="176">
        <f ca="1">J139+J140</f>
        <v>239.16877663936447</v>
      </c>
    </row>
    <row r="139" spans="1:11" x14ac:dyDescent="0.35">
      <c r="A139" s="175" t="s">
        <v>432</v>
      </c>
      <c r="G139" s="176">
        <f ca="1">G121/G128</f>
        <v>20.953073406334056</v>
      </c>
      <c r="H139" s="176"/>
      <c r="I139" s="176"/>
      <c r="J139" s="176">
        <f ca="1">J121/J128</f>
        <v>31.685079529183</v>
      </c>
      <c r="K139" s="182"/>
    </row>
    <row r="140" spans="1:11" x14ac:dyDescent="0.35">
      <c r="A140" s="175" t="s">
        <v>433</v>
      </c>
      <c r="G140" s="176">
        <f ca="1">G122/G131</f>
        <v>20.756205609379897</v>
      </c>
      <c r="H140" s="176"/>
      <c r="I140" s="176"/>
      <c r="J140" s="176">
        <f ca="1">J122/J131</f>
        <v>207.48369711018148</v>
      </c>
    </row>
    <row r="141" spans="1:11" x14ac:dyDescent="0.35">
      <c r="A141" s="175" t="s">
        <v>27</v>
      </c>
      <c r="G141" s="176">
        <f ca="1">(G121/G130)</f>
        <v>20.953073406334056</v>
      </c>
      <c r="H141" s="176"/>
      <c r="I141" s="176"/>
      <c r="J141" s="176">
        <f ca="1">J121/J130</f>
        <v>15.8425397645915</v>
      </c>
    </row>
    <row r="142" spans="1:11" x14ac:dyDescent="0.35">
      <c r="A142" s="175" t="s">
        <v>19</v>
      </c>
      <c r="G142" s="176">
        <f ca="1">G123/(G132*G133/100)</f>
        <v>5.8246698744771184</v>
      </c>
      <c r="H142" s="176"/>
      <c r="I142" s="176"/>
      <c r="J142" s="176">
        <f ca="1">J123/(J132*J133/100)</f>
        <v>7.0925200081312862</v>
      </c>
    </row>
    <row r="143" spans="1:11" x14ac:dyDescent="0.35">
      <c r="A143" s="175" t="s">
        <v>434</v>
      </c>
      <c r="G143" s="176">
        <f ca="1">G123/G133</f>
        <v>5.8246698744771184</v>
      </c>
      <c r="H143" s="176"/>
      <c r="I143" s="176"/>
      <c r="J143" s="176">
        <f ca="1">J123/J133</f>
        <v>4.2626045248869033</v>
      </c>
      <c r="K143" s="175" t="s">
        <v>366</v>
      </c>
    </row>
    <row r="145" spans="1:12" x14ac:dyDescent="0.35">
      <c r="A145" s="175" t="s">
        <v>435</v>
      </c>
    </row>
    <row r="146" spans="1:12" x14ac:dyDescent="0.35">
      <c r="A146" s="175" t="s">
        <v>11</v>
      </c>
    </row>
    <row r="147" spans="1:12" x14ac:dyDescent="0.35">
      <c r="A147" s="175" t="s">
        <v>4</v>
      </c>
      <c r="G147" s="175">
        <v>0.1</v>
      </c>
      <c r="J147" s="175">
        <v>0.1</v>
      </c>
    </row>
    <row r="148" spans="1:12" x14ac:dyDescent="0.35">
      <c r="A148" s="175" t="s">
        <v>436</v>
      </c>
      <c r="G148" s="175">
        <v>0.5</v>
      </c>
      <c r="J148" s="175">
        <v>0.5</v>
      </c>
    </row>
    <row r="150" spans="1:12" x14ac:dyDescent="0.35">
      <c r="A150" s="175" t="s">
        <v>16</v>
      </c>
    </row>
    <row r="151" spans="1:12" x14ac:dyDescent="0.35">
      <c r="A151" s="175" t="s">
        <v>5</v>
      </c>
      <c r="G151" s="177">
        <f>(1/G147)-1</f>
        <v>9</v>
      </c>
      <c r="H151" s="177"/>
      <c r="I151" s="177"/>
      <c r="J151" s="177">
        <f>(1/J147)-1</f>
        <v>9</v>
      </c>
    </row>
    <row r="152" spans="1:12" x14ac:dyDescent="0.35">
      <c r="A152" s="175" t="s">
        <v>7</v>
      </c>
      <c r="G152" s="177">
        <f>(1/G148)-1</f>
        <v>1</v>
      </c>
      <c r="H152" s="177"/>
      <c r="I152" s="177"/>
      <c r="J152" s="177">
        <f>(1/J148)-1</f>
        <v>1</v>
      </c>
    </row>
    <row r="153" spans="1:12" x14ac:dyDescent="0.35">
      <c r="G153" s="182"/>
      <c r="H153" s="182"/>
      <c r="I153" s="182"/>
      <c r="J153" s="182"/>
    </row>
    <row r="154" spans="1:12" x14ac:dyDescent="0.35">
      <c r="A154" s="175" t="s">
        <v>9</v>
      </c>
      <c r="G154" s="182"/>
      <c r="H154" s="182"/>
      <c r="I154" s="182"/>
      <c r="J154" s="182"/>
    </row>
    <row r="155" spans="1:12" x14ac:dyDescent="0.35">
      <c r="A155" s="175" t="s">
        <v>6</v>
      </c>
      <c r="G155" s="183">
        <f ca="1">((G123/G121*(G142/G141)^G151))/(1+((G123/G121*(G142/G141)^G151)))</f>
        <v>4.3945733791587216E-6</v>
      </c>
      <c r="H155" s="183"/>
      <c r="I155" s="183"/>
      <c r="J155" s="183">
        <f ca="1">((J123/J121*(J142/J141)^J151))/(1+((J123/J121*(J142/J141)^J151)))</f>
        <v>1.372617009207273E-3</v>
      </c>
    </row>
    <row r="156" spans="1:12" x14ac:dyDescent="0.35">
      <c r="A156" s="175" t="s">
        <v>437</v>
      </c>
      <c r="G156" s="182">
        <f ca="1">(G122/(G121+G123)*(G140/(G141+G142))^G152)/(1+(G122/(G121+G123)*(G140/(G141+G142))^G152))</f>
        <v>0.2037978402728417</v>
      </c>
      <c r="H156" s="182"/>
      <c r="I156" s="182"/>
      <c r="J156" s="182">
        <f ca="1">(J122/(J121+J123)*(J140/(J141+J142))^J152)/(1+(J122/(J121+J123)*(J140/(J141+J142))^J152))</f>
        <v>0.86647124464991254</v>
      </c>
    </row>
    <row r="157" spans="1:12" x14ac:dyDescent="0.35">
      <c r="G157" s="182"/>
      <c r="H157" s="182"/>
      <c r="I157" s="182"/>
      <c r="J157" s="182"/>
    </row>
    <row r="158" spans="1:12" x14ac:dyDescent="0.35">
      <c r="A158" s="175" t="s">
        <v>10</v>
      </c>
      <c r="G158" s="182"/>
      <c r="H158" s="182"/>
      <c r="I158" s="182"/>
      <c r="J158" s="182"/>
      <c r="L158" s="182"/>
    </row>
    <row r="159" spans="1:12" x14ac:dyDescent="0.35">
      <c r="A159" s="175" t="s">
        <v>5</v>
      </c>
      <c r="G159" s="182">
        <f ca="1">(G141+G142)/(((G155*(G142^(-1*G151)))+((1-G155)*(G141^(-1*G151))))^(-1/G151))</f>
        <v>1.3311672152260985</v>
      </c>
      <c r="H159" s="182"/>
      <c r="I159" s="182"/>
      <c r="J159" s="182">
        <f ca="1">(J141+J142)/(((J155*(J142^(-1*J151)))+((1-J155)*(J141^(-1*J151))))^(-1/J151))</f>
        <v>1.6294115594902447</v>
      </c>
      <c r="L159" s="182"/>
    </row>
    <row r="160" spans="1:12" x14ac:dyDescent="0.35">
      <c r="A160" s="175" t="s">
        <v>8</v>
      </c>
      <c r="G160" s="182">
        <f ca="1">1/(((G156*(G140^(-1*G152)))+((1-G156)*((G141+G142)^(-1*G152))))^(-1/G152))</f>
        <v>3.9552375162524883E-2</v>
      </c>
      <c r="H160" s="182"/>
      <c r="I160" s="182"/>
      <c r="J160" s="182">
        <f ca="1">1/(((J156*(J140^(-1*J152)))+((1-J156)*((J141+J142)^(-1*J152))))^(-1/J152))</f>
        <v>9.9981296520934015E-3</v>
      </c>
      <c r="L160" s="182"/>
    </row>
    <row r="161" spans="1:10" x14ac:dyDescent="0.35">
      <c r="A161" s="175" t="s">
        <v>42</v>
      </c>
    </row>
    <row r="162" spans="1:10" x14ac:dyDescent="0.35">
      <c r="A162" s="175" t="s">
        <v>55</v>
      </c>
    </row>
    <row r="163" spans="1:10" x14ac:dyDescent="0.35">
      <c r="F163" s="175" t="s">
        <v>399</v>
      </c>
      <c r="I163" s="175" t="s">
        <v>398</v>
      </c>
    </row>
    <row r="164" spans="1:10" x14ac:dyDescent="0.35">
      <c r="F164" s="175" t="s">
        <v>401</v>
      </c>
      <c r="I164" s="175" t="s">
        <v>402</v>
      </c>
    </row>
    <row r="165" spans="1:10" x14ac:dyDescent="0.35">
      <c r="A165" s="175" t="s">
        <v>17</v>
      </c>
      <c r="G165" s="177">
        <f ca="1">(1/J159)*(((G134/(J155^(-1/J151)))^(J151/(J151+1))+((G130/((1-J155)^(-1/J151)))^(J151/(J151+1))))^((J151+1)/J151))</f>
        <v>17.533996147209816</v>
      </c>
      <c r="H165" s="177"/>
      <c r="I165" s="177"/>
      <c r="J165" s="177">
        <f ca="1">(1/G159)*((((J134/(G155^(-1/G151)))^(G151/(G151+1)))+((J130/((1-G155)^(-1/G151)))^(G151/(G151+1))))^((G151+1)/G151))</f>
        <v>7.9082049655920486</v>
      </c>
    </row>
    <row r="166" spans="1:10" x14ac:dyDescent="0.35">
      <c r="A166" s="175" t="s">
        <v>438</v>
      </c>
      <c r="G166" s="177">
        <f ca="1">(1/J160)*((((G131/(J156^(-1/J152)))^(J152/(J152+1)))+((G165/((1-J156)^(-1/J152)))^(J152/(J152+1))))^((J152+1)/J152))</f>
        <v>1624.1504245365716</v>
      </c>
      <c r="H166" s="177"/>
      <c r="I166" s="177"/>
      <c r="J166" s="177">
        <f ca="1">(1/G160)*((((J131/(G156^(-1/G152)))^(G152/(G152+1)))+((J165/((1-G156)^(-1/G152)))^(G152/(G152+1))))^((G152+1)/G152))</f>
        <v>212.48398894749428</v>
      </c>
    </row>
    <row r="167" spans="1:10" x14ac:dyDescent="0.35">
      <c r="G167" s="184"/>
      <c r="H167" s="184"/>
      <c r="I167" s="184"/>
      <c r="J167" s="184"/>
    </row>
    <row r="168" spans="1:10" x14ac:dyDescent="0.35">
      <c r="A168" s="175" t="s">
        <v>439</v>
      </c>
      <c r="G168" s="176">
        <f ca="1">((1+$J$209)*$J$116+(1-$J$210)*$J$117+($G$166/$J$120*$J$119)+$G$166)/1000</f>
        <v>2.7804144723183546</v>
      </c>
      <c r="H168" s="176"/>
      <c r="I168" s="176"/>
      <c r="J168" s="176">
        <f ca="1">((1-J209)*G116+(J166/G120*G119)+J166)/1000</f>
        <v>0.45625152487642529</v>
      </c>
    </row>
    <row r="170" spans="1:10" x14ac:dyDescent="0.35">
      <c r="A170" s="175" t="s">
        <v>51</v>
      </c>
    </row>
    <row r="171" spans="1:10" x14ac:dyDescent="0.35">
      <c r="G171" s="175" t="s">
        <v>41</v>
      </c>
      <c r="J171" s="175" t="s">
        <v>41</v>
      </c>
    </row>
    <row r="172" spans="1:10" x14ac:dyDescent="0.35">
      <c r="A172" s="175" t="s">
        <v>38</v>
      </c>
    </row>
    <row r="173" spans="1:10" x14ac:dyDescent="0.35">
      <c r="A173" s="175" t="s">
        <v>440</v>
      </c>
      <c r="F173" s="176">
        <f>(1+$J$209)*$J$116</f>
        <v>300.61260000000004</v>
      </c>
      <c r="G173" s="176">
        <f ca="1">(1+$J$209)*$J$116/(G168*1000)*100</f>
        <v>10.811790939548104</v>
      </c>
      <c r="H173" s="176"/>
      <c r="I173" s="176">
        <f>(1-$J$209)*$G$116</f>
        <v>167.60599999999999</v>
      </c>
      <c r="J173" s="176">
        <f ca="1">(1-$J$209)*$G$116/(J168*1000)*100</f>
        <v>36.735438866839019</v>
      </c>
    </row>
    <row r="174" spans="1:10" x14ac:dyDescent="0.35">
      <c r="A174" s="175" t="s">
        <v>441</v>
      </c>
      <c r="F174" s="176">
        <f>((1-$J$210)*$J$117)</f>
        <v>181.77380000000002</v>
      </c>
      <c r="G174" s="176">
        <f ca="1">((1-$J$210)*$J$117)/(G168*1000)*100</f>
        <v>6.5376511958821046</v>
      </c>
      <c r="H174" s="176"/>
      <c r="I174" s="176">
        <f>((1-$J$210)*$G$117)</f>
        <v>0</v>
      </c>
      <c r="J174" s="176">
        <f ca="1">((1-$J$210)*$G$117)/(J168*1000)*100</f>
        <v>0</v>
      </c>
    </row>
    <row r="175" spans="1:10" x14ac:dyDescent="0.35">
      <c r="A175" s="175" t="s">
        <v>39</v>
      </c>
      <c r="F175" s="176"/>
      <c r="G175" s="176"/>
      <c r="H175" s="176"/>
      <c r="I175" s="176"/>
      <c r="J175" s="176"/>
    </row>
    <row r="176" spans="1:10" x14ac:dyDescent="0.35">
      <c r="A176" s="175" t="s">
        <v>442</v>
      </c>
      <c r="F176" s="176">
        <f ca="1">$G$166/$J$120*$J$119</f>
        <v>673.87764778178268</v>
      </c>
      <c r="G176" s="176">
        <f ca="1">$G$166/$J$120*$J$119/(G168*1000)*100</f>
        <v>24.236589705990582</v>
      </c>
      <c r="H176" s="176"/>
      <c r="I176" s="176">
        <f ca="1">$J$166/$G$120*$G$119</f>
        <v>76.161535928930959</v>
      </c>
      <c r="J176" s="176">
        <f ca="1">$J$166/$G$120*$G$119/(J168*1000)*100</f>
        <v>16.692883590813015</v>
      </c>
    </row>
    <row r="177" spans="1:10" x14ac:dyDescent="0.35">
      <c r="A177" s="175" t="s">
        <v>33</v>
      </c>
      <c r="F177" s="176">
        <f ca="1">G166</f>
        <v>1624.1504245365716</v>
      </c>
      <c r="G177" s="176">
        <f ca="1">G166/(G168*1000)*100</f>
        <v>58.413968158579202</v>
      </c>
      <c r="H177" s="176"/>
      <c r="I177" s="176">
        <f ca="1">J166</f>
        <v>212.48398894749428</v>
      </c>
      <c r="J177" s="176">
        <f ca="1">J166/(J168*1000)*100</f>
        <v>46.57167754234797</v>
      </c>
    </row>
    <row r="178" spans="1:10" x14ac:dyDescent="0.35">
      <c r="A178" s="175" t="s">
        <v>443</v>
      </c>
      <c r="F178" s="176">
        <f ca="1">G178*$G$168*10</f>
        <v>345.02057191267062</v>
      </c>
      <c r="G178" s="176">
        <f ca="1">G189*G128/(G168*1000)*100</f>
        <v>12.408961877722744</v>
      </c>
      <c r="I178" s="176">
        <f ca="1">J189*J128</f>
        <v>88.801550814695489</v>
      </c>
      <c r="J178" s="176">
        <f ca="1">J189*J128/(J168*1000)*100</f>
        <v>19.463288553117096</v>
      </c>
    </row>
    <row r="179" spans="1:10" x14ac:dyDescent="0.35">
      <c r="A179" s="175" t="s">
        <v>444</v>
      </c>
      <c r="F179" s="176">
        <f ca="1">G179*$G$168*10</f>
        <v>1007.439563850168</v>
      </c>
      <c r="G179" s="176">
        <f ca="1">G190*G131/(G168*1000)*100</f>
        <v>36.233431162158659</v>
      </c>
      <c r="H179" s="176"/>
      <c r="I179" s="176">
        <f ca="1">J190*J131</f>
        <v>28.564625471335074</v>
      </c>
      <c r="J179" s="176">
        <f ca="1">J190*J131/(J168*1000)*100</f>
        <v>6.2607189047908918</v>
      </c>
    </row>
    <row r="180" spans="1:10" x14ac:dyDescent="0.35">
      <c r="A180" s="175" t="s">
        <v>12</v>
      </c>
      <c r="F180" s="176">
        <f ca="1">G180*$G$168*10</f>
        <v>271.69028877373302</v>
      </c>
      <c r="G180" s="176">
        <f ca="1">G177-G179-G178</f>
        <v>9.7715751186977986</v>
      </c>
      <c r="H180" s="176"/>
      <c r="I180" s="176">
        <f ca="1">J180*$J$168*10</f>
        <v>95.117812661463773</v>
      </c>
      <c r="J180" s="176">
        <f ca="1">J177-J179-J178</f>
        <v>20.847670084439983</v>
      </c>
    </row>
    <row r="181" spans="1:10" x14ac:dyDescent="0.35">
      <c r="A181" s="175" t="s">
        <v>40</v>
      </c>
      <c r="F181" s="176">
        <f ca="1">SUM(F173:F177)</f>
        <v>2780.4144723183545</v>
      </c>
      <c r="G181" s="176">
        <f ca="1">SUM(G173:G177)</f>
        <v>100</v>
      </c>
      <c r="H181" s="176"/>
      <c r="I181" s="176">
        <f ca="1">SUM(I173:I177)</f>
        <v>456.25152487642526</v>
      </c>
      <c r="J181" s="176">
        <f ca="1">SUM(J173:J177)</f>
        <v>100</v>
      </c>
    </row>
    <row r="182" spans="1:10" x14ac:dyDescent="0.35">
      <c r="F182" s="176"/>
      <c r="G182" s="176"/>
      <c r="H182" s="176"/>
      <c r="I182" s="176"/>
      <c r="J182" s="176"/>
    </row>
    <row r="183" spans="1:10" x14ac:dyDescent="0.35">
      <c r="A183" s="175" t="s">
        <v>13</v>
      </c>
      <c r="F183" s="176"/>
      <c r="G183" s="176"/>
      <c r="H183" s="176"/>
      <c r="I183" s="176"/>
      <c r="J183" s="176"/>
    </row>
    <row r="184" spans="1:10" x14ac:dyDescent="0.35">
      <c r="A184" s="175" t="s">
        <v>3</v>
      </c>
      <c r="F184" s="176"/>
      <c r="G184" s="176">
        <f ca="1">((G134/G130)*((1-J155)/J155))^(1/(1+J151))</f>
        <v>2.0251336544138998</v>
      </c>
      <c r="H184" s="176"/>
      <c r="I184" s="176"/>
      <c r="J184" s="176">
        <f ca="1">(J134/J130*(1-G155)/G155)^(1/(1+G151))</f>
        <v>3.967774334932666</v>
      </c>
    </row>
    <row r="185" spans="1:10" x14ac:dyDescent="0.35">
      <c r="A185" s="175" t="s">
        <v>445</v>
      </c>
      <c r="F185" s="176"/>
      <c r="G185" s="176">
        <f ca="1">(G131/(G165)*(1-J156)/J156)^(1/(1+J152))</f>
        <v>0.25174337601382762</v>
      </c>
      <c r="H185" s="176"/>
      <c r="I185" s="176"/>
      <c r="J185" s="176">
        <f ca="1">(J131/J165*(1-G156)/G156)^(1/(1+G152))</f>
        <v>0.60677105161588163</v>
      </c>
    </row>
    <row r="186" spans="1:10" x14ac:dyDescent="0.35">
      <c r="F186" s="176"/>
      <c r="G186" s="176"/>
      <c r="H186" s="176"/>
      <c r="I186" s="176"/>
      <c r="J186" s="176"/>
    </row>
    <row r="187" spans="1:10" x14ac:dyDescent="0.35">
      <c r="A187" s="175" t="s">
        <v>14</v>
      </c>
      <c r="F187" s="176"/>
      <c r="G187" s="176"/>
      <c r="H187" s="176"/>
      <c r="I187" s="176"/>
      <c r="J187" s="176"/>
    </row>
    <row r="188" spans="1:10" x14ac:dyDescent="0.35">
      <c r="A188" s="175" t="s">
        <v>1</v>
      </c>
      <c r="F188" s="176"/>
      <c r="G188" s="176">
        <f ca="1">G189+G190</f>
        <v>162.73617545850277</v>
      </c>
      <c r="H188" s="176"/>
      <c r="I188" s="176"/>
      <c r="J188" s="176">
        <f ca="1">J189+J190</f>
        <v>76.214931829173139</v>
      </c>
    </row>
    <row r="189" spans="1:10" x14ac:dyDescent="0.35">
      <c r="A189" s="175" t="s">
        <v>446</v>
      </c>
      <c r="F189" s="176"/>
      <c r="G189" s="176">
        <f ca="1">G191/G129*100</f>
        <v>23.021303237368947</v>
      </c>
      <c r="H189" s="176"/>
      <c r="I189" s="176"/>
      <c r="J189" s="176">
        <f ca="1">J191/J129*100</f>
        <v>37.886179231004043</v>
      </c>
    </row>
    <row r="190" spans="1:10" x14ac:dyDescent="0.35">
      <c r="A190" s="175" t="s">
        <v>447</v>
      </c>
      <c r="F190" s="176"/>
      <c r="G190" s="176">
        <f ca="1">G166/(G131+G165*G185)</f>
        <v>139.71487222113382</v>
      </c>
      <c r="H190" s="176"/>
      <c r="I190" s="176"/>
      <c r="J190" s="176">
        <f ca="1">J166/(J131+J165*J185)</f>
        <v>38.328752598169089</v>
      </c>
    </row>
    <row r="191" spans="1:10" x14ac:dyDescent="0.35">
      <c r="A191" s="175" t="s">
        <v>2</v>
      </c>
      <c r="F191" s="176"/>
      <c r="G191" s="176">
        <f ca="1">G192*G184</f>
        <v>23.021303237368947</v>
      </c>
      <c r="H191" s="176"/>
      <c r="I191" s="176"/>
      <c r="J191" s="176">
        <f ca="1">J192*J184</f>
        <v>18.943089615502021</v>
      </c>
    </row>
    <row r="192" spans="1:10" x14ac:dyDescent="0.35">
      <c r="A192" s="175" t="s">
        <v>0</v>
      </c>
      <c r="F192" s="176"/>
      <c r="G192" s="176">
        <f ca="1">G165/(G134+G130*G184)*(G190*G185)</f>
        <v>11.367794509361218</v>
      </c>
      <c r="H192" s="176"/>
      <c r="I192" s="176"/>
      <c r="J192" s="176">
        <f ca="1">J165/(J134+J130*J184)*(J190*J185)</f>
        <v>4.7742356334948894</v>
      </c>
    </row>
    <row r="194" spans="1:10" x14ac:dyDescent="0.35">
      <c r="A194" s="175" t="s">
        <v>448</v>
      </c>
      <c r="G194" s="176">
        <f ca="1">(G$138/G$120)/(G$188/G$166)</f>
        <v>0.69044572287288497</v>
      </c>
      <c r="J194" s="176">
        <f ca="1">(J138/J120)/(J188/J166)</f>
        <v>1.8011679599354835</v>
      </c>
    </row>
    <row r="195" spans="1:10" x14ac:dyDescent="0.35">
      <c r="A195" s="175" t="s">
        <v>449</v>
      </c>
      <c r="G195" s="176">
        <f ca="1">(G$140/G$120)/(G$190/G$166)</f>
        <v>0.40020848525871267</v>
      </c>
      <c r="J195" s="176">
        <f ca="1">(J$140/J$120)/(J$190/J$166)</f>
        <v>3.1070560575303214</v>
      </c>
    </row>
    <row r="196" spans="1:10" x14ac:dyDescent="0.35">
      <c r="A196" s="175" t="s">
        <v>450</v>
      </c>
      <c r="G196" s="176">
        <f ca="1">G$138/(G$188/$G$168)</f>
        <v>0.71262018219684098</v>
      </c>
      <c r="J196" s="176">
        <f ca="1">J$138/(J$188/J168)</f>
        <v>1.4317551223311651</v>
      </c>
    </row>
    <row r="197" spans="1:10" x14ac:dyDescent="0.35">
      <c r="A197" s="175" t="s">
        <v>451</v>
      </c>
      <c r="G197" s="176">
        <f ca="1">(G$138/$G$142)/($G$188/$G192)</f>
        <v>0.50021127431047252</v>
      </c>
      <c r="J197" s="176">
        <f ca="1">(J$138/$J142)/($J$188/$J$192)</f>
        <v>2.1123588416451171</v>
      </c>
    </row>
    <row r="199" spans="1:10" x14ac:dyDescent="0.35">
      <c r="A199" s="175" t="s">
        <v>15</v>
      </c>
    </row>
    <row r="200" spans="1:10" x14ac:dyDescent="0.35">
      <c r="A200" s="175" t="s">
        <v>452</v>
      </c>
      <c r="G200" s="176">
        <f ca="1">(G190/G192)/(G140/G142)</f>
        <v>3.4489728460598625</v>
      </c>
      <c r="J200" s="176">
        <f ca="1">1/((J190/J192)/(J140/J142))</f>
        <v>3.6438674685542845</v>
      </c>
    </row>
    <row r="201" spans="1:10" x14ac:dyDescent="0.35">
      <c r="A201" s="175" t="s">
        <v>453</v>
      </c>
      <c r="G201" s="176">
        <f ca="1">1/((G140/G141)/(G190/G191))</f>
        <v>6.1265009165985864</v>
      </c>
      <c r="J201" s="176">
        <f ca="1">(J140/J141)/(J190/J191)</f>
        <v>6.4726973456937813</v>
      </c>
    </row>
    <row r="203" spans="1:10" x14ac:dyDescent="0.35">
      <c r="A203" s="175" t="s">
        <v>48</v>
      </c>
    </row>
    <row r="205" spans="1:10" x14ac:dyDescent="0.35">
      <c r="A205" s="175" t="s">
        <v>43</v>
      </c>
    </row>
    <row r="206" spans="1:10" x14ac:dyDescent="0.35">
      <c r="A206" s="175" t="s">
        <v>454</v>
      </c>
      <c r="J206" s="177">
        <v>0.5</v>
      </c>
    </row>
    <row r="207" spans="1:10" x14ac:dyDescent="0.35">
      <c r="A207" s="175" t="s">
        <v>455</v>
      </c>
      <c r="J207" s="177">
        <v>0.5</v>
      </c>
    </row>
    <row r="208" spans="1:10" x14ac:dyDescent="0.35">
      <c r="A208" s="175" t="s">
        <v>456</v>
      </c>
      <c r="J208" s="181">
        <v>0.09</v>
      </c>
    </row>
    <row r="209" spans="1:10" x14ac:dyDescent="0.35">
      <c r="A209" s="175" t="s">
        <v>457</v>
      </c>
      <c r="J209" s="175">
        <v>7.3999999999999996E-2</v>
      </c>
    </row>
    <row r="210" spans="1:10" x14ac:dyDescent="0.35">
      <c r="A210" s="175" t="s">
        <v>458</v>
      </c>
      <c r="J210" s="175">
        <v>7.3999999999999996E-2</v>
      </c>
    </row>
    <row r="211" spans="1:10" x14ac:dyDescent="0.35">
      <c r="A211" s="175" t="s">
        <v>459</v>
      </c>
      <c r="J211" s="176">
        <v>1</v>
      </c>
    </row>
    <row r="212" spans="1:10" x14ac:dyDescent="0.35">
      <c r="A212" s="175" t="s">
        <v>460</v>
      </c>
      <c r="J212" s="175">
        <v>0.14000000000000001</v>
      </c>
    </row>
    <row r="213" spans="1:10" x14ac:dyDescent="0.35">
      <c r="A213" s="175" t="s">
        <v>461</v>
      </c>
      <c r="J213" s="177">
        <v>0.5</v>
      </c>
    </row>
    <row r="215" spans="1:10" x14ac:dyDescent="0.35">
      <c r="A215" s="175" t="s">
        <v>462</v>
      </c>
    </row>
    <row r="217" spans="1:10" x14ac:dyDescent="0.35">
      <c r="A217" s="175" t="s">
        <v>18</v>
      </c>
    </row>
    <row r="218" spans="1:10" x14ac:dyDescent="0.35">
      <c r="B218" s="175" t="s">
        <v>463</v>
      </c>
      <c r="J218" s="177">
        <v>200</v>
      </c>
    </row>
    <row r="219" spans="1:10" x14ac:dyDescent="0.35">
      <c r="B219" s="175" t="s">
        <v>464</v>
      </c>
      <c r="J219" s="177">
        <f ca="1">-F231</f>
        <v>-92.183548027651113</v>
      </c>
    </row>
    <row r="220" spans="1:10" x14ac:dyDescent="0.35">
      <c r="B220" s="175" t="s">
        <v>465</v>
      </c>
      <c r="J220" s="177">
        <f ca="1">G239*J116/1000+G240*G116/1000*(1-J209)</f>
        <v>-12.31318984423547</v>
      </c>
    </row>
    <row r="221" spans="1:10" x14ac:dyDescent="0.35">
      <c r="B221" s="175" t="s">
        <v>466</v>
      </c>
      <c r="J221" s="177">
        <f ca="1">I239/1000*J117*(1-J210)</f>
        <v>46.485413398168717</v>
      </c>
    </row>
    <row r="222" spans="1:10" x14ac:dyDescent="0.35">
      <c r="B222" s="175" t="s">
        <v>467</v>
      </c>
      <c r="J222" s="177">
        <f ca="1">J218-J219+J220-J221-J223</f>
        <v>177.22662960395226</v>
      </c>
    </row>
    <row r="223" spans="1:10" x14ac:dyDescent="0.35">
      <c r="B223" s="175" t="s">
        <v>468</v>
      </c>
      <c r="J223" s="177">
        <f>G15</f>
        <v>56.158315181294682</v>
      </c>
    </row>
    <row r="225" spans="1:12" x14ac:dyDescent="0.35">
      <c r="A225" s="175" t="s">
        <v>469</v>
      </c>
    </row>
    <row r="227" spans="1:12" x14ac:dyDescent="0.35">
      <c r="B227" s="175" t="s">
        <v>470</v>
      </c>
      <c r="E227" s="175" t="s">
        <v>56</v>
      </c>
      <c r="F227" s="175" t="s">
        <v>57</v>
      </c>
      <c r="G227" s="175" t="s">
        <v>49</v>
      </c>
    </row>
    <row r="228" spans="1:12" x14ac:dyDescent="0.35">
      <c r="B228" s="175" t="s">
        <v>471</v>
      </c>
      <c r="E228" s="176">
        <f ca="1">E12+E13-J220</f>
        <v>242.28103405530226</v>
      </c>
      <c r="F228" s="176">
        <f>C12+C13</f>
        <v>57.913938000000023</v>
      </c>
      <c r="G228" s="176">
        <f ca="1">E228-F228</f>
        <v>184.36709605530223</v>
      </c>
    </row>
    <row r="229" spans="1:12" x14ac:dyDescent="0.35">
      <c r="B229" s="175" t="s">
        <v>472</v>
      </c>
      <c r="E229" s="176">
        <v>0</v>
      </c>
      <c r="F229" s="176">
        <f ca="1">F232-F228</f>
        <v>184.36709605530223</v>
      </c>
      <c r="G229" s="176">
        <f ca="1">E229-F229</f>
        <v>-184.36709605530223</v>
      </c>
    </row>
    <row r="230" spans="1:12" x14ac:dyDescent="0.35">
      <c r="B230" s="175" t="s">
        <v>473</v>
      </c>
      <c r="E230" s="176"/>
      <c r="F230" s="176">
        <f ca="1">F229-F231</f>
        <v>92.183548027651113</v>
      </c>
      <c r="G230" s="176"/>
    </row>
    <row r="231" spans="1:12" x14ac:dyDescent="0.35">
      <c r="B231" s="175" t="s">
        <v>28</v>
      </c>
      <c r="E231" s="176"/>
      <c r="F231" s="176">
        <f ca="1">F229*J207</f>
        <v>92.183548027651113</v>
      </c>
      <c r="G231" s="176"/>
    </row>
    <row r="232" spans="1:12" x14ac:dyDescent="0.35">
      <c r="B232" s="175" t="s">
        <v>474</v>
      </c>
      <c r="E232" s="176">
        <f ca="1">E228+E229</f>
        <v>242.28103405530226</v>
      </c>
      <c r="F232" s="176">
        <f ca="1">E232-G232</f>
        <v>242.28103405530226</v>
      </c>
      <c r="G232" s="176">
        <f>G15-J223</f>
        <v>0</v>
      </c>
    </row>
    <row r="235" spans="1:12" x14ac:dyDescent="0.35">
      <c r="A235" s="175" t="s">
        <v>50</v>
      </c>
    </row>
    <row r="237" spans="1:12" x14ac:dyDescent="0.35">
      <c r="A237" s="175" t="s">
        <v>475</v>
      </c>
      <c r="G237" s="175" t="s">
        <v>53</v>
      </c>
      <c r="I237" s="175" t="s">
        <v>54</v>
      </c>
    </row>
    <row r="238" spans="1:12" x14ac:dyDescent="0.35">
      <c r="G238" s="175" t="s">
        <v>52</v>
      </c>
      <c r="I238" s="175" t="s">
        <v>52</v>
      </c>
    </row>
    <row r="239" spans="1:12" x14ac:dyDescent="0.35">
      <c r="A239" s="175" t="s">
        <v>476</v>
      </c>
      <c r="G239" s="177">
        <f ca="1">(-F231/G168-J218*(EXP(-J206*LN(G168/((1+J209)*(1+J212))))))*(1-J208)</f>
        <v>-150.94406182531017</v>
      </c>
      <c r="H239" s="177"/>
      <c r="I239" s="177">
        <f ca="1">((F231/G168*EXP(-J206*LN(1/(G168*(1+J209)*(1+J211)))))+J218)*(1-J208)</f>
        <v>255.7321979194401</v>
      </c>
      <c r="J239" s="176"/>
      <c r="K239" s="176"/>
      <c r="L239" s="176"/>
    </row>
    <row r="240" spans="1:12" x14ac:dyDescent="0.35">
      <c r="A240" s="175" t="s">
        <v>477</v>
      </c>
      <c r="G240" s="177">
        <f ca="1">(J222+(1-J210)*J117/1000*(G239+I239))*(1-J208)</f>
        <v>178.60967423999648</v>
      </c>
      <c r="H240" s="177"/>
      <c r="I240" s="177">
        <f ca="1">-(1-J208)*J213*J222</f>
        <v>-80.638116469798277</v>
      </c>
      <c r="J240" s="176"/>
    </row>
    <row r="241" spans="1:11" x14ac:dyDescent="0.35">
      <c r="A241" s="175" t="s">
        <v>35</v>
      </c>
      <c r="G241" s="177">
        <f ca="1">G239*G168+G240</f>
        <v>-241.07737976961238</v>
      </c>
      <c r="I241" s="177">
        <f ca="1">I239+I240*J168</f>
        <v>218.94093431693184</v>
      </c>
    </row>
    <row r="242" spans="1:11" x14ac:dyDescent="0.35">
      <c r="A242" s="175" t="s">
        <v>478</v>
      </c>
      <c r="G242" s="177">
        <f ca="1">G241/E24*100</f>
        <v>-5.1229279073003555</v>
      </c>
      <c r="I242" s="177">
        <f ca="1">I241/G24*100</f>
        <v>24.164185062901986</v>
      </c>
    </row>
    <row r="245" spans="1:11" x14ac:dyDescent="0.35">
      <c r="A245" s="175" t="s">
        <v>479</v>
      </c>
    </row>
    <row r="247" spans="1:11" x14ac:dyDescent="0.35">
      <c r="A247" s="175" t="s">
        <v>32</v>
      </c>
      <c r="F247" s="177"/>
      <c r="G247" s="177">
        <f ca="1">(G239*G166+G240*G120)/1000</f>
        <v>-137.47208949555574</v>
      </c>
      <c r="H247" s="177"/>
      <c r="I247" s="177">
        <f ca="1">(I239*J120+I240*J166)/1000</f>
        <v>77.537751021061894</v>
      </c>
    </row>
    <row r="248" spans="1:11" x14ac:dyDescent="0.35">
      <c r="A248" s="175" t="s">
        <v>480</v>
      </c>
      <c r="G248" s="177">
        <f ca="1">G247/E23*100</f>
        <v>-6.8650574782174072</v>
      </c>
      <c r="H248" s="177"/>
      <c r="I248" s="177">
        <f ca="1">I247/G23*100</f>
        <v>22.147562061120333</v>
      </c>
    </row>
    <row r="251" spans="1:11" x14ac:dyDescent="0.35">
      <c r="A251" s="175" t="s">
        <v>143</v>
      </c>
      <c r="F251" s="177"/>
      <c r="G251" s="177"/>
      <c r="H251" s="177"/>
      <c r="I251" s="177"/>
    </row>
    <row r="252" spans="1:11" x14ac:dyDescent="0.35">
      <c r="F252" s="177"/>
      <c r="G252" s="177"/>
      <c r="H252" s="177"/>
      <c r="I252" s="177"/>
    </row>
    <row r="253" spans="1:11" x14ac:dyDescent="0.35">
      <c r="F253" s="177"/>
      <c r="G253" s="177"/>
      <c r="J253" s="177"/>
    </row>
    <row r="254" spans="1:11" x14ac:dyDescent="0.35">
      <c r="E254" s="177" t="s">
        <v>21</v>
      </c>
      <c r="F254" s="177"/>
      <c r="G254" s="177"/>
      <c r="I254" s="177" t="s">
        <v>31</v>
      </c>
      <c r="J254" s="177"/>
    </row>
    <row r="255" spans="1:11" x14ac:dyDescent="0.35">
      <c r="A255" s="175" t="s">
        <v>44</v>
      </c>
      <c r="E255" s="175" t="s">
        <v>61</v>
      </c>
      <c r="F255" s="177" t="s">
        <v>58</v>
      </c>
      <c r="G255" s="177" t="s">
        <v>60</v>
      </c>
      <c r="I255" s="175" t="s">
        <v>61</v>
      </c>
      <c r="J255" s="177" t="s">
        <v>58</v>
      </c>
      <c r="K255" s="177" t="s">
        <v>60</v>
      </c>
    </row>
    <row r="256" spans="1:11" x14ac:dyDescent="0.35">
      <c r="A256" s="175" t="s">
        <v>34</v>
      </c>
      <c r="E256" s="176">
        <f ca="1">G240*G141/1000</f>
        <v>3.7424216154320593</v>
      </c>
      <c r="F256" s="176">
        <f ca="1">G239*G191/1000</f>
        <v>-3.4749290191606317</v>
      </c>
      <c r="G256" s="176">
        <f ca="1">(G239*G191+G240*G141)/1000</f>
        <v>0.26749259627142785</v>
      </c>
      <c r="H256" s="176"/>
      <c r="I256" s="176">
        <f ca="1">I240*J191/1000</f>
        <v>-1.5275350667126784</v>
      </c>
      <c r="J256" s="176">
        <f ca="1">I239*J141/1000</f>
        <v>4.0514475146251137</v>
      </c>
      <c r="K256" s="176">
        <f ca="1">(I239*J141+I240*J191)/1000</f>
        <v>2.5239124479124349</v>
      </c>
    </row>
    <row r="257" spans="1:12" x14ac:dyDescent="0.35">
      <c r="A257" s="175" t="s">
        <v>481</v>
      </c>
      <c r="E257" s="176">
        <f ca="1">G240*G140/1000</f>
        <v>3.7072591223497313</v>
      </c>
      <c r="F257" s="176">
        <f ca="1">G239*G190/1000</f>
        <v>-21.089130310462131</v>
      </c>
      <c r="G257" s="176">
        <f ca="1">(G239*G190+G240*G140)/1000</f>
        <v>-17.381871188112402</v>
      </c>
      <c r="I257" s="176">
        <f ca="1">I240*J190/1000</f>
        <v>-3.0907584161532422</v>
      </c>
      <c r="J257" s="176">
        <f ca="1">I239*J140/1000</f>
        <v>53.060261894438085</v>
      </c>
      <c r="K257" s="176">
        <f ca="1">(I239*J140+I240*J190)/1000</f>
        <v>49.969503478284842</v>
      </c>
    </row>
    <row r="258" spans="1:12" x14ac:dyDescent="0.35">
      <c r="A258" s="175" t="s">
        <v>29</v>
      </c>
      <c r="E258" s="176">
        <f ca="1">G240*G142/10</f>
        <v>104.03423888358793</v>
      </c>
      <c r="F258" s="176">
        <f ca="1">G239*G192/10</f>
        <v>-171.59010772384414</v>
      </c>
      <c r="G258" s="176">
        <f ca="1">G239/10*G192+G240/10*G142</f>
        <v>-67.555868840256196</v>
      </c>
      <c r="I258" s="176">
        <f ca="1">I240*J192/10*J132/100</f>
        <v>-23.137620680988128</v>
      </c>
      <c r="J258" s="176">
        <f ca="1">I239*J142/10*J132/100</f>
        <v>109.00852240106784</v>
      </c>
      <c r="K258" s="176">
        <f ca="1">(I239*J142+I240*J192)/10*J132/100</f>
        <v>85.870901720079715</v>
      </c>
    </row>
    <row r="259" spans="1:12" x14ac:dyDescent="0.35">
      <c r="G259" s="184"/>
      <c r="K259" s="184"/>
    </row>
    <row r="260" spans="1:12" x14ac:dyDescent="0.35">
      <c r="A260" s="175" t="s">
        <v>482</v>
      </c>
      <c r="G260" s="180">
        <v>1900</v>
      </c>
      <c r="H260" s="180"/>
      <c r="I260" s="180"/>
      <c r="J260" s="180"/>
      <c r="K260" s="180">
        <v>2400</v>
      </c>
      <c r="L260" s="175" t="s">
        <v>366</v>
      </c>
    </row>
    <row r="262" spans="1:12" x14ac:dyDescent="0.35">
      <c r="A262" s="175" t="s">
        <v>483</v>
      </c>
      <c r="E262" s="176">
        <f ca="1">E256*1000/$G$260*100/G129</f>
        <v>1.969695587069505</v>
      </c>
      <c r="F262" s="176">
        <f ca="1">F256*1000/$G$260*100/G129</f>
        <v>-1.8289100100845428</v>
      </c>
      <c r="G262" s="176">
        <f ca="1">G256*1000/$G$260*100/G129</f>
        <v>0.14078557698496202</v>
      </c>
      <c r="I262" s="176">
        <f ca="1">I256*1000/$K$260*100/J129</f>
        <v>-1.272945888927232</v>
      </c>
      <c r="J262" s="176">
        <f ca="1">J256*1000/$K$260*100/J129</f>
        <v>3.3762062621875955</v>
      </c>
      <c r="K262" s="176">
        <f ca="1">K256*1000/$K$260*100/J129</f>
        <v>2.1032603732603623</v>
      </c>
    </row>
    <row r="263" spans="1:12" x14ac:dyDescent="0.35">
      <c r="A263" s="175" t="s">
        <v>484</v>
      </c>
      <c r="E263" s="176">
        <f ca="1">E257*1000/$G$260</f>
        <v>1.9511890117630164</v>
      </c>
      <c r="F263" s="176">
        <f ca="1">F257*1000/$G$260</f>
        <v>-11.09954226866428</v>
      </c>
      <c r="G263" s="176">
        <f ca="1">G257*1000/$G$260</f>
        <v>-9.1483532569012649</v>
      </c>
      <c r="I263" s="176">
        <f ca="1">I257*1000/$K$260</f>
        <v>-1.2878160067305175</v>
      </c>
      <c r="J263" s="176">
        <f ca="1">J257*1000/$K$260</f>
        <v>22.108442456015869</v>
      </c>
      <c r="K263" s="176">
        <f ca="1">K257*1000/$K$260</f>
        <v>20.820626449285353</v>
      </c>
    </row>
    <row r="264" spans="1:12" x14ac:dyDescent="0.35">
      <c r="A264" s="175" t="s">
        <v>37</v>
      </c>
      <c r="E264" s="176">
        <f ca="1">E262+E263</f>
        <v>3.9208845988325214</v>
      </c>
      <c r="F264" s="176">
        <f ca="1">F262+F263</f>
        <v>-12.928452278748823</v>
      </c>
      <c r="G264" s="176">
        <f ca="1">G262+G263</f>
        <v>-9.0075676799163027</v>
      </c>
      <c r="I264" s="176">
        <f ca="1">I262+I263</f>
        <v>-2.5607618956577496</v>
      </c>
      <c r="J264" s="176">
        <f ca="1">J262+J263</f>
        <v>25.484648718203463</v>
      </c>
      <c r="K264" s="176">
        <f ca="1">K262+K263</f>
        <v>22.923886822545715</v>
      </c>
    </row>
    <row r="265" spans="1:12" x14ac:dyDescent="0.35">
      <c r="A265" s="175" t="s">
        <v>30</v>
      </c>
      <c r="E265" s="176">
        <f ca="1">E258*$G$132/100</f>
        <v>104.03423888358793</v>
      </c>
      <c r="F265" s="176">
        <f ca="1">F258*$G$132/100</f>
        <v>-171.59010772384417</v>
      </c>
      <c r="G265" s="176">
        <f ca="1">G258*$G$132/100</f>
        <v>-67.555868840256196</v>
      </c>
      <c r="H265" s="176"/>
      <c r="I265" s="176">
        <f ca="1">I258*$J$132/100</f>
        <v>-13.905710029273866</v>
      </c>
      <c r="J265" s="176">
        <f ca="1">J258*$J$132/100</f>
        <v>65.514121963041774</v>
      </c>
      <c r="K265" s="176">
        <f ca="1">K258*$J$132/100</f>
        <v>51.608411933767911</v>
      </c>
    </row>
    <row r="267" spans="1:12" x14ac:dyDescent="0.35">
      <c r="A267" s="175" t="s">
        <v>485</v>
      </c>
    </row>
    <row r="268" spans="1:12" x14ac:dyDescent="0.35">
      <c r="A268" s="175" t="s">
        <v>36</v>
      </c>
      <c r="G268" s="176">
        <f ca="1">G264/F36*100</f>
        <v>-12.106945806339116</v>
      </c>
      <c r="K268" s="176">
        <f ca="1">K264/L36*100</f>
        <v>11.185111891947166</v>
      </c>
    </row>
    <row r="269" spans="1:12" x14ac:dyDescent="0.35">
      <c r="A269" s="175" t="s">
        <v>486</v>
      </c>
      <c r="G269" s="176">
        <f ca="1">G265/G36*100</f>
        <v>-2.7904117653967861</v>
      </c>
      <c r="K269" s="176">
        <f ca="1">K265/M36*100</f>
        <v>11.990244861709007</v>
      </c>
    </row>
    <row r="271" spans="1:12" x14ac:dyDescent="0.35">
      <c r="A271" s="175" t="s">
        <v>309</v>
      </c>
    </row>
    <row r="272" spans="1:12" x14ac:dyDescent="0.35">
      <c r="A272" s="175" t="s">
        <v>487</v>
      </c>
      <c r="G272" s="176">
        <f ca="1">G262/C38*100</f>
        <v>8.1133563989707586E-2</v>
      </c>
      <c r="K272" s="176">
        <f ca="1">K262/I38*100</f>
        <v>1.3686853339173233</v>
      </c>
    </row>
    <row r="273" spans="1:11" x14ac:dyDescent="0.35">
      <c r="A273" s="175" t="s">
        <v>488</v>
      </c>
      <c r="G273" s="176">
        <f ca="1">G263/D38*100</f>
        <v>-5.3051361354486426</v>
      </c>
      <c r="K273" s="176">
        <f ca="1">K263/J38*100</f>
        <v>2.7740559898495767</v>
      </c>
    </row>
    <row r="274" spans="1:11" x14ac:dyDescent="0.35">
      <c r="A274" s="175" t="s">
        <v>36</v>
      </c>
      <c r="G274" s="176">
        <f ca="1">G264/F38*100</f>
        <v>-2.5691864460685401</v>
      </c>
      <c r="K274" s="176">
        <f ca="1">K264/L38*100</f>
        <v>1.4505116946687999</v>
      </c>
    </row>
    <row r="275" spans="1:11" x14ac:dyDescent="0.35">
      <c r="A275" s="175" t="s">
        <v>486</v>
      </c>
      <c r="G275" s="176">
        <f ca="1">G265/G38*100</f>
        <v>-0.51802675285834054</v>
      </c>
      <c r="K275" s="176">
        <f ca="1">K265/M38*100</f>
        <v>1.5924786757972793</v>
      </c>
    </row>
  </sheetData>
  <pageMargins left="0.75" right="0.75" top="1" bottom="1" header="0.5" footer="0.5"/>
  <pageSetup paperSize="9" scale="74" fitToHeight="0" orientation="portrait" r:id="rId1"/>
  <headerFooter>
    <oddHeader>&amp;L&amp;"Arial"&amp;10VERSN10X.WK1       printed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7"/>
  <sheetViews>
    <sheetView topLeftCell="A265" zoomScaleNormal="100" workbookViewId="0">
      <selection activeCell="A280" sqref="A280:XFD318"/>
    </sheetView>
  </sheetViews>
  <sheetFormatPr defaultColWidth="8" defaultRowHeight="15.5" x14ac:dyDescent="0.35"/>
  <cols>
    <col min="1" max="1" width="14.33203125" customWidth="1"/>
    <col min="3" max="6" width="7.9140625" customWidth="1"/>
    <col min="7" max="7" width="8.6640625" customWidth="1"/>
    <col min="8" max="8" width="7.9140625" customWidth="1"/>
    <col min="9" max="9" width="7.08203125" customWidth="1"/>
    <col min="10" max="10" width="8.6640625" customWidth="1"/>
    <col min="11" max="11" width="6.33203125" customWidth="1"/>
  </cols>
  <sheetData>
    <row r="1" spans="1:16" x14ac:dyDescent="0.35">
      <c r="A1" s="185" t="s">
        <v>507</v>
      </c>
      <c r="B1" s="186"/>
      <c r="C1" s="186"/>
      <c r="D1" s="186"/>
      <c r="E1" s="186"/>
      <c r="F1" s="186"/>
      <c r="G1" s="186"/>
      <c r="H1" s="186"/>
      <c r="I1" s="186"/>
      <c r="J1" s="186"/>
      <c r="K1" s="186"/>
      <c r="L1" s="186"/>
      <c r="M1" s="186"/>
      <c r="N1" s="186"/>
      <c r="O1" s="186"/>
      <c r="P1" s="186"/>
    </row>
    <row r="2" spans="1:16" ht="30" customHeight="1" x14ac:dyDescent="0.35">
      <c r="A2" s="245" t="s">
        <v>510</v>
      </c>
      <c r="B2" s="245"/>
      <c r="C2" s="245"/>
      <c r="D2" s="245"/>
      <c r="E2" s="245"/>
      <c r="F2" s="245"/>
      <c r="G2" s="245"/>
      <c r="H2" s="245"/>
      <c r="I2" s="245"/>
      <c r="J2" s="245"/>
      <c r="K2" s="245"/>
      <c r="L2" s="245"/>
      <c r="M2" s="245"/>
      <c r="N2" s="245"/>
      <c r="O2" s="245"/>
      <c r="P2" s="245"/>
    </row>
    <row r="3" spans="1:16" x14ac:dyDescent="0.35">
      <c r="A3" t="s">
        <v>346</v>
      </c>
    </row>
    <row r="5" spans="1:16" x14ac:dyDescent="0.35">
      <c r="A5" t="s">
        <v>347</v>
      </c>
    </row>
    <row r="7" spans="1:16" x14ac:dyDescent="0.35">
      <c r="A7" t="s">
        <v>348</v>
      </c>
    </row>
    <row r="9" spans="1:16" x14ac:dyDescent="0.35">
      <c r="A9" t="s">
        <v>349</v>
      </c>
    </row>
    <row r="11" spans="1:16" x14ac:dyDescent="0.35">
      <c r="C11" t="s">
        <v>350</v>
      </c>
      <c r="E11" t="s">
        <v>351</v>
      </c>
      <c r="G11" t="s">
        <v>352</v>
      </c>
    </row>
    <row r="12" spans="1:16" x14ac:dyDescent="0.35">
      <c r="C12" t="s">
        <v>353</v>
      </c>
      <c r="E12" t="s">
        <v>354</v>
      </c>
      <c r="G12" t="s">
        <v>355</v>
      </c>
    </row>
    <row r="14" spans="1:16" x14ac:dyDescent="0.35">
      <c r="A14" t="s">
        <v>356</v>
      </c>
      <c r="C14" s="1">
        <v>17.388003000000026</v>
      </c>
      <c r="D14" s="2"/>
      <c r="E14" s="1">
        <v>161.3755388212947</v>
      </c>
      <c r="F14" s="1"/>
      <c r="G14" s="2">
        <f>E14-C14</f>
        <v>143.98753582129467</v>
      </c>
      <c r="H14" s="2"/>
    </row>
    <row r="15" spans="1:16" x14ac:dyDescent="0.35">
      <c r="A15" t="s">
        <v>357</v>
      </c>
      <c r="C15" s="1">
        <v>40.525934999999997</v>
      </c>
      <c r="E15" s="1">
        <v>68.592305389772093</v>
      </c>
      <c r="G15" s="2">
        <f>E15-C15</f>
        <v>28.066370389772096</v>
      </c>
    </row>
    <row r="16" spans="1:16" x14ac:dyDescent="0.35">
      <c r="A16" t="s">
        <v>358</v>
      </c>
      <c r="C16" s="1">
        <f>276.659997-C15</f>
        <v>236.13406199999997</v>
      </c>
      <c r="D16" s="2"/>
      <c r="E16" s="1">
        <f>188.83077636-E15</f>
        <v>120.23847097022789</v>
      </c>
      <c r="F16" s="1"/>
      <c r="G16" s="2">
        <f>E16-C16</f>
        <v>-115.89559102977208</v>
      </c>
      <c r="H16" s="2"/>
    </row>
    <row r="17" spans="1:12" x14ac:dyDescent="0.35">
      <c r="A17" t="s">
        <v>62</v>
      </c>
      <c r="C17" s="1">
        <v>294.048</v>
      </c>
      <c r="D17" s="2"/>
      <c r="E17" s="1">
        <v>350.20631518624646</v>
      </c>
      <c r="F17" s="1"/>
      <c r="G17" s="2">
        <f>G14+G15+G16</f>
        <v>56.158315181294682</v>
      </c>
      <c r="H17" s="2"/>
    </row>
    <row r="19" spans="1:12" x14ac:dyDescent="0.35">
      <c r="A19" t="s">
        <v>359</v>
      </c>
    </row>
    <row r="21" spans="1:12" x14ac:dyDescent="0.35">
      <c r="A21" t="s">
        <v>360</v>
      </c>
    </row>
    <row r="23" spans="1:12" x14ac:dyDescent="0.35">
      <c r="E23" t="s">
        <v>53</v>
      </c>
      <c r="G23" t="s">
        <v>54</v>
      </c>
      <c r="I23" t="s">
        <v>54</v>
      </c>
      <c r="K23" t="s">
        <v>361</v>
      </c>
    </row>
    <row r="24" spans="1:12" x14ac:dyDescent="0.35">
      <c r="E24" t="s">
        <v>52</v>
      </c>
      <c r="G24" t="s">
        <v>52</v>
      </c>
      <c r="I24" t="s">
        <v>362</v>
      </c>
    </row>
    <row r="25" spans="1:12" x14ac:dyDescent="0.35">
      <c r="A25" t="s">
        <v>363</v>
      </c>
      <c r="E25" s="2">
        <v>2002.49</v>
      </c>
      <c r="F25" s="2"/>
      <c r="G25" s="2">
        <f>I25+K25</f>
        <v>350.09609999999998</v>
      </c>
      <c r="H25" s="2"/>
      <c r="I25" s="2">
        <v>251.85</v>
      </c>
      <c r="J25" s="2"/>
      <c r="K25" s="2">
        <f>0.37*K28</f>
        <v>98.246099999999984</v>
      </c>
    </row>
    <row r="26" spans="1:12" x14ac:dyDescent="0.35">
      <c r="A26" t="s">
        <v>364</v>
      </c>
      <c r="E26" s="2">
        <f>E25*E30</f>
        <v>4705.8514999999998</v>
      </c>
      <c r="F26" s="2"/>
      <c r="G26" s="2">
        <f>I26+K26</f>
        <v>906.05552699999987</v>
      </c>
      <c r="H26" s="2"/>
      <c r="I26" s="2">
        <f>I30*I25</f>
        <v>604.43999999999994</v>
      </c>
      <c r="J26" s="2"/>
      <c r="K26" s="2">
        <f>K30*K25</f>
        <v>301.61552699999993</v>
      </c>
    </row>
    <row r="27" spans="1:12" x14ac:dyDescent="0.35">
      <c r="E27" s="2"/>
      <c r="F27" s="2"/>
      <c r="G27" s="2"/>
      <c r="H27" s="2"/>
      <c r="I27" s="2"/>
      <c r="J27" s="2"/>
      <c r="K27" s="2"/>
    </row>
    <row r="28" spans="1:12" x14ac:dyDescent="0.35">
      <c r="A28" t="s">
        <v>365</v>
      </c>
      <c r="E28" s="2">
        <v>8706.48</v>
      </c>
      <c r="F28" s="2"/>
      <c r="G28" s="2">
        <f>I28+K28</f>
        <v>2079.98</v>
      </c>
      <c r="H28" s="2"/>
      <c r="I28" s="2">
        <v>1814.45</v>
      </c>
      <c r="J28" s="2"/>
      <c r="K28" s="2">
        <v>265.52999999999997</v>
      </c>
      <c r="L28" t="s">
        <v>366</v>
      </c>
    </row>
    <row r="30" spans="1:12" x14ac:dyDescent="0.35">
      <c r="A30" t="s">
        <v>367</v>
      </c>
      <c r="E30">
        <v>2.35</v>
      </c>
      <c r="I30" s="1">
        <v>2.4</v>
      </c>
      <c r="K30">
        <v>3.07</v>
      </c>
      <c r="L30" t="s">
        <v>366</v>
      </c>
    </row>
    <row r="32" spans="1:12" x14ac:dyDescent="0.35">
      <c r="A32" t="s">
        <v>368</v>
      </c>
    </row>
    <row r="34" spans="1:13" x14ac:dyDescent="0.35">
      <c r="D34" t="s">
        <v>369</v>
      </c>
      <c r="J34" t="s">
        <v>370</v>
      </c>
    </row>
    <row r="35" spans="1:13" x14ac:dyDescent="0.35">
      <c r="C35" t="s">
        <v>371</v>
      </c>
      <c r="G35" t="s">
        <v>372</v>
      </c>
      <c r="I35" t="s">
        <v>371</v>
      </c>
      <c r="M35" t="s">
        <v>372</v>
      </c>
    </row>
    <row r="36" spans="1:13" x14ac:dyDescent="0.35">
      <c r="C36" t="s">
        <v>373</v>
      </c>
      <c r="D36" t="s">
        <v>301</v>
      </c>
      <c r="E36" t="s">
        <v>302</v>
      </c>
      <c r="F36" t="s">
        <v>62</v>
      </c>
      <c r="G36" t="s">
        <v>374</v>
      </c>
      <c r="I36" t="s">
        <v>373</v>
      </c>
      <c r="J36" t="s">
        <v>301</v>
      </c>
      <c r="K36" t="s">
        <v>302</v>
      </c>
      <c r="L36" t="s">
        <v>62</v>
      </c>
      <c r="M36" t="s">
        <v>374</v>
      </c>
    </row>
    <row r="38" spans="1:13" x14ac:dyDescent="0.35">
      <c r="A38" t="s">
        <v>59</v>
      </c>
      <c r="C38" s="2"/>
      <c r="D38" s="2"/>
      <c r="E38" s="2"/>
      <c r="F38" s="2">
        <v>74.400000000000006</v>
      </c>
      <c r="G38" s="2">
        <v>2421</v>
      </c>
      <c r="H38" s="2"/>
      <c r="I38" s="187">
        <f t="shared" ref="I38:M40" si="0">I46+I54</f>
        <v>0</v>
      </c>
      <c r="J38" s="187">
        <f t="shared" si="0"/>
        <v>0</v>
      </c>
      <c r="K38" s="187">
        <f t="shared" si="0"/>
        <v>0</v>
      </c>
      <c r="L38" s="2">
        <f t="shared" si="0"/>
        <v>204.95</v>
      </c>
      <c r="M38" s="2">
        <f t="shared" si="0"/>
        <v>430.42</v>
      </c>
    </row>
    <row r="39" spans="1:13" x14ac:dyDescent="0.35">
      <c r="A39" t="s">
        <v>375</v>
      </c>
      <c r="C39" s="2"/>
      <c r="D39" s="2"/>
      <c r="E39" s="2"/>
      <c r="F39" s="2">
        <f>F40-F38</f>
        <v>276.20000000000005</v>
      </c>
      <c r="G39" s="2">
        <f>G40-G38</f>
        <v>10620</v>
      </c>
      <c r="H39" s="2"/>
      <c r="I39" s="187">
        <f t="shared" si="0"/>
        <v>0</v>
      </c>
      <c r="J39" s="187">
        <f t="shared" si="0"/>
        <v>0</v>
      </c>
      <c r="K39" s="187">
        <f t="shared" si="0"/>
        <v>0</v>
      </c>
      <c r="L39" s="2">
        <f t="shared" si="0"/>
        <v>1375.45</v>
      </c>
      <c r="M39" s="2">
        <f t="shared" si="0"/>
        <v>2810.34</v>
      </c>
    </row>
    <row r="40" spans="1:13" x14ac:dyDescent="0.35">
      <c r="A40" t="s">
        <v>376</v>
      </c>
      <c r="C40" s="2">
        <f>(F69*K73+G69)/100*F40</f>
        <v>173.52322523736507</v>
      </c>
      <c r="D40" s="2">
        <f>F40-E40-C40</f>
        <v>172.44332705757438</v>
      </c>
      <c r="E40" s="2">
        <f>B69/100*F40</f>
        <v>4.6334477050606022</v>
      </c>
      <c r="F40" s="2">
        <v>350.6</v>
      </c>
      <c r="G40" s="2">
        <v>13041</v>
      </c>
      <c r="H40" s="2"/>
      <c r="I40" s="2">
        <f t="shared" si="0"/>
        <v>153.67011840775754</v>
      </c>
      <c r="J40" s="2">
        <f t="shared" si="0"/>
        <v>750.54816937614703</v>
      </c>
      <c r="K40" s="2">
        <f t="shared" si="0"/>
        <v>676.18171221609543</v>
      </c>
      <c r="L40" s="2">
        <f t="shared" si="0"/>
        <v>1580.4</v>
      </c>
      <c r="M40" s="2">
        <f t="shared" si="0"/>
        <v>3240.76</v>
      </c>
    </row>
    <row r="42" spans="1:13" x14ac:dyDescent="0.35">
      <c r="J42" t="s">
        <v>377</v>
      </c>
    </row>
    <row r="43" spans="1:13" x14ac:dyDescent="0.35">
      <c r="I43" t="s">
        <v>371</v>
      </c>
      <c r="M43" t="s">
        <v>372</v>
      </c>
    </row>
    <row r="44" spans="1:13" x14ac:dyDescent="0.35">
      <c r="I44" t="s">
        <v>373</v>
      </c>
      <c r="J44" t="s">
        <v>301</v>
      </c>
      <c r="K44" t="s">
        <v>302</v>
      </c>
      <c r="L44" t="s">
        <v>62</v>
      </c>
      <c r="M44" t="s">
        <v>374</v>
      </c>
    </row>
    <row r="46" spans="1:13" x14ac:dyDescent="0.35">
      <c r="I46" s="2"/>
      <c r="J46" s="2"/>
      <c r="K46" s="2"/>
      <c r="L46" s="2">
        <v>121.4</v>
      </c>
      <c r="M46" s="2">
        <v>282.31</v>
      </c>
    </row>
    <row r="47" spans="1:13" x14ac:dyDescent="0.35">
      <c r="I47" s="2"/>
      <c r="J47" s="2"/>
      <c r="K47" s="2"/>
      <c r="L47" s="2">
        <f>L48-L46</f>
        <v>891.6</v>
      </c>
      <c r="M47" s="2">
        <f>M48-M46</f>
        <v>2516.09</v>
      </c>
    </row>
    <row r="48" spans="1:13" x14ac:dyDescent="0.35">
      <c r="I48" s="2">
        <f>(F66*K73+G66)/100*L48</f>
        <v>87.851718407757545</v>
      </c>
      <c r="J48" s="2">
        <f>L48-I48-K48</f>
        <v>409.54076937614707</v>
      </c>
      <c r="K48" s="2">
        <f>B66/100*L48</f>
        <v>515.60751221609542</v>
      </c>
      <c r="L48" s="2">
        <v>1013</v>
      </c>
      <c r="M48" s="2">
        <v>2798.4</v>
      </c>
    </row>
    <row r="50" spans="1:13" x14ac:dyDescent="0.35">
      <c r="J50" t="s">
        <v>378</v>
      </c>
    </row>
    <row r="51" spans="1:13" x14ac:dyDescent="0.35">
      <c r="I51" t="s">
        <v>371</v>
      </c>
      <c r="M51" t="s">
        <v>372</v>
      </c>
    </row>
    <row r="52" spans="1:13" x14ac:dyDescent="0.35">
      <c r="I52" t="s">
        <v>373</v>
      </c>
      <c r="J52" t="s">
        <v>301</v>
      </c>
      <c r="K52" t="s">
        <v>302</v>
      </c>
      <c r="L52" t="s">
        <v>62</v>
      </c>
      <c r="M52" t="s">
        <v>374</v>
      </c>
    </row>
    <row r="54" spans="1:13" x14ac:dyDescent="0.35">
      <c r="I54" s="2"/>
      <c r="J54" s="2"/>
      <c r="K54" s="2"/>
      <c r="L54" s="2">
        <v>83.55</v>
      </c>
      <c r="M54" s="2">
        <v>148.11000000000001</v>
      </c>
    </row>
    <row r="55" spans="1:13" x14ac:dyDescent="0.35">
      <c r="I55" s="2"/>
      <c r="J55" s="2"/>
      <c r="K55" s="2"/>
      <c r="L55" s="2">
        <f>L56-L54</f>
        <v>483.84999999999997</v>
      </c>
      <c r="M55" s="2">
        <f>M56-M54</f>
        <v>294.25</v>
      </c>
    </row>
    <row r="56" spans="1:13" x14ac:dyDescent="0.35">
      <c r="I56" s="2">
        <f>(F67*K73+G67)/100*L56</f>
        <v>65.818399999999997</v>
      </c>
      <c r="J56" s="2">
        <f>L56-K56-I56</f>
        <v>341.00739999999996</v>
      </c>
      <c r="K56" s="2">
        <f>B67/100*L56</f>
        <v>160.57420000000002</v>
      </c>
      <c r="L56" s="2">
        <v>567.4</v>
      </c>
      <c r="M56" s="2">
        <v>442.36</v>
      </c>
    </row>
    <row r="57" spans="1:13" x14ac:dyDescent="0.35">
      <c r="A57" t="s">
        <v>42</v>
      </c>
    </row>
    <row r="59" spans="1:13" x14ac:dyDescent="0.35">
      <c r="A59" t="s">
        <v>379</v>
      </c>
    </row>
    <row r="61" spans="1:13" x14ac:dyDescent="0.35">
      <c r="A61" t="s">
        <v>380</v>
      </c>
    </row>
    <row r="62" spans="1:13" x14ac:dyDescent="0.35">
      <c r="H62" t="s">
        <v>381</v>
      </c>
    </row>
    <row r="63" spans="1:13" x14ac:dyDescent="0.35">
      <c r="B63" t="s">
        <v>382</v>
      </c>
      <c r="C63" t="s">
        <v>383</v>
      </c>
      <c r="E63" t="s">
        <v>384</v>
      </c>
      <c r="G63" t="s">
        <v>385</v>
      </c>
      <c r="H63" t="s">
        <v>386</v>
      </c>
    </row>
    <row r="64" spans="1:13" x14ac:dyDescent="0.35">
      <c r="A64" t="s">
        <v>387</v>
      </c>
      <c r="B64" t="s">
        <v>388</v>
      </c>
      <c r="C64" t="s">
        <v>389</v>
      </c>
      <c r="D64" t="s">
        <v>390</v>
      </c>
      <c r="E64" t="s">
        <v>389</v>
      </c>
      <c r="F64" t="s">
        <v>390</v>
      </c>
      <c r="H64" t="s">
        <v>391</v>
      </c>
    </row>
    <row r="66" spans="1:11" x14ac:dyDescent="0.35">
      <c r="A66" t="s">
        <v>392</v>
      </c>
      <c r="B66" s="2">
        <v>50.899063397442788</v>
      </c>
      <c r="C66" s="2">
        <v>18.707195941644247</v>
      </c>
      <c r="D66" s="2">
        <v>13.868882678249717</v>
      </c>
      <c r="E66" s="2">
        <v>7.8152801580126319</v>
      </c>
      <c r="F66" s="2">
        <v>5.2368396303841545</v>
      </c>
      <c r="G66" s="2">
        <v>3.4355906171733532</v>
      </c>
      <c r="H66" s="2">
        <v>3.1763521897506517</v>
      </c>
    </row>
    <row r="67" spans="1:11" x14ac:dyDescent="0.35">
      <c r="A67" t="s">
        <v>393</v>
      </c>
      <c r="B67" s="2">
        <v>28.3</v>
      </c>
      <c r="C67" s="2">
        <v>13.1</v>
      </c>
      <c r="D67" s="2">
        <v>21.3</v>
      </c>
      <c r="E67" s="2">
        <v>25.8</v>
      </c>
      <c r="F67" s="2">
        <v>10.7</v>
      </c>
      <c r="G67" s="2">
        <v>0.9</v>
      </c>
      <c r="H67" s="2">
        <v>4.5</v>
      </c>
    </row>
    <row r="69" spans="1:11" x14ac:dyDescent="0.35">
      <c r="A69" t="s">
        <v>394</v>
      </c>
      <c r="B69" s="2">
        <v>1.3215766414890477</v>
      </c>
      <c r="C69" s="2">
        <v>3.4292493147575436</v>
      </c>
      <c r="D69" s="2">
        <v>20.871008738264372</v>
      </c>
      <c r="E69" s="2">
        <v>24.854635631224976</v>
      </c>
      <c r="F69" s="2">
        <v>25.774646419625476</v>
      </c>
      <c r="G69" s="2">
        <v>23.718572415903626</v>
      </c>
      <c r="H69" s="2">
        <v>10.6432547260566</v>
      </c>
    </row>
    <row r="71" spans="1:11" x14ac:dyDescent="0.35">
      <c r="A71" t="s">
        <v>395</v>
      </c>
    </row>
    <row r="73" spans="1:11" x14ac:dyDescent="0.35">
      <c r="A73" s="4" t="s">
        <v>489</v>
      </c>
      <c r="K73">
        <v>1</v>
      </c>
    </row>
    <row r="75" spans="1:11" x14ac:dyDescent="0.35">
      <c r="A75" t="s">
        <v>397</v>
      </c>
      <c r="F75" t="s">
        <v>398</v>
      </c>
      <c r="I75" t="s">
        <v>399</v>
      </c>
    </row>
    <row r="76" spans="1:11" x14ac:dyDescent="0.35">
      <c r="A76" t="s">
        <v>400</v>
      </c>
      <c r="F76" t="s">
        <v>401</v>
      </c>
      <c r="I76" t="s">
        <v>402</v>
      </c>
    </row>
    <row r="78" spans="1:11" x14ac:dyDescent="0.35">
      <c r="A78" t="s">
        <v>403</v>
      </c>
      <c r="G78">
        <v>76.91</v>
      </c>
      <c r="J78">
        <v>61.83</v>
      </c>
    </row>
    <row r="79" spans="1:11" x14ac:dyDescent="0.35">
      <c r="A79" t="s">
        <v>404</v>
      </c>
      <c r="G79">
        <v>12.66</v>
      </c>
      <c r="J79">
        <v>14.73</v>
      </c>
    </row>
    <row r="80" spans="1:11" x14ac:dyDescent="0.35">
      <c r="A80" t="s">
        <v>405</v>
      </c>
      <c r="G80">
        <f>100-G79-G78</f>
        <v>10.430000000000007</v>
      </c>
      <c r="J80">
        <v>23.44</v>
      </c>
    </row>
    <row r="81" spans="1:10" x14ac:dyDescent="0.35">
      <c r="G81">
        <f>G78+G79+G80</f>
        <v>100</v>
      </c>
      <c r="J81">
        <f>J78+J79+J80</f>
        <v>100</v>
      </c>
    </row>
    <row r="83" spans="1:10" x14ac:dyDescent="0.35">
      <c r="A83" t="s">
        <v>406</v>
      </c>
    </row>
    <row r="86" spans="1:10" x14ac:dyDescent="0.35">
      <c r="A86" t="s">
        <v>407</v>
      </c>
      <c r="G86" s="1">
        <v>9.41</v>
      </c>
      <c r="H86" s="1"/>
      <c r="I86" s="1"/>
      <c r="J86" s="1">
        <v>0.86</v>
      </c>
    </row>
    <row r="87" spans="1:10" x14ac:dyDescent="0.35">
      <c r="A87" t="s">
        <v>408</v>
      </c>
      <c r="G87" s="1">
        <v>0.31280000000000002</v>
      </c>
      <c r="H87" s="1"/>
      <c r="I87" s="1"/>
      <c r="J87" s="1">
        <v>0.16120000000000001</v>
      </c>
    </row>
    <row r="88" spans="1:10" x14ac:dyDescent="0.35">
      <c r="A88" t="s">
        <v>409</v>
      </c>
      <c r="G88" s="1">
        <v>1.58</v>
      </c>
      <c r="H88" s="1"/>
      <c r="I88" s="1"/>
      <c r="J88" s="1">
        <v>1.7</v>
      </c>
    </row>
    <row r="89" spans="1:10" x14ac:dyDescent="0.35">
      <c r="A89" t="s">
        <v>410</v>
      </c>
      <c r="G89" s="1">
        <f>(1-G87)*G86+G87*G86*G88</f>
        <v>11.117199840000001</v>
      </c>
      <c r="H89" s="1"/>
      <c r="I89" s="1"/>
      <c r="J89" s="1">
        <f>(1-J87)*J86+J87*J86*J88</f>
        <v>0.95704239999999996</v>
      </c>
    </row>
    <row r="91" spans="1:10" x14ac:dyDescent="0.35">
      <c r="A91" t="s">
        <v>411</v>
      </c>
      <c r="G91" s="1">
        <v>0.50236000000000003</v>
      </c>
      <c r="H91" s="1"/>
      <c r="I91" s="1"/>
      <c r="J91" s="1">
        <v>0.13247999999999999</v>
      </c>
    </row>
    <row r="92" spans="1:10" x14ac:dyDescent="0.35">
      <c r="A92" t="s">
        <v>412</v>
      </c>
      <c r="G92" s="1">
        <v>2.0784458816</v>
      </c>
      <c r="H92" s="1"/>
      <c r="I92" s="1"/>
      <c r="J92" s="1">
        <v>3.1451103813999999</v>
      </c>
    </row>
    <row r="93" spans="1:10" x14ac:dyDescent="0.35">
      <c r="A93" t="s">
        <v>413</v>
      </c>
      <c r="G93" s="1">
        <f>G95*G89/G91</f>
        <v>14.987013044188641</v>
      </c>
      <c r="J93" s="1">
        <f>J95*J89/J91</f>
        <v>2.343903571622894</v>
      </c>
    </row>
    <row r="94" spans="1:10" x14ac:dyDescent="0.35">
      <c r="A94" t="s">
        <v>414</v>
      </c>
      <c r="G94" s="1">
        <f>G93/G92</f>
        <v>7.2106823549581911</v>
      </c>
      <c r="J94" s="1">
        <f>J93/J92</f>
        <v>0.74525319857916705</v>
      </c>
    </row>
    <row r="95" spans="1:10" x14ac:dyDescent="0.35">
      <c r="A95" t="s">
        <v>415</v>
      </c>
      <c r="G95" s="1">
        <f>(G91*G92)/(G91*G92+(1-G91))</f>
        <v>0.67722771752195154</v>
      </c>
      <c r="J95" s="1">
        <f>(J91*J92)/(J91*J92+(1-J91))</f>
        <v>0.32445829481389848</v>
      </c>
    </row>
    <row r="97" spans="1:11" x14ac:dyDescent="0.35">
      <c r="A97" t="s">
        <v>416</v>
      </c>
    </row>
    <row r="99" spans="1:11" x14ac:dyDescent="0.35">
      <c r="A99" t="s">
        <v>417</v>
      </c>
      <c r="G99">
        <f>G262</f>
        <v>1900</v>
      </c>
      <c r="J99">
        <f>K262</f>
        <v>2400</v>
      </c>
      <c r="K99" t="s">
        <v>366</v>
      </c>
    </row>
    <row r="101" spans="1:11" x14ac:dyDescent="0.35">
      <c r="A101" t="s">
        <v>418</v>
      </c>
      <c r="G101" s="54">
        <f ca="1">G122/G140*G99</f>
        <v>27464.152510726821</v>
      </c>
      <c r="H101" s="54"/>
      <c r="I101" s="54"/>
      <c r="J101" s="54">
        <f ca="1">J122/J140*J99</f>
        <v>3714.8661814653087</v>
      </c>
    </row>
    <row r="102" spans="1:11" x14ac:dyDescent="0.35">
      <c r="A102" t="s">
        <v>419</v>
      </c>
      <c r="G102" s="54">
        <f>E25*1000/F38</f>
        <v>26915.18817204301</v>
      </c>
      <c r="H102" s="54"/>
      <c r="I102" s="54"/>
      <c r="J102" s="54">
        <f>G25*1000/L38</f>
        <v>1708.2024884118077</v>
      </c>
    </row>
    <row r="104" spans="1:11" x14ac:dyDescent="0.35">
      <c r="A104" t="s">
        <v>420</v>
      </c>
    </row>
    <row r="106" spans="1:11" x14ac:dyDescent="0.35">
      <c r="A106" t="s">
        <v>418</v>
      </c>
      <c r="G106" s="2">
        <f ca="1">(G145/10)/(G140/G99)</f>
        <v>26.533359057434403</v>
      </c>
      <c r="H106" s="2"/>
      <c r="I106" s="2"/>
      <c r="J106" s="2">
        <f ca="1">(J145/10)/(J140/J99)</f>
        <v>4.2774190692769487</v>
      </c>
    </row>
    <row r="107" spans="1:11" x14ac:dyDescent="0.35">
      <c r="A107" t="s">
        <v>419</v>
      </c>
      <c r="G107" s="2">
        <f>G38/F38</f>
        <v>32.54032258064516</v>
      </c>
      <c r="H107" s="2"/>
      <c r="I107" s="2"/>
      <c r="J107" s="2">
        <f>M38/L38</f>
        <v>2.1001219809709686</v>
      </c>
    </row>
    <row r="108" spans="1:11" x14ac:dyDescent="0.35">
      <c r="A108" t="s">
        <v>42</v>
      </c>
    </row>
    <row r="109" spans="1:11" x14ac:dyDescent="0.35">
      <c r="A109" t="s">
        <v>45</v>
      </c>
    </row>
    <row r="111" spans="1:11" x14ac:dyDescent="0.35">
      <c r="A111" t="s">
        <v>47</v>
      </c>
    </row>
    <row r="113" spans="1:11" x14ac:dyDescent="0.35">
      <c r="A113" t="s">
        <v>421</v>
      </c>
    </row>
    <row r="115" spans="1:11" x14ac:dyDescent="0.35">
      <c r="F115" t="s">
        <v>398</v>
      </c>
      <c r="I115" t="s">
        <v>399</v>
      </c>
    </row>
    <row r="116" spans="1:11" x14ac:dyDescent="0.35">
      <c r="F116" t="s">
        <v>401</v>
      </c>
      <c r="I116" t="s">
        <v>402</v>
      </c>
    </row>
    <row r="117" spans="1:11" x14ac:dyDescent="0.35">
      <c r="A117" t="s">
        <v>38</v>
      </c>
    </row>
    <row r="118" spans="1:11" x14ac:dyDescent="0.35">
      <c r="A118" t="s">
        <v>422</v>
      </c>
      <c r="G118" s="1">
        <f>56.4+124.6</f>
        <v>181</v>
      </c>
      <c r="H118" s="1"/>
      <c r="I118" s="1"/>
      <c r="J118" s="1">
        <f>41.6+238.3</f>
        <v>279.90000000000003</v>
      </c>
    </row>
    <row r="119" spans="1:11" x14ac:dyDescent="0.35">
      <c r="A119" t="s">
        <v>423</v>
      </c>
      <c r="G119" s="1"/>
      <c r="H119" s="1"/>
      <c r="I119" s="1"/>
      <c r="J119" s="1">
        <v>196.3</v>
      </c>
    </row>
    <row r="120" spans="1:11" x14ac:dyDescent="0.35">
      <c r="A120" t="s">
        <v>39</v>
      </c>
      <c r="G120" s="1"/>
      <c r="H120" s="1"/>
      <c r="I120" s="1"/>
      <c r="J120" s="1"/>
    </row>
    <row r="121" spans="1:11" x14ac:dyDescent="0.35">
      <c r="A121" t="s">
        <v>424</v>
      </c>
      <c r="F121" s="138"/>
      <c r="G121" s="1">
        <v>216.1</v>
      </c>
      <c r="H121" s="1"/>
      <c r="I121" s="1"/>
      <c r="J121" s="1">
        <v>153.6</v>
      </c>
    </row>
    <row r="122" spans="1:11" x14ac:dyDescent="0.35">
      <c r="A122" t="s">
        <v>33</v>
      </c>
      <c r="F122" s="138"/>
      <c r="G122" s="1">
        <f ca="1">G126-G121-G118</f>
        <v>602.90000000001362</v>
      </c>
      <c r="H122" s="1"/>
      <c r="I122" s="1"/>
      <c r="J122" s="1">
        <f ca="1">J126-J121-J119-J118</f>
        <v>370.20000000000215</v>
      </c>
    </row>
    <row r="123" spans="1:11" x14ac:dyDescent="0.35">
      <c r="A123" t="s">
        <v>425</v>
      </c>
      <c r="F123" s="138"/>
      <c r="G123" s="1">
        <f ca="1">G78/100*G122*G95</f>
        <v>314.02398445657064</v>
      </c>
      <c r="H123" s="1"/>
      <c r="I123" s="1"/>
      <c r="J123" s="1">
        <f ca="1">J78/100*J122*J95</f>
        <v>74.26677107560748</v>
      </c>
    </row>
    <row r="124" spans="1:11" x14ac:dyDescent="0.35">
      <c r="A124" t="s">
        <v>426</v>
      </c>
      <c r="F124" s="138"/>
      <c r="G124" s="1">
        <f ca="1">G78/100*G122*(1-G95)</f>
        <v>149.66640554343985</v>
      </c>
      <c r="H124" s="1"/>
      <c r="I124" s="1"/>
      <c r="J124" s="1">
        <f ca="1">J78/100*J122*(1-J95)</f>
        <v>154.62788892439383</v>
      </c>
    </row>
    <row r="125" spans="1:11" x14ac:dyDescent="0.35">
      <c r="A125" t="s">
        <v>22</v>
      </c>
      <c r="F125" s="138"/>
      <c r="G125" s="1">
        <f ca="1">G122-G123-G124</f>
        <v>139.20961000000312</v>
      </c>
      <c r="H125" s="1"/>
      <c r="I125" s="1"/>
      <c r="J125" s="1">
        <f ca="1">J122-J123-J124</f>
        <v>141.30534000000083</v>
      </c>
      <c r="K125" s="2"/>
    </row>
    <row r="126" spans="1:11" x14ac:dyDescent="0.35">
      <c r="A126" t="s">
        <v>40</v>
      </c>
      <c r="G126" s="1">
        <f ca="1">G118+G119+G121+G122</f>
        <v>1000.0000000000136</v>
      </c>
      <c r="H126" s="1"/>
      <c r="I126" s="1"/>
      <c r="J126" s="1">
        <f ca="1">J118+J119+J121+J122</f>
        <v>1000.0000000000023</v>
      </c>
    </row>
    <row r="127" spans="1:11" x14ac:dyDescent="0.35">
      <c r="G127" s="1"/>
      <c r="H127" s="1"/>
      <c r="I127" s="1"/>
      <c r="J127" s="1"/>
    </row>
    <row r="128" spans="1:11" x14ac:dyDescent="0.35">
      <c r="G128" s="1"/>
      <c r="H128" s="1"/>
      <c r="I128" s="1"/>
      <c r="J128" s="1"/>
    </row>
    <row r="129" spans="1:11" x14ac:dyDescent="0.35">
      <c r="A129" t="s">
        <v>46</v>
      </c>
      <c r="G129" s="1"/>
      <c r="H129" s="1"/>
      <c r="I129" s="1"/>
      <c r="J129" s="1"/>
    </row>
    <row r="130" spans="1:11" x14ac:dyDescent="0.35">
      <c r="A130" t="s">
        <v>427</v>
      </c>
      <c r="G130" s="1">
        <f>G93</f>
        <v>14.987013044188641</v>
      </c>
      <c r="H130" s="1"/>
      <c r="I130" s="1"/>
      <c r="J130" s="1">
        <f>J93</f>
        <v>2.343903571622894</v>
      </c>
    </row>
    <row r="131" spans="1:11" x14ac:dyDescent="0.35">
      <c r="A131" t="s">
        <v>428</v>
      </c>
      <c r="G131" s="1">
        <v>100</v>
      </c>
      <c r="H131" s="1"/>
      <c r="I131" s="1"/>
      <c r="J131" s="1">
        <v>50</v>
      </c>
    </row>
    <row r="132" spans="1:11" x14ac:dyDescent="0.35">
      <c r="A132" t="s">
        <v>26</v>
      </c>
      <c r="G132" s="1">
        <f>G130/G131*100</f>
        <v>14.987013044188641</v>
      </c>
      <c r="H132" s="1"/>
      <c r="I132" s="1"/>
      <c r="J132" s="1">
        <f>J130/J131*100</f>
        <v>4.687807143245788</v>
      </c>
    </row>
    <row r="133" spans="1:11" x14ac:dyDescent="0.35">
      <c r="A133" t="s">
        <v>429</v>
      </c>
      <c r="G133" s="1">
        <f>G94</f>
        <v>7.2106823549581911</v>
      </c>
      <c r="H133" s="1"/>
      <c r="I133" s="1"/>
      <c r="J133" s="1">
        <f>J94</f>
        <v>0.74525319857916705</v>
      </c>
    </row>
    <row r="134" spans="1:11" x14ac:dyDescent="0.35">
      <c r="A134" t="s">
        <v>20</v>
      </c>
      <c r="G134" s="1">
        <v>100</v>
      </c>
      <c r="H134" s="1"/>
      <c r="I134" s="1"/>
      <c r="J134" s="1">
        <v>60.1</v>
      </c>
    </row>
    <row r="135" spans="1:11" x14ac:dyDescent="0.35">
      <c r="A135" t="s">
        <v>23</v>
      </c>
      <c r="G135" s="1">
        <v>23.9</v>
      </c>
      <c r="H135" s="1"/>
      <c r="I135" s="1"/>
      <c r="J135" s="1">
        <v>33.15</v>
      </c>
    </row>
    <row r="136" spans="1:11" x14ac:dyDescent="0.35">
      <c r="A136" t="s">
        <v>25</v>
      </c>
      <c r="G136" s="1">
        <f>G134*G135/100</f>
        <v>23.9</v>
      </c>
      <c r="H136" s="1"/>
      <c r="I136" s="1"/>
      <c r="J136" s="1">
        <f>J134*J135/100</f>
        <v>19.92315</v>
      </c>
    </row>
    <row r="137" spans="1:11" x14ac:dyDescent="0.35">
      <c r="G137" s="1"/>
      <c r="H137" s="1"/>
      <c r="I137" s="1"/>
      <c r="J137" s="1"/>
    </row>
    <row r="138" spans="1:11" x14ac:dyDescent="0.35">
      <c r="A138" t="s">
        <v>430</v>
      </c>
      <c r="G138" s="1"/>
      <c r="H138" s="1"/>
      <c r="I138" s="1"/>
      <c r="J138" s="1"/>
    </row>
    <row r="139" spans="1:11" x14ac:dyDescent="0.35">
      <c r="A139" t="s">
        <v>431</v>
      </c>
      <c r="G139" s="1"/>
      <c r="H139" s="1"/>
      <c r="I139" s="1"/>
      <c r="J139" s="1"/>
    </row>
    <row r="140" spans="1:11" x14ac:dyDescent="0.35">
      <c r="A140" t="s">
        <v>24</v>
      </c>
      <c r="G140" s="1">
        <f ca="1">G141+G142</f>
        <v>41.709279015713953</v>
      </c>
      <c r="H140" s="1"/>
      <c r="I140" s="1"/>
      <c r="J140" s="1">
        <f ca="1">J141+J142</f>
        <v>239.16877663936447</v>
      </c>
    </row>
    <row r="141" spans="1:11" x14ac:dyDescent="0.35">
      <c r="A141" t="s">
        <v>432</v>
      </c>
      <c r="G141" s="1">
        <f ca="1">G123/G130</f>
        <v>20.953073406334056</v>
      </c>
      <c r="H141" s="1"/>
      <c r="I141" s="1"/>
      <c r="J141" s="1">
        <f ca="1">J123/J130</f>
        <v>31.685079529183</v>
      </c>
      <c r="K141" s="188"/>
    </row>
    <row r="142" spans="1:11" x14ac:dyDescent="0.35">
      <c r="A142" t="s">
        <v>433</v>
      </c>
      <c r="G142" s="1">
        <f ca="1">G124/G133</f>
        <v>20.756205609379897</v>
      </c>
      <c r="H142" s="1"/>
      <c r="I142" s="1"/>
      <c r="J142" s="1">
        <f ca="1">J124/J133</f>
        <v>207.48369711018148</v>
      </c>
    </row>
    <row r="143" spans="1:11" x14ac:dyDescent="0.35">
      <c r="A143" t="s">
        <v>27</v>
      </c>
      <c r="G143" s="1">
        <f ca="1">(G123/G132)</f>
        <v>20.953073406334056</v>
      </c>
      <c r="H143" s="1"/>
      <c r="I143" s="1"/>
      <c r="J143" s="1">
        <f ca="1">J123/J132</f>
        <v>15.8425397645915</v>
      </c>
    </row>
    <row r="144" spans="1:11" x14ac:dyDescent="0.35">
      <c r="A144" t="s">
        <v>19</v>
      </c>
      <c r="G144" s="1">
        <f ca="1">G125/(G134*G135/100)</f>
        <v>5.8246698744771184</v>
      </c>
      <c r="H144" s="1"/>
      <c r="I144" s="1"/>
      <c r="J144" s="1">
        <f ca="1">J125/(J134*J135/100)</f>
        <v>7.0925200081312862</v>
      </c>
    </row>
    <row r="145" spans="1:12" x14ac:dyDescent="0.35">
      <c r="A145" t="s">
        <v>434</v>
      </c>
      <c r="G145" s="1">
        <f ca="1">G125/G135</f>
        <v>5.8246698744771184</v>
      </c>
      <c r="H145" s="1"/>
      <c r="I145" s="1"/>
      <c r="J145" s="1">
        <f ca="1">J125/J135</f>
        <v>4.2626045248869033</v>
      </c>
      <c r="K145" t="s">
        <v>366</v>
      </c>
    </row>
    <row r="147" spans="1:12" x14ac:dyDescent="0.35">
      <c r="A147" t="s">
        <v>435</v>
      </c>
    </row>
    <row r="148" spans="1:12" x14ac:dyDescent="0.35">
      <c r="A148" t="s">
        <v>11</v>
      </c>
    </row>
    <row r="149" spans="1:12" x14ac:dyDescent="0.35">
      <c r="A149" t="s">
        <v>4</v>
      </c>
      <c r="G149">
        <v>0.1</v>
      </c>
      <c r="J149">
        <v>0.1</v>
      </c>
    </row>
    <row r="150" spans="1:12" x14ac:dyDescent="0.35">
      <c r="A150" s="7" t="s">
        <v>436</v>
      </c>
      <c r="B150" s="7"/>
      <c r="C150" s="7"/>
      <c r="D150" s="7"/>
      <c r="E150" s="7"/>
      <c r="F150" s="7"/>
      <c r="G150" s="7">
        <v>0.5</v>
      </c>
      <c r="H150" s="7"/>
      <c r="I150" s="7"/>
      <c r="J150" s="7">
        <v>0.5</v>
      </c>
      <c r="K150" s="7"/>
      <c r="L150" s="7"/>
    </row>
    <row r="152" spans="1:12" x14ac:dyDescent="0.35">
      <c r="A152" t="s">
        <v>16</v>
      </c>
    </row>
    <row r="153" spans="1:12" x14ac:dyDescent="0.35">
      <c r="A153" t="s">
        <v>5</v>
      </c>
      <c r="G153" s="2">
        <f>(1/G149)-1</f>
        <v>9</v>
      </c>
      <c r="H153" s="2"/>
      <c r="I153" s="2"/>
      <c r="J153" s="2">
        <f>(1/J149)-1</f>
        <v>9</v>
      </c>
    </row>
    <row r="154" spans="1:12" x14ac:dyDescent="0.35">
      <c r="A154" t="s">
        <v>7</v>
      </c>
      <c r="G154" s="2">
        <f>(1/G150)-1</f>
        <v>1</v>
      </c>
      <c r="H154" s="2"/>
      <c r="I154" s="2"/>
      <c r="J154" s="2">
        <f>(1/J150)-1</f>
        <v>1</v>
      </c>
    </row>
    <row r="155" spans="1:12" x14ac:dyDescent="0.35">
      <c r="G155" s="188"/>
      <c r="H155" s="188"/>
      <c r="I155" s="188"/>
      <c r="J155" s="188"/>
    </row>
    <row r="156" spans="1:12" x14ac:dyDescent="0.35">
      <c r="A156" t="s">
        <v>9</v>
      </c>
      <c r="G156" s="188"/>
      <c r="H156" s="188"/>
      <c r="I156" s="188"/>
      <c r="J156" s="188"/>
    </row>
    <row r="157" spans="1:12" x14ac:dyDescent="0.35">
      <c r="A157" t="s">
        <v>6</v>
      </c>
      <c r="G157" s="189">
        <f ca="1">((G125/G123*(G144/G143)^G153))/(1+((G125/G123*(G144/G143)^G153)))</f>
        <v>4.3945733791587216E-6</v>
      </c>
      <c r="H157" s="189"/>
      <c r="I157" s="189"/>
      <c r="J157" s="189">
        <f ca="1">((J125/J123*(J144/J143)^J153))/(1+((J125/J123*(J144/J143)^J153)))</f>
        <v>1.372617009207273E-3</v>
      </c>
    </row>
    <row r="158" spans="1:12" x14ac:dyDescent="0.35">
      <c r="A158" t="s">
        <v>437</v>
      </c>
      <c r="G158" s="188">
        <f ca="1">(G124/(G123+G125)*(G142/(G143+G144))^G154)/(1+(G124/(G123+G125)*(G142/(G143+G144))^G154))</f>
        <v>0.2037978402728417</v>
      </c>
      <c r="H158" s="188"/>
      <c r="I158" s="188"/>
      <c r="J158" s="188">
        <f ca="1">(J124/(J123+J125)*(J142/(J143+J144))^J154)/(1+(J124/(J123+J125)*(J142/(J143+J144))^J154))</f>
        <v>0.86647124464991254</v>
      </c>
    </row>
    <row r="159" spans="1:12" x14ac:dyDescent="0.35">
      <c r="G159" s="188"/>
      <c r="H159" s="188"/>
      <c r="I159" s="188"/>
      <c r="J159" s="188"/>
    </row>
    <row r="160" spans="1:12" x14ac:dyDescent="0.35">
      <c r="A160" t="s">
        <v>10</v>
      </c>
      <c r="G160" s="188"/>
      <c r="H160" s="188"/>
      <c r="I160" s="188"/>
      <c r="J160" s="188"/>
      <c r="L160" s="188"/>
    </row>
    <row r="161" spans="1:15" x14ac:dyDescent="0.35">
      <c r="A161" t="s">
        <v>5</v>
      </c>
      <c r="G161" s="188">
        <f ca="1">(G143+G144)/(((G157*(G144^(-1*G153)))+((1-G157)*(G143^(-1*G153))))^(-1/G153))</f>
        <v>1.3311672152260985</v>
      </c>
      <c r="H161" s="188"/>
      <c r="I161" s="188"/>
      <c r="J161" s="188">
        <f ca="1">(J143+J144)/(((J157*(J144^(-1*J153)))+((1-J157)*(J143^(-1*J153))))^(-1/J153))</f>
        <v>1.6294115594902447</v>
      </c>
      <c r="L161" s="188"/>
    </row>
    <row r="162" spans="1:15" x14ac:dyDescent="0.35">
      <c r="A162" t="s">
        <v>8</v>
      </c>
      <c r="G162" s="188">
        <f ca="1">1/(((G158*(G142^(-1*G154)))+((1-G158)*((G143+G144)^(-1*G154))))^(-1/G154))</f>
        <v>3.9552375162524883E-2</v>
      </c>
      <c r="H162" s="188"/>
      <c r="I162" s="188"/>
      <c r="J162" s="188">
        <f ca="1">1/(((J158*(J142^(-1*J154)))+((1-J158)*((J143+J144)^(-1*J154))))^(-1/J154))</f>
        <v>9.9981296520934015E-3</v>
      </c>
      <c r="L162" s="188"/>
    </row>
    <row r="163" spans="1:15" x14ac:dyDescent="0.35">
      <c r="A163" t="s">
        <v>42</v>
      </c>
    </row>
    <row r="164" spans="1:15" x14ac:dyDescent="0.35">
      <c r="A164" t="s">
        <v>55</v>
      </c>
    </row>
    <row r="165" spans="1:15" x14ac:dyDescent="0.35">
      <c r="F165" t="s">
        <v>399</v>
      </c>
      <c r="I165" t="s">
        <v>398</v>
      </c>
    </row>
    <row r="166" spans="1:15" x14ac:dyDescent="0.35">
      <c r="F166" t="s">
        <v>401</v>
      </c>
      <c r="I166" t="s">
        <v>402</v>
      </c>
    </row>
    <row r="167" spans="1:15" x14ac:dyDescent="0.35">
      <c r="A167" t="s">
        <v>17</v>
      </c>
      <c r="G167" s="2">
        <f ca="1">(1/J161)*(((G136/(J157^(-1/J153)))^(J153/(J153+1))+((G132/((1-J157)^(-1/J153)))^(J153/(J153+1))))^((J153+1)/J153))</f>
        <v>17.533996147209816</v>
      </c>
      <c r="H167" s="2"/>
      <c r="I167" s="2"/>
      <c r="J167" s="2">
        <f ca="1">(1/G161)*((((J136/(G157^(-1/G153)))^(G153/(G153+1)))+((J132/((1-G157)^(-1/G153)))^(G153/(G153+1))))^((G153+1)/G153))</f>
        <v>7.9082049655920486</v>
      </c>
    </row>
    <row r="168" spans="1:15" x14ac:dyDescent="0.35">
      <c r="A168" t="s">
        <v>438</v>
      </c>
      <c r="G168" s="2">
        <f ca="1">(1/J162)*((((G133/(J158^(-1/J154)))^(J154/(J154+1)))+((G167/((1-J158)^(-1/J154)))^(J154/(J154+1))))^((J154+1)/J154))</f>
        <v>1624.1504245365716</v>
      </c>
      <c r="H168" s="2"/>
      <c r="I168" s="2"/>
      <c r="J168" s="2">
        <f ca="1">(1/G162)*((((J133/(G158^(-1/G154)))^(G154/(G154+1)))+((J167/((1-G158)^(-1/G154)))^(G154/(G154+1))))^((G154+1)/G154))</f>
        <v>212.48398894749428</v>
      </c>
    </row>
    <row r="169" spans="1:15" x14ac:dyDescent="0.35">
      <c r="G169" s="190"/>
      <c r="H169" s="190"/>
      <c r="I169" s="190"/>
      <c r="J169" s="190"/>
    </row>
    <row r="170" spans="1:15" x14ac:dyDescent="0.35">
      <c r="A170" s="191" t="s">
        <v>439</v>
      </c>
      <c r="B170" s="191"/>
      <c r="C170" s="191"/>
      <c r="D170" s="191"/>
      <c r="E170" s="191"/>
      <c r="F170" s="191"/>
      <c r="G170" s="192">
        <f ca="1">((1+$J$211)*$J$118+(1-$J$212)*$J$119+$J$121+$G$168)/1000</f>
        <v>2.2601368245365716</v>
      </c>
      <c r="H170" s="192"/>
      <c r="I170" s="192"/>
      <c r="J170" s="193">
        <f ca="1">((1+J211)*G118+G121+J168)/1000</f>
        <v>0.62297798894749423</v>
      </c>
      <c r="K170" s="191"/>
      <c r="L170" s="194" t="s">
        <v>490</v>
      </c>
      <c r="M170" s="195"/>
      <c r="N170" s="195"/>
      <c r="O170" s="195"/>
    </row>
    <row r="171" spans="1:15" x14ac:dyDescent="0.35">
      <c r="L171" s="194" t="s">
        <v>491</v>
      </c>
      <c r="M171" s="195"/>
      <c r="N171" s="195"/>
    </row>
    <row r="172" spans="1:15" x14ac:dyDescent="0.35">
      <c r="A172" t="s">
        <v>51</v>
      </c>
      <c r="L172" s="194" t="s">
        <v>492</v>
      </c>
      <c r="M172" s="195"/>
      <c r="N172" s="195"/>
    </row>
    <row r="173" spans="1:15" x14ac:dyDescent="0.35">
      <c r="G173" t="s">
        <v>41</v>
      </c>
      <c r="J173" t="s">
        <v>41</v>
      </c>
      <c r="L173" s="194" t="s">
        <v>493</v>
      </c>
      <c r="M173" s="195"/>
      <c r="N173" s="195"/>
    </row>
    <row r="174" spans="1:15" x14ac:dyDescent="0.35">
      <c r="A174" t="s">
        <v>38</v>
      </c>
      <c r="L174" s="194" t="s">
        <v>494</v>
      </c>
      <c r="M174" s="195"/>
      <c r="N174" s="195"/>
    </row>
    <row r="175" spans="1:15" x14ac:dyDescent="0.35">
      <c r="A175" t="s">
        <v>440</v>
      </c>
      <c r="F175" s="1">
        <f>(1+$J$211)*$J$118</f>
        <v>300.61260000000004</v>
      </c>
      <c r="G175" s="1">
        <f ca="1">(1+$J$211)*$J$118/(G170*1000)*100</f>
        <v>13.300637232953319</v>
      </c>
      <c r="H175" s="1"/>
      <c r="I175" s="193">
        <f>(1+$J$211)*$G$118</f>
        <v>194.39400000000001</v>
      </c>
      <c r="J175" s="193">
        <f ca="1">(1+$J$211)*$G$118/(J170*1000)*100</f>
        <v>31.203991705778211</v>
      </c>
      <c r="L175" s="194" t="s">
        <v>495</v>
      </c>
      <c r="M175" s="195"/>
      <c r="N175" s="195"/>
    </row>
    <row r="176" spans="1:15" x14ac:dyDescent="0.35">
      <c r="A176" t="s">
        <v>441</v>
      </c>
      <c r="F176" s="1">
        <f>((1-$J$212)*$J$119)</f>
        <v>181.77380000000002</v>
      </c>
      <c r="G176" s="1">
        <f ca="1">((1-$J$212)*$J$119)/(G170*1000)*100</f>
        <v>8.0426015817547558</v>
      </c>
      <c r="H176" s="1"/>
      <c r="I176" s="1">
        <f>((1-$J$212)*$G$119)</f>
        <v>0</v>
      </c>
      <c r="J176" s="1">
        <f ca="1">((1-$J$212)*$G$119)/(J170*1000)*100</f>
        <v>0</v>
      </c>
      <c r="L176" s="194" t="s">
        <v>496</v>
      </c>
      <c r="M176" s="195"/>
      <c r="N176" s="195"/>
    </row>
    <row r="177" spans="1:17" x14ac:dyDescent="0.35">
      <c r="A177" t="s">
        <v>39</v>
      </c>
      <c r="F177" s="1"/>
      <c r="G177" s="1"/>
      <c r="H177" s="1"/>
      <c r="I177" s="1"/>
      <c r="J177" s="1"/>
    </row>
    <row r="178" spans="1:17" x14ac:dyDescent="0.35">
      <c r="A178" t="s">
        <v>442</v>
      </c>
      <c r="F178" s="192">
        <f>$J$121</f>
        <v>153.6</v>
      </c>
      <c r="G178" s="192">
        <f ca="1">$J$121/(G170*1000)*100</f>
        <v>6.7960487317618403</v>
      </c>
      <c r="H178" s="192"/>
      <c r="I178" s="192">
        <f>$G$121</f>
        <v>216.1</v>
      </c>
      <c r="J178" s="192">
        <f ca="1">$G$121/(J170*1000)*100</f>
        <v>34.688223955567921</v>
      </c>
      <c r="L178" s="196" t="s">
        <v>497</v>
      </c>
      <c r="M178" s="191"/>
      <c r="N178" s="191"/>
      <c r="O178" s="191"/>
      <c r="P178" s="191"/>
      <c r="Q178" s="191"/>
    </row>
    <row r="179" spans="1:17" x14ac:dyDescent="0.35">
      <c r="A179" t="s">
        <v>33</v>
      </c>
      <c r="F179" s="1">
        <f ca="1">G168</f>
        <v>1624.1504245365716</v>
      </c>
      <c r="G179" s="1">
        <f ca="1">G168/(G170*1000)*100</f>
        <v>71.860712453530084</v>
      </c>
      <c r="H179" s="1"/>
      <c r="I179" s="14">
        <f ca="1">J168</f>
        <v>212.48398894749428</v>
      </c>
      <c r="J179" s="14">
        <f ca="1">J168/(J170*1000)*100</f>
        <v>34.107784338653872</v>
      </c>
      <c r="L179" s="196" t="s">
        <v>498</v>
      </c>
      <c r="M179" s="191"/>
      <c r="N179" s="191"/>
      <c r="O179" s="191"/>
      <c r="P179" s="191"/>
      <c r="Q179" s="191"/>
    </row>
    <row r="180" spans="1:17" x14ac:dyDescent="0.35">
      <c r="A180" t="s">
        <v>443</v>
      </c>
      <c r="F180" s="1">
        <f ca="1">G180*$G$170*10</f>
        <v>345.02057191267062</v>
      </c>
      <c r="G180" s="1">
        <f ca="1">G191*G130/(G170*1000)*100</f>
        <v>15.265472787622722</v>
      </c>
      <c r="I180" s="1">
        <f ca="1">J191*J130</f>
        <v>88.801550814695489</v>
      </c>
      <c r="J180" s="1">
        <f ca="1">J191*J130/(J170*1000)*100</f>
        <v>14.254364101165676</v>
      </c>
    </row>
    <row r="181" spans="1:17" x14ac:dyDescent="0.35">
      <c r="A181" t="s">
        <v>444</v>
      </c>
      <c r="F181" s="1">
        <f ca="1">G181*$G$170*10</f>
        <v>1007.439563850168</v>
      </c>
      <c r="G181" s="1">
        <f ca="1">G192*G133/(G170*1000)*100</f>
        <v>44.574273243689035</v>
      </c>
      <c r="H181" s="1"/>
      <c r="I181" s="1">
        <f ca="1">J192*J133</f>
        <v>28.564625471335074</v>
      </c>
      <c r="J181" s="1">
        <f ca="1">J192*J133/(J170*1000)*100</f>
        <v>4.5851741117843172</v>
      </c>
    </row>
    <row r="182" spans="1:17" x14ac:dyDescent="0.35">
      <c r="A182" t="s">
        <v>12</v>
      </c>
      <c r="F182" s="1">
        <f ca="1">G182*$G$170*10</f>
        <v>271.69028877373285</v>
      </c>
      <c r="G182" s="1">
        <f ca="1">G179-G181-G180</f>
        <v>12.020966422218327</v>
      </c>
      <c r="H182" s="1"/>
      <c r="I182" s="1">
        <f ca="1">J182*$J$170*10</f>
        <v>95.117812661463716</v>
      </c>
      <c r="J182" s="1">
        <f ca="1">J179-J181-J180</f>
        <v>15.268246125703877</v>
      </c>
    </row>
    <row r="183" spans="1:17" x14ac:dyDescent="0.35">
      <c r="A183" t="s">
        <v>40</v>
      </c>
      <c r="F183" s="1">
        <f ca="1">SUM(F175:F179)</f>
        <v>2260.1368245365716</v>
      </c>
      <c r="G183" s="1">
        <f ca="1">SUM(G175:G179)</f>
        <v>100</v>
      </c>
      <c r="H183" s="1"/>
      <c r="I183" s="1">
        <f ca="1">SUM(I175:I179)</f>
        <v>622.97798894749428</v>
      </c>
      <c r="J183" s="1">
        <f ca="1">SUM(J175:J179)</f>
        <v>100</v>
      </c>
    </row>
    <row r="184" spans="1:17" x14ac:dyDescent="0.35">
      <c r="F184" s="1"/>
      <c r="G184" s="1"/>
      <c r="H184" s="1"/>
      <c r="I184" s="1"/>
      <c r="J184" s="1"/>
    </row>
    <row r="185" spans="1:17" x14ac:dyDescent="0.35">
      <c r="A185" t="s">
        <v>13</v>
      </c>
      <c r="F185" s="1"/>
      <c r="G185" s="1"/>
      <c r="H185" s="1"/>
      <c r="I185" s="1"/>
      <c r="J185" s="1"/>
    </row>
    <row r="186" spans="1:17" x14ac:dyDescent="0.35">
      <c r="A186" t="s">
        <v>3</v>
      </c>
      <c r="F186" s="1"/>
      <c r="G186" s="1">
        <f ca="1">((G136/G132)*((1-J157)/J157))^(1/(1+J153))</f>
        <v>2.0251336544138998</v>
      </c>
      <c r="H186" s="1"/>
      <c r="I186" s="1"/>
      <c r="J186" s="1">
        <f ca="1">(J136/J132*(1-G157)/G157)^(1/(1+G153))</f>
        <v>3.967774334932666</v>
      </c>
    </row>
    <row r="187" spans="1:17" x14ac:dyDescent="0.35">
      <c r="A187" t="s">
        <v>445</v>
      </c>
      <c r="F187" s="1"/>
      <c r="G187" s="1">
        <f ca="1">(G133/(G167)*(1-J158)/J158)^(1/(1+J154))</f>
        <v>0.25174337601382762</v>
      </c>
      <c r="H187" s="1"/>
      <c r="I187" s="1"/>
      <c r="J187" s="1">
        <f ca="1">(J133/J167*(1-G158)/G158)^(1/(1+G154))</f>
        <v>0.60677105161588163</v>
      </c>
    </row>
    <row r="188" spans="1:17" x14ac:dyDescent="0.35">
      <c r="F188" s="1"/>
      <c r="G188" s="1"/>
      <c r="H188" s="1"/>
      <c r="I188" s="1"/>
      <c r="J188" s="1"/>
    </row>
    <row r="189" spans="1:17" x14ac:dyDescent="0.35">
      <c r="A189" t="s">
        <v>14</v>
      </c>
      <c r="F189" s="1"/>
      <c r="G189" s="1"/>
      <c r="H189" s="1"/>
      <c r="I189" s="1"/>
      <c r="J189" s="1"/>
    </row>
    <row r="190" spans="1:17" x14ac:dyDescent="0.35">
      <c r="A190" t="s">
        <v>1</v>
      </c>
      <c r="F190" s="1"/>
      <c r="G190" s="1">
        <f ca="1">G191+G192</f>
        <v>162.73617545850277</v>
      </c>
      <c r="H190" s="1"/>
      <c r="I190" s="1"/>
      <c r="J190" s="1">
        <f ca="1">J191+J192</f>
        <v>76.214931829173139</v>
      </c>
    </row>
    <row r="191" spans="1:17" x14ac:dyDescent="0.35">
      <c r="A191" t="s">
        <v>446</v>
      </c>
      <c r="F191" s="1"/>
      <c r="G191" s="1">
        <f ca="1">G193/G131*100</f>
        <v>23.021303237368947</v>
      </c>
      <c r="H191" s="1"/>
      <c r="I191" s="1"/>
      <c r="J191" s="1">
        <f ca="1">J193/J131*100</f>
        <v>37.886179231004043</v>
      </c>
    </row>
    <row r="192" spans="1:17" x14ac:dyDescent="0.35">
      <c r="A192" t="s">
        <v>447</v>
      </c>
      <c r="F192" s="1"/>
      <c r="G192" s="1">
        <f ca="1">G168/(G133+G167*G187)</f>
        <v>139.71487222113382</v>
      </c>
      <c r="H192" s="1"/>
      <c r="I192" s="1"/>
      <c r="J192" s="1">
        <f ca="1">J168/(J133+J167*J187)</f>
        <v>38.328752598169089</v>
      </c>
    </row>
    <row r="193" spans="1:12" x14ac:dyDescent="0.35">
      <c r="A193" t="s">
        <v>2</v>
      </c>
      <c r="F193" s="1"/>
      <c r="G193" s="1">
        <f ca="1">G194*G186</f>
        <v>23.021303237368947</v>
      </c>
      <c r="H193" s="1"/>
      <c r="I193" s="1"/>
      <c r="J193" s="1">
        <f ca="1">J194*J186</f>
        <v>18.943089615502021</v>
      </c>
    </row>
    <row r="194" spans="1:12" x14ac:dyDescent="0.35">
      <c r="A194" t="s">
        <v>0</v>
      </c>
      <c r="F194" s="1"/>
      <c r="G194" s="1">
        <f ca="1">G167/(G136+G132*G186)*(G192*G187)</f>
        <v>11.367794509361218</v>
      </c>
      <c r="H194" s="1"/>
      <c r="I194" s="1"/>
      <c r="J194" s="1">
        <f ca="1">J167/(J136+J132*J186)*(J192*J187)</f>
        <v>4.7742356334948894</v>
      </c>
    </row>
    <row r="196" spans="1:12" x14ac:dyDescent="0.35">
      <c r="A196" t="s">
        <v>448</v>
      </c>
      <c r="G196" s="1">
        <f ca="1">(G$140/G$122)/(G$190/G$168)</f>
        <v>0.69044572287288497</v>
      </c>
      <c r="J196" s="1">
        <f ca="1">(J140/J122)/(J190/J168)</f>
        <v>1.8011679599354835</v>
      </c>
    </row>
    <row r="197" spans="1:12" x14ac:dyDescent="0.35">
      <c r="A197" t="s">
        <v>449</v>
      </c>
      <c r="G197" s="1">
        <f ca="1">(G$142/G$122)/(G$192/G$168)</f>
        <v>0.40020848525871267</v>
      </c>
      <c r="J197" s="1">
        <f ca="1">(J$142/J$122)/(J$192/J$168)</f>
        <v>3.1070560575303214</v>
      </c>
    </row>
    <row r="198" spans="1:12" x14ac:dyDescent="0.35">
      <c r="A198" t="s">
        <v>450</v>
      </c>
      <c r="G198" s="1">
        <f ca="1">G$140/(G$190/$G$170)</f>
        <v>0.5792730298760389</v>
      </c>
      <c r="J198" s="1">
        <f ca="1">J$140/(J$190/J170)</f>
        <v>1.95495659333243</v>
      </c>
    </row>
    <row r="199" spans="1:12" x14ac:dyDescent="0.35">
      <c r="A199" t="s">
        <v>451</v>
      </c>
      <c r="G199" s="1">
        <f ca="1">(G$140/$G$144)/($G$190/$G194)</f>
        <v>0.50021127431047252</v>
      </c>
      <c r="J199" s="1">
        <f ca="1">(J$140/$J144)/($J$190/$J$194)</f>
        <v>2.1123588416451171</v>
      </c>
    </row>
    <row r="201" spans="1:12" x14ac:dyDescent="0.35">
      <c r="A201" t="s">
        <v>15</v>
      </c>
    </row>
    <row r="202" spans="1:12" x14ac:dyDescent="0.35">
      <c r="A202" t="s">
        <v>452</v>
      </c>
      <c r="G202" s="1">
        <f ca="1">(G192/G194)/(G142/G144)</f>
        <v>3.4489728460598625</v>
      </c>
      <c r="J202" s="1">
        <f ca="1">1/((J192/J194)/(J142/J144))</f>
        <v>3.6438674685542845</v>
      </c>
    </row>
    <row r="203" spans="1:12" x14ac:dyDescent="0.35">
      <c r="A203" t="s">
        <v>453</v>
      </c>
      <c r="G203" s="1">
        <f ca="1">1/((G142/G143)/(G192/G193))</f>
        <v>6.1265009165985864</v>
      </c>
      <c r="J203" s="1">
        <f ca="1">(J142/J143)/(J192/J193)</f>
        <v>6.4726973456937813</v>
      </c>
    </row>
    <row r="205" spans="1:12" x14ac:dyDescent="0.35">
      <c r="A205" t="s">
        <v>48</v>
      </c>
    </row>
    <row r="207" spans="1:12" x14ac:dyDescent="0.35">
      <c r="A207" t="s">
        <v>43</v>
      </c>
    </row>
    <row r="208" spans="1:12" x14ac:dyDescent="0.35">
      <c r="A208" s="7" t="s">
        <v>454</v>
      </c>
      <c r="B208" s="7"/>
      <c r="C208" s="7"/>
      <c r="D208" s="7"/>
      <c r="E208" s="7"/>
      <c r="F208" s="7"/>
      <c r="G208" s="7"/>
      <c r="H208" s="7"/>
      <c r="I208" s="7"/>
      <c r="J208" s="16">
        <v>0.5</v>
      </c>
      <c r="K208" s="7"/>
      <c r="L208" s="7"/>
    </row>
    <row r="209" spans="1:17" x14ac:dyDescent="0.35">
      <c r="A209" s="7" t="s">
        <v>455</v>
      </c>
      <c r="B209" s="7"/>
      <c r="C209" s="7"/>
      <c r="D209" s="7"/>
      <c r="E209" s="7"/>
      <c r="F209" s="7"/>
      <c r="G209" s="7"/>
      <c r="H209" s="7"/>
      <c r="I209" s="7"/>
      <c r="J209" s="197">
        <v>0.5</v>
      </c>
      <c r="K209" s="7"/>
      <c r="L209" s="15"/>
      <c r="M209" s="7"/>
      <c r="N209" s="7"/>
      <c r="O209" s="7"/>
      <c r="P209" s="7"/>
      <c r="Q209" s="7"/>
    </row>
    <row r="210" spans="1:17" x14ac:dyDescent="0.35">
      <c r="A210" t="s">
        <v>456</v>
      </c>
      <c r="J210" s="138">
        <v>0.09</v>
      </c>
    </row>
    <row r="211" spans="1:17" x14ac:dyDescent="0.35">
      <c r="A211" t="s">
        <v>457</v>
      </c>
      <c r="J211">
        <v>7.3999999999999996E-2</v>
      </c>
    </row>
    <row r="212" spans="1:17" x14ac:dyDescent="0.35">
      <c r="A212" t="s">
        <v>458</v>
      </c>
      <c r="J212">
        <v>7.3999999999999996E-2</v>
      </c>
    </row>
    <row r="213" spans="1:17" x14ac:dyDescent="0.35">
      <c r="A213" t="s">
        <v>459</v>
      </c>
      <c r="J213" s="1">
        <v>1</v>
      </c>
    </row>
    <row r="214" spans="1:17" x14ac:dyDescent="0.35">
      <c r="A214" t="s">
        <v>460</v>
      </c>
      <c r="J214">
        <v>0.14000000000000001</v>
      </c>
    </row>
    <row r="215" spans="1:17" x14ac:dyDescent="0.35">
      <c r="A215" t="s">
        <v>461</v>
      </c>
      <c r="J215" s="2">
        <v>0.5</v>
      </c>
    </row>
    <row r="217" spans="1:17" x14ac:dyDescent="0.35">
      <c r="A217" t="s">
        <v>462</v>
      </c>
    </row>
    <row r="219" spans="1:17" x14ac:dyDescent="0.35">
      <c r="A219" t="s">
        <v>18</v>
      </c>
    </row>
    <row r="220" spans="1:17" x14ac:dyDescent="0.35">
      <c r="B220" t="s">
        <v>463</v>
      </c>
      <c r="J220" s="2">
        <v>200</v>
      </c>
    </row>
    <row r="221" spans="1:17" x14ac:dyDescent="0.35">
      <c r="B221" t="s">
        <v>464</v>
      </c>
      <c r="J221" s="2">
        <f ca="1">-F233</f>
        <v>-95.7756844109784</v>
      </c>
    </row>
    <row r="222" spans="1:17" x14ac:dyDescent="0.35">
      <c r="B222" t="s">
        <v>465</v>
      </c>
      <c r="J222" s="2">
        <f ca="1">G241*J118/1000+G242*G118/1000*(1-J211)</f>
        <v>-19.497462610890032</v>
      </c>
    </row>
    <row r="223" spans="1:17" x14ac:dyDescent="0.35">
      <c r="B223" t="s">
        <v>466</v>
      </c>
      <c r="J223" s="2">
        <f ca="1">I241/1000*J119*(1-J212)</f>
        <v>48.527468961767035</v>
      </c>
    </row>
    <row r="224" spans="1:17" x14ac:dyDescent="0.35">
      <c r="B224" t="s">
        <v>467</v>
      </c>
      <c r="J224" s="2">
        <f ca="1">J220-J221+J222-J223-J225</f>
        <v>171.59243765702666</v>
      </c>
    </row>
    <row r="225" spans="1:17" x14ac:dyDescent="0.35">
      <c r="A225" s="7"/>
      <c r="B225" s="7" t="s">
        <v>468</v>
      </c>
      <c r="C225" s="7"/>
      <c r="D225" s="7"/>
      <c r="E225" s="7"/>
      <c r="F225" s="7"/>
      <c r="G225" s="7"/>
      <c r="H225" s="7"/>
      <c r="I225" s="7"/>
      <c r="J225" s="197">
        <f>G17</f>
        <v>56.158315181294682</v>
      </c>
      <c r="K225" s="7"/>
      <c r="L225" s="15"/>
      <c r="M225" s="7"/>
      <c r="N225" s="7"/>
      <c r="O225" s="7"/>
      <c r="P225" s="7"/>
    </row>
    <row r="227" spans="1:17" x14ac:dyDescent="0.35">
      <c r="A227" t="s">
        <v>469</v>
      </c>
    </row>
    <row r="229" spans="1:17" x14ac:dyDescent="0.35">
      <c r="B229" t="s">
        <v>470</v>
      </c>
      <c r="E229" t="s">
        <v>56</v>
      </c>
      <c r="F229" t="s">
        <v>57</v>
      </c>
      <c r="G229" t="s">
        <v>49</v>
      </c>
    </row>
    <row r="230" spans="1:17" x14ac:dyDescent="0.35">
      <c r="B230" t="s">
        <v>471</v>
      </c>
      <c r="E230" s="1">
        <f ca="1">E14+E15-J222</f>
        <v>249.46530682195683</v>
      </c>
      <c r="F230" s="1">
        <f>C14+C15</f>
        <v>57.913938000000023</v>
      </c>
      <c r="G230" s="1">
        <f ca="1">E230-F230</f>
        <v>191.5513688219568</v>
      </c>
    </row>
    <row r="231" spans="1:17" x14ac:dyDescent="0.35">
      <c r="B231" t="s">
        <v>472</v>
      </c>
      <c r="E231" s="1">
        <v>0</v>
      </c>
      <c r="F231" s="1">
        <f ca="1">F234-F230</f>
        <v>191.5513688219568</v>
      </c>
      <c r="G231" s="1">
        <f ca="1">E231-F231</f>
        <v>-191.5513688219568</v>
      </c>
    </row>
    <row r="232" spans="1:17" x14ac:dyDescent="0.35">
      <c r="B232" t="s">
        <v>473</v>
      </c>
      <c r="E232" s="1"/>
      <c r="F232" s="1">
        <f ca="1">F231-F233</f>
        <v>95.7756844109784</v>
      </c>
      <c r="G232" s="1"/>
    </row>
    <row r="233" spans="1:17" x14ac:dyDescent="0.35">
      <c r="B233" t="s">
        <v>28</v>
      </c>
      <c r="E233" s="1"/>
      <c r="F233" s="1">
        <f ca="1">F231*J209</f>
        <v>95.7756844109784</v>
      </c>
      <c r="G233" s="1"/>
    </row>
    <row r="234" spans="1:17" x14ac:dyDescent="0.35">
      <c r="B234" t="s">
        <v>474</v>
      </c>
      <c r="E234" s="1">
        <f ca="1">E230+E231</f>
        <v>249.46530682195683</v>
      </c>
      <c r="F234" s="1">
        <f ca="1">E234-G234</f>
        <v>249.46530682195683</v>
      </c>
      <c r="G234" s="1">
        <f>G17-J225</f>
        <v>0</v>
      </c>
    </row>
    <row r="237" spans="1:17" x14ac:dyDescent="0.35">
      <c r="A237" t="s">
        <v>50</v>
      </c>
    </row>
    <row r="238" spans="1:17" x14ac:dyDescent="0.35">
      <c r="K238" s="198" t="s">
        <v>499</v>
      </c>
      <c r="L238" s="192"/>
      <c r="M238" s="191"/>
      <c r="N238" s="191"/>
      <c r="O238" s="191"/>
      <c r="P238" s="191"/>
      <c r="Q238" s="191"/>
    </row>
    <row r="239" spans="1:17" x14ac:dyDescent="0.35">
      <c r="A239" t="s">
        <v>475</v>
      </c>
      <c r="G239" t="s">
        <v>53</v>
      </c>
      <c r="I239" t="s">
        <v>54</v>
      </c>
      <c r="K239" s="196" t="s">
        <v>500</v>
      </c>
      <c r="L239" s="191"/>
      <c r="M239" s="191"/>
      <c r="N239" s="191"/>
      <c r="O239" s="191"/>
      <c r="P239" s="191"/>
      <c r="Q239" s="191"/>
    </row>
    <row r="240" spans="1:17" x14ac:dyDescent="0.35">
      <c r="G240" t="s">
        <v>52</v>
      </c>
      <c r="I240" t="s">
        <v>52</v>
      </c>
      <c r="K240" s="196" t="s">
        <v>501</v>
      </c>
      <c r="L240" s="191"/>
      <c r="M240" s="191"/>
      <c r="N240" s="191"/>
      <c r="O240" s="191"/>
      <c r="P240" s="191"/>
      <c r="Q240" s="191"/>
    </row>
    <row r="241" spans="1:20" x14ac:dyDescent="0.35">
      <c r="A241" t="s">
        <v>476</v>
      </c>
      <c r="G241" s="199">
        <f ca="1">(-F233/G170-J220*(EXP(-J208*LN(G170/((1+J211)*(1+J214))))))*(1-J210)</f>
        <v>-172.51710598303902</v>
      </c>
      <c r="H241" s="199"/>
      <c r="I241" s="199">
        <f ca="1">((F233/G170*EXP(-J208*LN(1/(G170*(1+J211)*(1+J213)))))+J220)*(1-J210)</f>
        <v>266.96624575030631</v>
      </c>
      <c r="J241" s="1"/>
    </row>
    <row r="242" spans="1:20" x14ac:dyDescent="0.35">
      <c r="A242" t="s">
        <v>477</v>
      </c>
      <c r="G242" s="199">
        <f ca="1">(J224+(1-J212)*J119/1000*(G241+I241))*(1-J210)</f>
        <v>171.77234319632109</v>
      </c>
      <c r="H242" s="199"/>
      <c r="I242" s="199">
        <f ca="1">-(1-J210)*J215*(J224+J223)</f>
        <v>-100.15455751155113</v>
      </c>
      <c r="J242" s="1"/>
      <c r="K242" s="70" t="s">
        <v>502</v>
      </c>
      <c r="L242" s="3"/>
      <c r="M242" s="3"/>
      <c r="N242" s="3"/>
      <c r="O242" s="3"/>
      <c r="P242" s="3"/>
      <c r="Q242" s="3"/>
      <c r="R242" s="3"/>
      <c r="S242" s="3"/>
      <c r="T242" s="3"/>
    </row>
    <row r="243" spans="1:20" x14ac:dyDescent="0.35">
      <c r="A243" t="s">
        <v>35</v>
      </c>
      <c r="G243" s="2">
        <f ca="1">G241*G170+G242</f>
        <v>-218.13992089842387</v>
      </c>
      <c r="I243" s="2">
        <f ca="1">I241+I242*J170</f>
        <v>204.57216092783403</v>
      </c>
    </row>
    <row r="244" spans="1:20" x14ac:dyDescent="0.35">
      <c r="A244" t="s">
        <v>478</v>
      </c>
      <c r="G244" s="2">
        <f ca="1">G243/E26*100</f>
        <v>-4.6355037106127099</v>
      </c>
      <c r="I244" s="2">
        <f ca="1">I243/G26*100</f>
        <v>22.578324929508881</v>
      </c>
    </row>
    <row r="245" spans="1:20" x14ac:dyDescent="0.35">
      <c r="L245" s="7"/>
      <c r="M245" s="7"/>
      <c r="N245" s="7"/>
      <c r="O245" s="7"/>
      <c r="P245" s="7"/>
      <c r="Q245" s="7"/>
      <c r="R245" s="7"/>
      <c r="S245" s="7"/>
    </row>
    <row r="247" spans="1:20" x14ac:dyDescent="0.35">
      <c r="A247" t="s">
        <v>479</v>
      </c>
    </row>
    <row r="249" spans="1:20" x14ac:dyDescent="0.35">
      <c r="A249" t="s">
        <v>32</v>
      </c>
      <c r="F249" s="2"/>
      <c r="G249" s="2">
        <f ca="1">(G241*G168+G242*G122)/1000</f>
        <v>-176.63218520910922</v>
      </c>
      <c r="H249" s="2"/>
      <c r="I249" s="2">
        <f ca="1">(I241*J122+I242*J168)/1000</f>
        <v>77.549664285438368</v>
      </c>
    </row>
    <row r="250" spans="1:20" x14ac:dyDescent="0.35">
      <c r="A250" t="s">
        <v>480</v>
      </c>
      <c r="G250" s="2">
        <f ca="1">G249/E25*100</f>
        <v>-8.8206275791194564</v>
      </c>
      <c r="H250" s="2"/>
      <c r="I250" s="2">
        <f ca="1">I249/G25*100</f>
        <v>22.150964916615287</v>
      </c>
    </row>
    <row r="253" spans="1:20" x14ac:dyDescent="0.35">
      <c r="A253" t="s">
        <v>143</v>
      </c>
      <c r="F253" s="2"/>
      <c r="G253" s="2"/>
      <c r="H253" s="2"/>
      <c r="I253" s="2"/>
    </row>
    <row r="254" spans="1:20" x14ac:dyDescent="0.35">
      <c r="F254" s="2"/>
      <c r="G254" s="2"/>
      <c r="H254" s="2"/>
      <c r="I254" s="2"/>
    </row>
    <row r="255" spans="1:20" x14ac:dyDescent="0.35">
      <c r="F255" s="2"/>
      <c r="G255" s="2"/>
      <c r="J255" s="2"/>
    </row>
    <row r="256" spans="1:20" x14ac:dyDescent="0.35">
      <c r="E256" s="2" t="s">
        <v>21</v>
      </c>
      <c r="F256" s="2"/>
      <c r="G256" s="2"/>
      <c r="I256" s="2" t="s">
        <v>31</v>
      </c>
      <c r="J256" s="2"/>
    </row>
    <row r="257" spans="1:12" x14ac:dyDescent="0.35">
      <c r="A257" t="s">
        <v>44</v>
      </c>
      <c r="E257" t="s">
        <v>61</v>
      </c>
      <c r="F257" s="2" t="s">
        <v>58</v>
      </c>
      <c r="G257" s="2" t="s">
        <v>60</v>
      </c>
      <c r="I257" t="s">
        <v>61</v>
      </c>
      <c r="J257" s="2" t="s">
        <v>58</v>
      </c>
      <c r="K257" s="2" t="s">
        <v>60</v>
      </c>
    </row>
    <row r="258" spans="1:12" x14ac:dyDescent="0.35">
      <c r="A258" t="s">
        <v>34</v>
      </c>
      <c r="E258" s="1">
        <f ca="1">G242*G143/1000</f>
        <v>3.599158516170522</v>
      </c>
      <c r="F258" s="1">
        <f ca="1">G241*G193/1000</f>
        <v>-3.9715686104688581</v>
      </c>
      <c r="G258" s="1">
        <f ca="1">(G241*G193+G242*G143)/1000</f>
        <v>-0.37241009429833594</v>
      </c>
      <c r="H258" s="1"/>
      <c r="I258" s="1">
        <f ca="1">I242*J193/1000</f>
        <v>-1.8972367583422642</v>
      </c>
      <c r="J258" s="1">
        <f ca="1">I241*J143/1000</f>
        <v>4.2294233641029342</v>
      </c>
      <c r="K258" s="1">
        <f ca="1">(I241*J143+I242*J193)/1000</f>
        <v>2.3321866057606697</v>
      </c>
    </row>
    <row r="259" spans="1:12" x14ac:dyDescent="0.35">
      <c r="A259" t="s">
        <v>481</v>
      </c>
      <c r="E259" s="1">
        <f ca="1">G242*G142/1000</f>
        <v>3.565342073387809</v>
      </c>
      <c r="F259" s="1">
        <f ca="1">G241*G192/1000</f>
        <v>-24.103205418380096</v>
      </c>
      <c r="G259" s="1">
        <f ca="1">(G241*G192+G242*G142)/1000</f>
        <v>-20.537863344992289</v>
      </c>
      <c r="I259" s="1">
        <f ca="1">I242*J192/1000</f>
        <v>-3.8387992564393407</v>
      </c>
      <c r="J259" s="1">
        <f ca="1">I241*J142/1000</f>
        <v>55.391143671898824</v>
      </c>
      <c r="K259" s="1">
        <f ca="1">(I241*J142+I242*J192)/1000</f>
        <v>51.552344415459487</v>
      </c>
    </row>
    <row r="260" spans="1:12" x14ac:dyDescent="0.35">
      <c r="A260" t="s">
        <v>29</v>
      </c>
      <c r="E260" s="1">
        <f ca="1">G242*G144/10</f>
        <v>100.0517192683956</v>
      </c>
      <c r="F260" s="1">
        <f ca="1">G241*G194/10</f>
        <v>-196.11390101648783</v>
      </c>
      <c r="G260" s="1">
        <f ca="1">G241/10*G194+G242/10*G144</f>
        <v>-96.062181748092215</v>
      </c>
      <c r="I260" s="1">
        <f ca="1">I242*J194/10*J134/100</f>
        <v>-28.737503585446497</v>
      </c>
      <c r="J260" s="1">
        <f ca="1">I241*J144/10*J134/100</f>
        <v>113.79715271273248</v>
      </c>
      <c r="K260" s="1">
        <f ca="1">(I241*J144+I242*J194)/10*J134/100</f>
        <v>85.059649127285979</v>
      </c>
    </row>
    <row r="261" spans="1:12" x14ac:dyDescent="0.35">
      <c r="G261" s="190"/>
      <c r="K261" s="190"/>
    </row>
    <row r="262" spans="1:12" x14ac:dyDescent="0.35">
      <c r="A262" t="s">
        <v>482</v>
      </c>
      <c r="G262" s="54">
        <v>1900</v>
      </c>
      <c r="H262" s="54"/>
      <c r="I262" s="54"/>
      <c r="J262" s="54"/>
      <c r="K262" s="54">
        <v>2400</v>
      </c>
      <c r="L262" t="s">
        <v>366</v>
      </c>
    </row>
    <row r="264" spans="1:12" x14ac:dyDescent="0.35">
      <c r="A264" t="s">
        <v>483</v>
      </c>
      <c r="E264" s="1">
        <f ca="1">E258*1000/$G$262*100/G131</f>
        <v>1.8942939558792222</v>
      </c>
      <c r="F264" s="1">
        <f ca="1">F258*1000/$G$262*100/G131</f>
        <v>-2.0902992686678199</v>
      </c>
      <c r="G264" s="1">
        <f ca="1">G258*1000/$G$262*100/G131</f>
        <v>-0.19600531278859787</v>
      </c>
      <c r="I264" s="1">
        <f ca="1">I258*1000/$K$262*100/J131</f>
        <v>-1.5810306319518868</v>
      </c>
      <c r="J264" s="1">
        <f ca="1">J258*1000/$K$262*100/J131</f>
        <v>3.5245194700857785</v>
      </c>
      <c r="K264" s="1">
        <f ca="1">K258*1000/$K$262*100/J131</f>
        <v>1.9434888381338913</v>
      </c>
    </row>
    <row r="265" spans="1:12" x14ac:dyDescent="0.35">
      <c r="A265" t="s">
        <v>484</v>
      </c>
      <c r="E265" s="1">
        <f ca="1">E259*1000/$G$262</f>
        <v>1.8764958280988466</v>
      </c>
      <c r="F265" s="1">
        <f ca="1">F259*1000/$G$262</f>
        <v>-12.685897588621105</v>
      </c>
      <c r="G265" s="1">
        <f ca="1">G259*1000/$G$262</f>
        <v>-10.809401760522258</v>
      </c>
      <c r="I265" s="1">
        <f ca="1">I259*1000/$K$262</f>
        <v>-1.5994996901830587</v>
      </c>
      <c r="J265" s="1">
        <f ca="1">J259*1000/$K$262</f>
        <v>23.079643196624509</v>
      </c>
      <c r="K265" s="1">
        <f ca="1">K259*1000/$K$262</f>
        <v>21.480143506441451</v>
      </c>
    </row>
    <row r="266" spans="1:12" x14ac:dyDescent="0.35">
      <c r="A266" t="s">
        <v>37</v>
      </c>
      <c r="E266" s="1">
        <f ca="1">E264+E265</f>
        <v>3.7707897839780689</v>
      </c>
      <c r="F266" s="1">
        <f ca="1">F264+F265</f>
        <v>-14.776196857288925</v>
      </c>
      <c r="G266" s="1">
        <f ca="1">G264+G265</f>
        <v>-11.005407073310856</v>
      </c>
      <c r="I266" s="1">
        <f ca="1">I264+I265</f>
        <v>-3.1805303221349455</v>
      </c>
      <c r="J266" s="1">
        <f ca="1">J264+J265</f>
        <v>26.604162666710288</v>
      </c>
      <c r="K266" s="1">
        <f ca="1">K264+K265</f>
        <v>23.423632344575342</v>
      </c>
    </row>
    <row r="267" spans="1:12" x14ac:dyDescent="0.35">
      <c r="A267" t="s">
        <v>30</v>
      </c>
      <c r="E267" s="1">
        <f ca="1">E260*$G$134/100</f>
        <v>100.05171926839562</v>
      </c>
      <c r="F267" s="1">
        <f ca="1">F260*$G$134/100</f>
        <v>-196.11390101648783</v>
      </c>
      <c r="G267" s="1">
        <f ca="1">G260*$G$134/100</f>
        <v>-96.0621817480922</v>
      </c>
      <c r="H267" s="1"/>
      <c r="I267" s="1">
        <f ca="1">I260*$J$134/100</f>
        <v>-17.271239654853346</v>
      </c>
      <c r="J267" s="1">
        <f ca="1">J260*$J$134/100</f>
        <v>68.392088780352225</v>
      </c>
      <c r="K267" s="1">
        <f ca="1">K260*$J$134/100</f>
        <v>51.120849125498872</v>
      </c>
    </row>
    <row r="269" spans="1:12" x14ac:dyDescent="0.35">
      <c r="A269" t="s">
        <v>485</v>
      </c>
    </row>
    <row r="270" spans="1:12" x14ac:dyDescent="0.35">
      <c r="A270" t="s">
        <v>36</v>
      </c>
      <c r="G270" s="1">
        <f ca="1">G266/F38*100</f>
        <v>-14.792213808213514</v>
      </c>
      <c r="K270" s="1">
        <f ca="1">K266/L38*100</f>
        <v>11.428949668004559</v>
      </c>
    </row>
    <row r="271" spans="1:12" x14ac:dyDescent="0.35">
      <c r="A271" t="s">
        <v>486</v>
      </c>
      <c r="G271" s="1">
        <f ca="1">G267/G38*100</f>
        <v>-3.9678720259435032</v>
      </c>
      <c r="K271" s="1">
        <f ca="1">K267/M38*100</f>
        <v>11.876968803842496</v>
      </c>
    </row>
    <row r="273" spans="1:11" x14ac:dyDescent="0.35">
      <c r="A273" t="s">
        <v>309</v>
      </c>
    </row>
    <row r="274" spans="1:11" x14ac:dyDescent="0.35">
      <c r="A274" t="s">
        <v>487</v>
      </c>
      <c r="G274" s="1">
        <f ca="1">G264/C40*100</f>
        <v>-0.11295624117202709</v>
      </c>
      <c r="K274" s="1">
        <f ca="1">K264/I40*100</f>
        <v>1.2647148699247572</v>
      </c>
    </row>
    <row r="275" spans="1:11" x14ac:dyDescent="0.35">
      <c r="A275" t="s">
        <v>488</v>
      </c>
      <c r="G275" s="1">
        <f ca="1">G265/D40*100</f>
        <v>-6.2683792669537608</v>
      </c>
      <c r="K275" s="1">
        <f ca="1">K265/J40*100</f>
        <v>2.8619273729353933</v>
      </c>
    </row>
    <row r="276" spans="1:11" x14ac:dyDescent="0.35">
      <c r="A276" t="s">
        <v>36</v>
      </c>
      <c r="G276" s="1">
        <f ca="1">G266/F40*100</f>
        <v>-3.1390208423590575</v>
      </c>
      <c r="K276" s="1">
        <f ca="1">K266/L40*100</f>
        <v>1.4821331526559947</v>
      </c>
    </row>
    <row r="277" spans="1:11" x14ac:dyDescent="0.35">
      <c r="A277" t="s">
        <v>486</v>
      </c>
      <c r="G277" s="1">
        <f ca="1">G267/G40*100</f>
        <v>-0.73661668390531554</v>
      </c>
      <c r="K277" s="1">
        <f ca="1">K267/M40*100</f>
        <v>1.5774339699792292</v>
      </c>
    </row>
  </sheetData>
  <mergeCells count="1">
    <mergeCell ref="A2:P2"/>
  </mergeCells>
  <pageMargins left="0.75" right="0.75" top="1" bottom="1" header="0.5" footer="0.5"/>
  <pageSetup paperSize="9" scale="17" orientation="portrait" r:id="rId1"/>
  <headerFooter>
    <oddHeader>&amp;L&amp;"Arial"&amp;10VERSN10X.WK1       printed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 me</vt:lpstr>
      <vt:lpstr>Base case</vt:lpstr>
      <vt:lpstr>Narrow N</vt:lpstr>
      <vt:lpstr>Broad sectors</vt:lpstr>
      <vt:lpstr>H+M</vt:lpstr>
      <vt:lpstr>H+M, old N old S</vt:lpstr>
      <vt:lpstr>H+M, old N old S, NM</vt:lpstr>
      <vt:lpstr>1990 original base case</vt:lpstr>
      <vt:lpstr>1990 revised assn on services</vt:lpstr>
      <vt:lpstr>1990 plus x-weighted S wage</vt:lpstr>
      <vt:lpstr>1990 plus other new assns</vt:lpstr>
      <vt:lpstr>'1990 original base case'!Print_Area</vt:lpstr>
      <vt:lpstr>'1990 plus other new assns'!Print_Area</vt:lpstr>
      <vt:lpstr>'1990 plus x-weighted S wage'!Print_Area</vt:lpstr>
      <vt:lpstr>'1990 revised assn on services'!Print_Area</vt:lpstr>
      <vt:lpstr>'Base case'!Print_Area</vt:lpstr>
      <vt:lpstr>'Broad sectors'!Print_Area</vt:lpstr>
      <vt:lpstr>'H+M'!Print_Area</vt:lpstr>
      <vt:lpstr>'H+M, old N old S'!Print_Area</vt:lpstr>
      <vt:lpstr>'H+M, old N old S, NM'!Print_Area</vt:lpstr>
      <vt:lpstr>'Narrow 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Wood</dc:creator>
  <cp:lastModifiedBy>Adrian Wood</cp:lastModifiedBy>
  <cp:lastPrinted>2017-11-15T11:13:09Z</cp:lastPrinted>
  <dcterms:created xsi:type="dcterms:W3CDTF">2017-03-14T17:01:06Z</dcterms:created>
  <dcterms:modified xsi:type="dcterms:W3CDTF">2018-01-04T09:24:16Z</dcterms:modified>
</cp:coreProperties>
</file>