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brzkep\AppData\Local\Microsoft\Windows\Temporary Internet Files\Content.Outlook\2PT77C7E\"/>
    </mc:Choice>
  </mc:AlternateContent>
  <workbookProtection workbookPassword="CCB2" lockStructure="1"/>
  <bookViews>
    <workbookView xWindow="0" yWindow="0" windowWidth="28800" windowHeight="12720"/>
  </bookViews>
  <sheets>
    <sheet name="Rates" sheetId="1" r:id="rId1"/>
    <sheet name="Thresholds_Rates" sheetId="7" state="hidden" r:id="rId2"/>
    <sheet name="1-57 Point Scale" sheetId="6" r:id="rId3"/>
    <sheet name="Level 7 Scale" sheetId="8" r:id="rId4"/>
    <sheet name="Notes &amp; Guidance" sheetId="5" r:id="rId5"/>
    <sheet name="Points_Lookup" sheetId="4" state="hidden" r:id="rId6"/>
    <sheet name="Grades" sheetId="2" state="hidden" r:id="rId7"/>
  </sheets>
  <definedNames>
    <definedName name="_xlnm._FilterDatabase" localSheetId="6" hidden="1">Grades!$A$1:$BJ$78</definedName>
    <definedName name="LIST">OFFSET(Grades!$A$2,0,0,COUNTA(Grades!$A:$A)-1,1)</definedName>
    <definedName name="_xlnm.Print_Area" localSheetId="2">'1-57 Point Scale'!$A$6:$T$62</definedName>
    <definedName name="_xlnm.Print_Area" localSheetId="0">Rates!$B$3:$P$36</definedName>
  </definedNames>
  <calcPr calcId="152511"/>
</workbook>
</file>

<file path=xl/calcChain.xml><?xml version="1.0" encoding="utf-8"?>
<calcChain xmlns="http://schemas.openxmlformats.org/spreadsheetml/2006/main">
  <c r="B5" i="1" l="1"/>
  <c r="B69" i="4" l="1"/>
  <c r="B60" i="4"/>
  <c r="BR17" i="2" l="1"/>
  <c r="BQ17" i="2"/>
  <c r="BP17" i="2"/>
  <c r="BO17" i="2"/>
  <c r="B17" i="2"/>
  <c r="AF6" i="4" l="1"/>
  <c r="AF3" i="4" l="1"/>
  <c r="E295" i="1" l="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L174" i="1" l="1"/>
  <c r="M174" i="1"/>
  <c r="N174" i="1"/>
  <c r="O174" i="1"/>
  <c r="P174" i="1"/>
  <c r="L175" i="1"/>
  <c r="M175" i="1"/>
  <c r="N175" i="1"/>
  <c r="O175" i="1"/>
  <c r="P175" i="1"/>
  <c r="L176" i="1"/>
  <c r="M176" i="1"/>
  <c r="N176" i="1"/>
  <c r="O176" i="1"/>
  <c r="P176" i="1"/>
  <c r="L177" i="1"/>
  <c r="M177" i="1"/>
  <c r="N177" i="1"/>
  <c r="O177" i="1"/>
  <c r="P177" i="1"/>
  <c r="L178" i="1"/>
  <c r="M178" i="1"/>
  <c r="N178" i="1"/>
  <c r="O178" i="1"/>
  <c r="P178" i="1"/>
  <c r="L179" i="1"/>
  <c r="M179" i="1"/>
  <c r="N179" i="1"/>
  <c r="O179" i="1"/>
  <c r="P179" i="1"/>
  <c r="L180" i="1"/>
  <c r="M180" i="1"/>
  <c r="N180" i="1"/>
  <c r="O180" i="1"/>
  <c r="P180" i="1"/>
  <c r="L181" i="1"/>
  <c r="M181" i="1"/>
  <c r="N181" i="1"/>
  <c r="O181" i="1"/>
  <c r="P181" i="1"/>
  <c r="L182" i="1"/>
  <c r="M182" i="1"/>
  <c r="N182" i="1"/>
  <c r="O182" i="1"/>
  <c r="P182" i="1"/>
  <c r="L183" i="1"/>
  <c r="M183" i="1"/>
  <c r="N183" i="1"/>
  <c r="O183" i="1"/>
  <c r="P183" i="1"/>
  <c r="L184" i="1"/>
  <c r="M184" i="1"/>
  <c r="N184" i="1"/>
  <c r="O184" i="1"/>
  <c r="P184" i="1"/>
  <c r="L185" i="1"/>
  <c r="M185" i="1"/>
  <c r="N185" i="1"/>
  <c r="O185" i="1"/>
  <c r="P185" i="1"/>
  <c r="L186" i="1"/>
  <c r="M186" i="1"/>
  <c r="N186" i="1"/>
  <c r="O186" i="1"/>
  <c r="P186" i="1"/>
  <c r="L187" i="1"/>
  <c r="M187" i="1"/>
  <c r="N187" i="1"/>
  <c r="O187" i="1"/>
  <c r="P187" i="1"/>
  <c r="L188" i="1"/>
  <c r="M188" i="1"/>
  <c r="N188" i="1"/>
  <c r="O188" i="1"/>
  <c r="P188" i="1"/>
  <c r="L189" i="1"/>
  <c r="M189" i="1"/>
  <c r="N189" i="1"/>
  <c r="O189" i="1"/>
  <c r="P189" i="1"/>
  <c r="L190" i="1"/>
  <c r="M190" i="1"/>
  <c r="N190" i="1"/>
  <c r="O190" i="1"/>
  <c r="P190" i="1"/>
  <c r="L191" i="1"/>
  <c r="M191" i="1"/>
  <c r="N191" i="1"/>
  <c r="O191" i="1"/>
  <c r="P191" i="1"/>
  <c r="L192" i="1"/>
  <c r="M192" i="1"/>
  <c r="N192" i="1"/>
  <c r="O192" i="1"/>
  <c r="P192" i="1"/>
  <c r="L193" i="1"/>
  <c r="M193" i="1"/>
  <c r="N193" i="1"/>
  <c r="O193" i="1"/>
  <c r="P193" i="1"/>
  <c r="L194" i="1"/>
  <c r="M194" i="1"/>
  <c r="N194" i="1"/>
  <c r="O194" i="1"/>
  <c r="P194" i="1"/>
  <c r="L195" i="1"/>
  <c r="M195" i="1"/>
  <c r="N195" i="1"/>
  <c r="O195" i="1"/>
  <c r="P195" i="1"/>
  <c r="L196" i="1"/>
  <c r="M196" i="1"/>
  <c r="N196" i="1"/>
  <c r="O196" i="1"/>
  <c r="P196" i="1"/>
  <c r="L197" i="1"/>
  <c r="M197" i="1"/>
  <c r="N197" i="1"/>
  <c r="O197" i="1"/>
  <c r="P197" i="1"/>
  <c r="L198" i="1"/>
  <c r="M198" i="1"/>
  <c r="N198" i="1"/>
  <c r="O198" i="1"/>
  <c r="P198" i="1"/>
  <c r="L199" i="1"/>
  <c r="M199" i="1"/>
  <c r="N199" i="1"/>
  <c r="O199" i="1"/>
  <c r="P199" i="1"/>
  <c r="L200" i="1"/>
  <c r="M200" i="1"/>
  <c r="N200" i="1"/>
  <c r="O200" i="1"/>
  <c r="P200" i="1"/>
  <c r="L201" i="1"/>
  <c r="M201" i="1"/>
  <c r="N201" i="1"/>
  <c r="O201" i="1"/>
  <c r="P201" i="1"/>
  <c r="L202" i="1"/>
  <c r="M202" i="1"/>
  <c r="N202" i="1"/>
  <c r="O202" i="1"/>
  <c r="P202" i="1"/>
  <c r="L203" i="1"/>
  <c r="M203" i="1"/>
  <c r="N203" i="1"/>
  <c r="O203" i="1"/>
  <c r="P203" i="1"/>
  <c r="L204" i="1"/>
  <c r="M204" i="1"/>
  <c r="N204" i="1"/>
  <c r="O204" i="1"/>
  <c r="P204" i="1"/>
  <c r="L205" i="1"/>
  <c r="M205" i="1"/>
  <c r="N205" i="1"/>
  <c r="O205" i="1"/>
  <c r="P205" i="1"/>
  <c r="L206" i="1"/>
  <c r="M206" i="1"/>
  <c r="N206" i="1"/>
  <c r="O206" i="1"/>
  <c r="P206" i="1"/>
  <c r="L207" i="1"/>
  <c r="M207" i="1"/>
  <c r="N207" i="1"/>
  <c r="O207" i="1"/>
  <c r="P207" i="1"/>
  <c r="L208" i="1"/>
  <c r="M208" i="1"/>
  <c r="N208" i="1"/>
  <c r="O208" i="1"/>
  <c r="P208" i="1"/>
  <c r="L209" i="1"/>
  <c r="M209" i="1"/>
  <c r="N209" i="1"/>
  <c r="O209" i="1"/>
  <c r="P209" i="1"/>
  <c r="L210" i="1"/>
  <c r="M210" i="1"/>
  <c r="N210" i="1"/>
  <c r="O210" i="1"/>
  <c r="P210" i="1"/>
  <c r="L211" i="1"/>
  <c r="M211" i="1"/>
  <c r="N211" i="1"/>
  <c r="O211" i="1"/>
  <c r="P211" i="1"/>
  <c r="L212" i="1"/>
  <c r="M212" i="1"/>
  <c r="N212" i="1"/>
  <c r="O212" i="1"/>
  <c r="P212" i="1"/>
  <c r="L213" i="1"/>
  <c r="M213" i="1"/>
  <c r="N213" i="1"/>
  <c r="O213" i="1"/>
  <c r="P213" i="1"/>
  <c r="L214" i="1"/>
  <c r="M214" i="1"/>
  <c r="N214" i="1"/>
  <c r="O214" i="1"/>
  <c r="P214" i="1"/>
  <c r="L215" i="1"/>
  <c r="M215" i="1"/>
  <c r="N215" i="1"/>
  <c r="O215" i="1"/>
  <c r="P215" i="1"/>
  <c r="L216" i="1"/>
  <c r="M216" i="1"/>
  <c r="N216" i="1"/>
  <c r="O216" i="1"/>
  <c r="P216" i="1"/>
  <c r="L217" i="1"/>
  <c r="M217" i="1"/>
  <c r="N217" i="1"/>
  <c r="O217" i="1"/>
  <c r="P217" i="1"/>
  <c r="L218" i="1"/>
  <c r="M218" i="1"/>
  <c r="N218" i="1"/>
  <c r="O218" i="1"/>
  <c r="P218" i="1"/>
  <c r="L219" i="1"/>
  <c r="M219" i="1"/>
  <c r="N219" i="1"/>
  <c r="O219" i="1"/>
  <c r="P219" i="1"/>
  <c r="L220" i="1"/>
  <c r="M220" i="1"/>
  <c r="N220" i="1"/>
  <c r="O220" i="1"/>
  <c r="P220" i="1"/>
  <c r="L221" i="1"/>
  <c r="M221" i="1"/>
  <c r="N221" i="1"/>
  <c r="O221" i="1"/>
  <c r="P221" i="1"/>
  <c r="L222" i="1"/>
  <c r="M222" i="1"/>
  <c r="N222" i="1"/>
  <c r="O222" i="1"/>
  <c r="P222" i="1"/>
  <c r="L223" i="1"/>
  <c r="M223" i="1"/>
  <c r="N223" i="1"/>
  <c r="O223" i="1"/>
  <c r="P223" i="1"/>
  <c r="L224" i="1"/>
  <c r="M224" i="1"/>
  <c r="N224" i="1"/>
  <c r="O224" i="1"/>
  <c r="P224" i="1"/>
  <c r="L225" i="1"/>
  <c r="M225" i="1"/>
  <c r="N225" i="1"/>
  <c r="O225" i="1"/>
  <c r="P225" i="1"/>
  <c r="L226" i="1"/>
  <c r="M226" i="1"/>
  <c r="N226" i="1"/>
  <c r="O226" i="1"/>
  <c r="P226" i="1"/>
  <c r="L227" i="1"/>
  <c r="M227" i="1"/>
  <c r="N227" i="1"/>
  <c r="O227" i="1"/>
  <c r="P227" i="1"/>
  <c r="L228" i="1"/>
  <c r="M228" i="1"/>
  <c r="N228" i="1"/>
  <c r="O228" i="1"/>
  <c r="P228" i="1"/>
  <c r="L229" i="1"/>
  <c r="M229" i="1"/>
  <c r="N229" i="1"/>
  <c r="O229" i="1"/>
  <c r="P229" i="1"/>
  <c r="L230" i="1"/>
  <c r="M230" i="1"/>
  <c r="N230" i="1"/>
  <c r="O230" i="1"/>
  <c r="P230" i="1"/>
  <c r="L231" i="1"/>
  <c r="M231" i="1"/>
  <c r="N231" i="1"/>
  <c r="O231" i="1"/>
  <c r="P231" i="1"/>
  <c r="L232" i="1"/>
  <c r="M232" i="1"/>
  <c r="N232" i="1"/>
  <c r="O232" i="1"/>
  <c r="P232" i="1"/>
  <c r="L233" i="1"/>
  <c r="M233" i="1"/>
  <c r="N233" i="1"/>
  <c r="O233" i="1"/>
  <c r="P233" i="1"/>
  <c r="L234" i="1"/>
  <c r="M234" i="1"/>
  <c r="N234" i="1"/>
  <c r="O234" i="1"/>
  <c r="P234" i="1"/>
  <c r="L235" i="1"/>
  <c r="M235" i="1"/>
  <c r="N235" i="1"/>
  <c r="O235" i="1"/>
  <c r="P235" i="1"/>
  <c r="L236" i="1"/>
  <c r="M236" i="1"/>
  <c r="N236" i="1"/>
  <c r="O236" i="1"/>
  <c r="P236" i="1"/>
  <c r="L237" i="1"/>
  <c r="M237" i="1"/>
  <c r="N237" i="1"/>
  <c r="O237" i="1"/>
  <c r="P237" i="1"/>
  <c r="L238" i="1"/>
  <c r="M238" i="1"/>
  <c r="N238" i="1"/>
  <c r="O238" i="1"/>
  <c r="P238" i="1"/>
  <c r="L239" i="1"/>
  <c r="M239" i="1"/>
  <c r="N239" i="1"/>
  <c r="O239" i="1"/>
  <c r="P239" i="1"/>
  <c r="L240" i="1"/>
  <c r="M240" i="1"/>
  <c r="N240" i="1"/>
  <c r="O240" i="1"/>
  <c r="P240" i="1"/>
  <c r="L241" i="1"/>
  <c r="M241" i="1"/>
  <c r="N241" i="1"/>
  <c r="O241" i="1"/>
  <c r="P241" i="1"/>
  <c r="L242" i="1"/>
  <c r="M242" i="1"/>
  <c r="N242" i="1"/>
  <c r="O242" i="1"/>
  <c r="P242" i="1"/>
  <c r="L243" i="1"/>
  <c r="M243" i="1"/>
  <c r="N243" i="1"/>
  <c r="O243" i="1"/>
  <c r="P243" i="1"/>
  <c r="L244" i="1"/>
  <c r="M244" i="1"/>
  <c r="N244" i="1"/>
  <c r="O244" i="1"/>
  <c r="P244" i="1"/>
  <c r="L245" i="1"/>
  <c r="M245" i="1"/>
  <c r="N245" i="1"/>
  <c r="O245" i="1"/>
  <c r="P245" i="1"/>
  <c r="L246" i="1"/>
  <c r="M246" i="1"/>
  <c r="N246" i="1"/>
  <c r="O246" i="1"/>
  <c r="P246" i="1"/>
  <c r="L247" i="1"/>
  <c r="M247" i="1"/>
  <c r="N247" i="1"/>
  <c r="O247" i="1"/>
  <c r="P247" i="1"/>
  <c r="L248" i="1"/>
  <c r="M248" i="1"/>
  <c r="N248" i="1"/>
  <c r="O248" i="1"/>
  <c r="P248" i="1"/>
  <c r="L249" i="1"/>
  <c r="M249" i="1"/>
  <c r="N249" i="1"/>
  <c r="O249" i="1"/>
  <c r="P249" i="1"/>
  <c r="L250" i="1"/>
  <c r="M250" i="1"/>
  <c r="N250" i="1"/>
  <c r="O250" i="1"/>
  <c r="P250" i="1"/>
  <c r="L251" i="1"/>
  <c r="M251" i="1"/>
  <c r="N251" i="1"/>
  <c r="O251" i="1"/>
  <c r="P251" i="1"/>
  <c r="L252" i="1"/>
  <c r="M252" i="1"/>
  <c r="N252" i="1"/>
  <c r="O252" i="1"/>
  <c r="P252" i="1"/>
  <c r="L253" i="1"/>
  <c r="M253" i="1"/>
  <c r="N253" i="1"/>
  <c r="O253" i="1"/>
  <c r="P253" i="1"/>
  <c r="L254" i="1"/>
  <c r="M254" i="1"/>
  <c r="N254" i="1"/>
  <c r="O254" i="1"/>
  <c r="P254" i="1"/>
  <c r="L255" i="1"/>
  <c r="M255" i="1"/>
  <c r="N255" i="1"/>
  <c r="O255" i="1"/>
  <c r="P255" i="1"/>
  <c r="L256" i="1"/>
  <c r="M256" i="1"/>
  <c r="N256" i="1"/>
  <c r="O256" i="1"/>
  <c r="P256" i="1"/>
  <c r="L257" i="1"/>
  <c r="M257" i="1"/>
  <c r="N257" i="1"/>
  <c r="O257" i="1"/>
  <c r="P257" i="1"/>
  <c r="L258" i="1"/>
  <c r="M258" i="1"/>
  <c r="N258" i="1"/>
  <c r="O258" i="1"/>
  <c r="P258" i="1"/>
  <c r="L259" i="1"/>
  <c r="M259" i="1"/>
  <c r="N259" i="1"/>
  <c r="O259" i="1"/>
  <c r="P259" i="1"/>
  <c r="L260" i="1"/>
  <c r="M260" i="1"/>
  <c r="N260" i="1"/>
  <c r="O260" i="1"/>
  <c r="P260" i="1"/>
  <c r="L261" i="1"/>
  <c r="M261" i="1"/>
  <c r="N261" i="1"/>
  <c r="O261" i="1"/>
  <c r="P261" i="1"/>
  <c r="L262" i="1"/>
  <c r="M262" i="1"/>
  <c r="N262" i="1"/>
  <c r="O262" i="1"/>
  <c r="P262" i="1"/>
  <c r="L263" i="1"/>
  <c r="M263" i="1"/>
  <c r="N263" i="1"/>
  <c r="O263" i="1"/>
  <c r="P263" i="1"/>
  <c r="L264" i="1"/>
  <c r="M264" i="1"/>
  <c r="N264" i="1"/>
  <c r="O264" i="1"/>
  <c r="P264" i="1"/>
  <c r="L265" i="1"/>
  <c r="M265" i="1"/>
  <c r="N265" i="1"/>
  <c r="O265" i="1"/>
  <c r="P265" i="1"/>
  <c r="L266" i="1"/>
  <c r="M266" i="1"/>
  <c r="N266" i="1"/>
  <c r="O266" i="1"/>
  <c r="P266" i="1"/>
  <c r="L267" i="1"/>
  <c r="M267" i="1"/>
  <c r="N267" i="1"/>
  <c r="O267" i="1"/>
  <c r="P267" i="1"/>
  <c r="L268" i="1"/>
  <c r="M268" i="1"/>
  <c r="N268" i="1"/>
  <c r="O268" i="1"/>
  <c r="P268" i="1"/>
  <c r="L269" i="1"/>
  <c r="M269" i="1"/>
  <c r="N269" i="1"/>
  <c r="O269" i="1"/>
  <c r="P269" i="1"/>
  <c r="L270" i="1"/>
  <c r="M270" i="1"/>
  <c r="N270" i="1"/>
  <c r="O270" i="1"/>
  <c r="P270" i="1"/>
  <c r="L271" i="1"/>
  <c r="M271" i="1"/>
  <c r="N271" i="1"/>
  <c r="O271" i="1"/>
  <c r="P271" i="1"/>
  <c r="L272" i="1"/>
  <c r="M272" i="1"/>
  <c r="N272" i="1"/>
  <c r="O272" i="1"/>
  <c r="P272" i="1"/>
  <c r="L273" i="1"/>
  <c r="M273" i="1"/>
  <c r="N273" i="1"/>
  <c r="O273" i="1"/>
  <c r="P273" i="1"/>
  <c r="L274" i="1"/>
  <c r="M274" i="1"/>
  <c r="N274" i="1"/>
  <c r="O274" i="1"/>
  <c r="P274" i="1"/>
  <c r="L275" i="1"/>
  <c r="M275" i="1"/>
  <c r="N275" i="1"/>
  <c r="O275" i="1"/>
  <c r="P275" i="1"/>
  <c r="L276" i="1"/>
  <c r="M276" i="1"/>
  <c r="N276" i="1"/>
  <c r="O276" i="1"/>
  <c r="P276" i="1"/>
  <c r="L277" i="1"/>
  <c r="M277" i="1"/>
  <c r="N277" i="1"/>
  <c r="O277" i="1"/>
  <c r="P277" i="1"/>
  <c r="L278" i="1"/>
  <c r="M278" i="1"/>
  <c r="N278" i="1"/>
  <c r="O278" i="1"/>
  <c r="P278" i="1"/>
  <c r="L279" i="1"/>
  <c r="M279" i="1"/>
  <c r="N279" i="1"/>
  <c r="O279" i="1"/>
  <c r="P279" i="1"/>
  <c r="L280" i="1"/>
  <c r="M280" i="1"/>
  <c r="N280" i="1"/>
  <c r="O280" i="1"/>
  <c r="P280" i="1"/>
  <c r="L281" i="1"/>
  <c r="M281" i="1"/>
  <c r="N281" i="1"/>
  <c r="O281" i="1"/>
  <c r="P281" i="1"/>
  <c r="L282" i="1"/>
  <c r="M282" i="1"/>
  <c r="N282" i="1"/>
  <c r="O282" i="1"/>
  <c r="P282" i="1"/>
  <c r="L283" i="1"/>
  <c r="M283" i="1"/>
  <c r="N283" i="1"/>
  <c r="O283" i="1"/>
  <c r="P283" i="1"/>
  <c r="L284" i="1"/>
  <c r="M284" i="1"/>
  <c r="N284" i="1"/>
  <c r="O284" i="1"/>
  <c r="P284" i="1"/>
  <c r="L285" i="1"/>
  <c r="M285" i="1"/>
  <c r="N285" i="1"/>
  <c r="O285" i="1"/>
  <c r="P285" i="1"/>
  <c r="L286" i="1"/>
  <c r="M286" i="1"/>
  <c r="N286" i="1"/>
  <c r="O286" i="1"/>
  <c r="P286" i="1"/>
  <c r="L287" i="1"/>
  <c r="M287" i="1"/>
  <c r="N287" i="1"/>
  <c r="O287" i="1"/>
  <c r="P287" i="1"/>
  <c r="L288" i="1"/>
  <c r="M288" i="1"/>
  <c r="N288" i="1"/>
  <c r="O288" i="1"/>
  <c r="P288" i="1"/>
  <c r="L289" i="1"/>
  <c r="M289" i="1"/>
  <c r="N289" i="1"/>
  <c r="O289" i="1"/>
  <c r="P289" i="1"/>
  <c r="L290" i="1"/>
  <c r="M290" i="1"/>
  <c r="N290" i="1"/>
  <c r="O290" i="1"/>
  <c r="P290" i="1"/>
  <c r="L291" i="1"/>
  <c r="M291" i="1"/>
  <c r="N291" i="1"/>
  <c r="O291" i="1"/>
  <c r="P291" i="1"/>
  <c r="L292" i="1"/>
  <c r="M292" i="1"/>
  <c r="N292" i="1"/>
  <c r="O292" i="1"/>
  <c r="P292" i="1"/>
  <c r="L293" i="1"/>
  <c r="M293" i="1"/>
  <c r="N293" i="1"/>
  <c r="O293" i="1"/>
  <c r="P293" i="1"/>
  <c r="L294" i="1"/>
  <c r="M294" i="1"/>
  <c r="N294" i="1"/>
  <c r="O294" i="1"/>
  <c r="P294" i="1"/>
  <c r="L295" i="1"/>
  <c r="M295" i="1"/>
  <c r="N295" i="1"/>
  <c r="O295" i="1"/>
  <c r="P295" i="1"/>
  <c r="L296" i="1"/>
  <c r="M296" i="1"/>
  <c r="N296" i="1"/>
  <c r="O296" i="1"/>
  <c r="P296" i="1"/>
  <c r="L297" i="1"/>
  <c r="M297" i="1"/>
  <c r="N297" i="1"/>
  <c r="O297" i="1"/>
  <c r="P297" i="1"/>
  <c r="L298" i="1"/>
  <c r="M298" i="1"/>
  <c r="N298" i="1"/>
  <c r="O298" i="1"/>
  <c r="P298" i="1"/>
  <c r="L299" i="1"/>
  <c r="M299" i="1"/>
  <c r="N299" i="1"/>
  <c r="O299" i="1"/>
  <c r="P299" i="1"/>
  <c r="L300" i="1"/>
  <c r="M300" i="1"/>
  <c r="N300" i="1"/>
  <c r="O300" i="1"/>
  <c r="P300" i="1"/>
  <c r="L301" i="1"/>
  <c r="M301" i="1"/>
  <c r="N301" i="1"/>
  <c r="O301" i="1"/>
  <c r="P301" i="1"/>
  <c r="L302" i="1"/>
  <c r="M302" i="1"/>
  <c r="N302" i="1"/>
  <c r="O302" i="1"/>
  <c r="P302" i="1"/>
  <c r="L303" i="1"/>
  <c r="M303" i="1"/>
  <c r="N303" i="1"/>
  <c r="O303" i="1"/>
  <c r="P303" i="1"/>
  <c r="B7" i="1" l="1"/>
  <c r="AF9" i="4" l="1"/>
  <c r="G11" i="8" l="1"/>
  <c r="G12" i="8"/>
  <c r="G13" i="8"/>
  <c r="G14" i="8"/>
  <c r="G15" i="8"/>
  <c r="G16" i="8"/>
  <c r="G17" i="8"/>
  <c r="G18" i="8"/>
  <c r="G19" i="8"/>
  <c r="G20" i="8"/>
  <c r="G21" i="8"/>
  <c r="G22" i="8"/>
  <c r="G23" i="8"/>
  <c r="G24" i="8"/>
  <c r="G25" i="8"/>
  <c r="G26" i="8"/>
  <c r="G27" i="8"/>
  <c r="G28" i="8"/>
  <c r="G29" i="8"/>
  <c r="G30" i="8"/>
  <c r="G31" i="8"/>
  <c r="G32" i="8"/>
  <c r="G33" i="8"/>
  <c r="G34" i="8"/>
  <c r="G35" i="8"/>
  <c r="G10" i="8"/>
  <c r="C15" i="7" l="1"/>
  <c r="E4" i="1" s="1"/>
  <c r="C18" i="7"/>
  <c r="BO34" i="2" l="1"/>
  <c r="BP34" i="2"/>
  <c r="BQ34" i="2"/>
  <c r="BR34" i="2"/>
  <c r="BO35" i="2"/>
  <c r="BP35" i="2"/>
  <c r="BQ35" i="2"/>
  <c r="BR35" i="2"/>
  <c r="BO36" i="2"/>
  <c r="BP36" i="2"/>
  <c r="BQ36" i="2"/>
  <c r="BR36" i="2"/>
  <c r="BO37" i="2"/>
  <c r="BP37" i="2"/>
  <c r="BQ37" i="2"/>
  <c r="BR37" i="2"/>
  <c r="BO38" i="2"/>
  <c r="BP38" i="2"/>
  <c r="BQ38" i="2"/>
  <c r="BR38" i="2"/>
  <c r="BO39" i="2"/>
  <c r="BP39" i="2"/>
  <c r="BQ39" i="2"/>
  <c r="BR39" i="2"/>
  <c r="BO40" i="2"/>
  <c r="BP40" i="2"/>
  <c r="BQ40" i="2"/>
  <c r="BR40" i="2"/>
  <c r="BO41" i="2"/>
  <c r="BP41" i="2"/>
  <c r="BQ41" i="2"/>
  <c r="BR41" i="2"/>
  <c r="BO42" i="2"/>
  <c r="BP42" i="2"/>
  <c r="BQ42" i="2"/>
  <c r="BR42" i="2"/>
  <c r="BO43" i="2"/>
  <c r="BP43" i="2"/>
  <c r="BQ43" i="2"/>
  <c r="BR43" i="2"/>
  <c r="BO44" i="2"/>
  <c r="BP44" i="2"/>
  <c r="BQ44" i="2"/>
  <c r="BR44" i="2"/>
  <c r="BO45" i="2"/>
  <c r="BP45" i="2"/>
  <c r="BQ45" i="2"/>
  <c r="BR45" i="2"/>
  <c r="BO46" i="2"/>
  <c r="BP46" i="2"/>
  <c r="BQ46" i="2"/>
  <c r="BR46" i="2"/>
  <c r="B78" i="2" l="1"/>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R33" i="2"/>
  <c r="BQ33" i="2"/>
  <c r="BP33" i="2"/>
  <c r="BO33" i="2"/>
  <c r="B33" i="2"/>
  <c r="BR32" i="2"/>
  <c r="BQ32" i="2"/>
  <c r="BP32" i="2"/>
  <c r="BO32" i="2"/>
  <c r="B32" i="2"/>
  <c r="BR31" i="2"/>
  <c r="BQ31" i="2"/>
  <c r="BP31" i="2"/>
  <c r="BO31" i="2"/>
  <c r="B31" i="2"/>
  <c r="BR30" i="2"/>
  <c r="BQ30" i="2"/>
  <c r="BP30" i="2"/>
  <c r="BO30" i="2"/>
  <c r="B30" i="2"/>
  <c r="BR29" i="2"/>
  <c r="BQ29" i="2"/>
  <c r="BP29" i="2"/>
  <c r="BO29" i="2"/>
  <c r="B29" i="2"/>
  <c r="BR28" i="2"/>
  <c r="BQ28" i="2"/>
  <c r="BP28" i="2"/>
  <c r="BO28" i="2"/>
  <c r="B28" i="2"/>
  <c r="BR27" i="2"/>
  <c r="BQ27" i="2"/>
  <c r="BP27" i="2"/>
  <c r="BO27" i="2"/>
  <c r="B27" i="2"/>
  <c r="BR26" i="2"/>
  <c r="BQ26" i="2"/>
  <c r="BP26" i="2"/>
  <c r="BO26" i="2"/>
  <c r="B26" i="2"/>
  <c r="BR25" i="2"/>
  <c r="BQ25" i="2"/>
  <c r="BP25" i="2"/>
  <c r="BO25" i="2"/>
  <c r="B25" i="2"/>
  <c r="BR24" i="2"/>
  <c r="BQ24" i="2"/>
  <c r="BP24" i="2"/>
  <c r="BO24" i="2"/>
  <c r="B24" i="2"/>
  <c r="BR23" i="2"/>
  <c r="BQ23" i="2"/>
  <c r="BP23" i="2"/>
  <c r="BO23" i="2"/>
  <c r="B23" i="2"/>
  <c r="BR22" i="2"/>
  <c r="BQ22" i="2"/>
  <c r="BP22" i="2"/>
  <c r="BO22" i="2"/>
  <c r="B22" i="2"/>
  <c r="BR21" i="2"/>
  <c r="BQ21" i="2"/>
  <c r="BP21" i="2"/>
  <c r="BO21" i="2"/>
  <c r="B21" i="2"/>
  <c r="BR20" i="2"/>
  <c r="BQ20" i="2"/>
  <c r="BP20" i="2"/>
  <c r="BO20" i="2"/>
  <c r="B20" i="2"/>
  <c r="BR19" i="2"/>
  <c r="BQ19" i="2"/>
  <c r="BP19" i="2"/>
  <c r="BO19" i="2"/>
  <c r="B19" i="2"/>
  <c r="BR18" i="2"/>
  <c r="BQ18" i="2"/>
  <c r="BP18" i="2"/>
  <c r="BO18" i="2"/>
  <c r="B18" i="2"/>
  <c r="BR16" i="2"/>
  <c r="BQ16" i="2"/>
  <c r="BP16" i="2"/>
  <c r="BO16" i="2"/>
  <c r="B16" i="2"/>
  <c r="BR15" i="2"/>
  <c r="BQ15" i="2"/>
  <c r="BP15" i="2"/>
  <c r="BO15" i="2"/>
  <c r="B15" i="2"/>
  <c r="BR14" i="2"/>
  <c r="BQ14" i="2"/>
  <c r="BP14" i="2"/>
  <c r="BO14" i="2"/>
  <c r="B14" i="2"/>
  <c r="BR13" i="2"/>
  <c r="BQ13" i="2"/>
  <c r="BP13" i="2"/>
  <c r="BO13" i="2"/>
  <c r="B13" i="2"/>
  <c r="BR12" i="2"/>
  <c r="BQ12" i="2"/>
  <c r="BP12" i="2"/>
  <c r="BO12" i="2"/>
  <c r="B12" i="2"/>
  <c r="BR11" i="2"/>
  <c r="BQ11" i="2"/>
  <c r="BP11" i="2"/>
  <c r="BO11" i="2"/>
  <c r="B11" i="2"/>
  <c r="BR10" i="2"/>
  <c r="BQ10" i="2"/>
  <c r="BP10" i="2"/>
  <c r="BO10" i="2"/>
  <c r="B10" i="2"/>
  <c r="BR9" i="2"/>
  <c r="BQ9" i="2"/>
  <c r="BP9" i="2"/>
  <c r="BO9" i="2"/>
  <c r="B9" i="2"/>
  <c r="BR8" i="2"/>
  <c r="BQ8" i="2"/>
  <c r="BP8" i="2"/>
  <c r="BO8" i="2"/>
  <c r="B8" i="2"/>
  <c r="BR7" i="2"/>
  <c r="BQ7" i="2"/>
  <c r="BP7" i="2"/>
  <c r="BO7" i="2"/>
  <c r="B7" i="2"/>
  <c r="BR6" i="2"/>
  <c r="BQ6" i="2"/>
  <c r="BP6" i="2"/>
  <c r="BO6" i="2"/>
  <c r="B6" i="2"/>
  <c r="BR5" i="2"/>
  <c r="BQ5" i="2"/>
  <c r="BP5" i="2"/>
  <c r="BO5" i="2"/>
  <c r="B5" i="2"/>
  <c r="BR4" i="2"/>
  <c r="BQ4" i="2"/>
  <c r="BP4" i="2"/>
  <c r="BO4" i="2"/>
  <c r="B4" i="2"/>
  <c r="BR3" i="2"/>
  <c r="BQ3" i="2"/>
  <c r="BP3" i="2"/>
  <c r="BO3" i="2"/>
  <c r="B3" i="2"/>
  <c r="B77" i="4"/>
  <c r="B76" i="4"/>
  <c r="B75" i="4"/>
  <c r="B74" i="4"/>
  <c r="B73" i="4"/>
  <c r="B72" i="4"/>
  <c r="B71" i="4"/>
  <c r="AF8" i="4" s="1"/>
  <c r="B70" i="4"/>
  <c r="AF7" i="4" s="1"/>
  <c r="B68" i="4"/>
  <c r="B67" i="4"/>
  <c r="B66" i="4"/>
  <c r="B65" i="4"/>
  <c r="B64" i="4"/>
  <c r="B63" i="4"/>
  <c r="B62" i="4"/>
  <c r="AF5" i="4" s="1"/>
  <c r="B61" i="4"/>
  <c r="AF4" i="4" s="1"/>
  <c r="Y15" i="4"/>
  <c r="R15" i="4"/>
  <c r="S15" i="4" s="1"/>
  <c r="Y14" i="4"/>
  <c r="Z14" i="4" s="1"/>
  <c r="R14" i="4"/>
  <c r="U14" i="4" s="1"/>
  <c r="AF13" i="4"/>
  <c r="Y13" i="4"/>
  <c r="Z13" i="4" s="1"/>
  <c r="R13" i="4"/>
  <c r="U13" i="4" s="1"/>
  <c r="AF12" i="4"/>
  <c r="Y12" i="4"/>
  <c r="Z12" i="4" s="1"/>
  <c r="R12" i="4"/>
  <c r="U12" i="4" s="1"/>
  <c r="AF11" i="4"/>
  <c r="Y11" i="4"/>
  <c r="Z11" i="4" s="1"/>
  <c r="R11" i="4"/>
  <c r="U11" i="4" s="1"/>
  <c r="AF10" i="4"/>
  <c r="Y10" i="4"/>
  <c r="Z10" i="4" s="1"/>
  <c r="R10" i="4"/>
  <c r="U10" i="4" s="1"/>
  <c r="Y9" i="4"/>
  <c r="AB9" i="4" s="1"/>
  <c r="R9" i="4"/>
  <c r="Y8" i="4"/>
  <c r="AB8" i="4" s="1"/>
  <c r="R8" i="4"/>
  <c r="U8" i="4" s="1"/>
  <c r="Y7" i="4"/>
  <c r="AB7" i="4" s="1"/>
  <c r="R7" i="4"/>
  <c r="Y6" i="4"/>
  <c r="AB6" i="4" s="1"/>
  <c r="R6" i="4"/>
  <c r="Y5" i="4"/>
  <c r="AB5" i="4" s="1"/>
  <c r="R5" i="4"/>
  <c r="U5" i="4" s="1"/>
  <c r="Y4" i="4"/>
  <c r="AB4" i="4" s="1"/>
  <c r="R4" i="4"/>
  <c r="Y3" i="4"/>
  <c r="AB3" i="4" s="1"/>
  <c r="R3" i="4"/>
  <c r="J62"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J10" i="6"/>
  <c r="J9" i="6"/>
  <c r="J8" i="6"/>
  <c r="J7" i="6"/>
  <c r="U8" i="1"/>
  <c r="T8" i="1"/>
  <c r="S8" i="1"/>
  <c r="R8" i="1"/>
  <c r="C8" i="1"/>
  <c r="T7" i="1"/>
  <c r="R7" i="1"/>
  <c r="AH4" i="4" l="1"/>
  <c r="AH8" i="4"/>
  <c r="AH12" i="4"/>
  <c r="AH16" i="4"/>
  <c r="AH20" i="4"/>
  <c r="AH24" i="4"/>
  <c r="AH28" i="4"/>
  <c r="AH32" i="4"/>
  <c r="AH36" i="4"/>
  <c r="AH40" i="4"/>
  <c r="AH44" i="4"/>
  <c r="AH48" i="4"/>
  <c r="AH52" i="4"/>
  <c r="AH56" i="4"/>
  <c r="AH60" i="4"/>
  <c r="AH64" i="4"/>
  <c r="AH68" i="4"/>
  <c r="AH72" i="4"/>
  <c r="AH76" i="4"/>
  <c r="AH80" i="4"/>
  <c r="AH84" i="4"/>
  <c r="AH88" i="4"/>
  <c r="AH92" i="4"/>
  <c r="AH96" i="4"/>
  <c r="AH100" i="4"/>
  <c r="AH104" i="4"/>
  <c r="AH108" i="4"/>
  <c r="AH112" i="4"/>
  <c r="AH116" i="4"/>
  <c r="AH120" i="4"/>
  <c r="AH124" i="4"/>
  <c r="AH128" i="4"/>
  <c r="AH132" i="4"/>
  <c r="AH136" i="4"/>
  <c r="AH140" i="4"/>
  <c r="AH144" i="4"/>
  <c r="AH148" i="4"/>
  <c r="AH152" i="4"/>
  <c r="AH156" i="4"/>
  <c r="AH160" i="4"/>
  <c r="AH164" i="4"/>
  <c r="AH168" i="4"/>
  <c r="AH172" i="4"/>
  <c r="AH176" i="4"/>
  <c r="AH180" i="4"/>
  <c r="AH184" i="4"/>
  <c r="AH188" i="4"/>
  <c r="AH192" i="4"/>
  <c r="AH196" i="4"/>
  <c r="AH200" i="4"/>
  <c r="AH204" i="4"/>
  <c r="AH208" i="4"/>
  <c r="AH212" i="4"/>
  <c r="AH216" i="4"/>
  <c r="AH220" i="4"/>
  <c r="AH224" i="4"/>
  <c r="AH228" i="4"/>
  <c r="AH232" i="4"/>
  <c r="AH236" i="4"/>
  <c r="AH240" i="4"/>
  <c r="AH244" i="4"/>
  <c r="AH248" i="4"/>
  <c r="AH252" i="4"/>
  <c r="AH256" i="4"/>
  <c r="AH260" i="4"/>
  <c r="AH264" i="4"/>
  <c r="AH268" i="4"/>
  <c r="AH272" i="4"/>
  <c r="AH276" i="4"/>
  <c r="AH280" i="4"/>
  <c r="AH284" i="4"/>
  <c r="AH5" i="4"/>
  <c r="AH9" i="4"/>
  <c r="AH13" i="4"/>
  <c r="AH17" i="4"/>
  <c r="AH21" i="4"/>
  <c r="AH25" i="4"/>
  <c r="AH29" i="4"/>
  <c r="AH33" i="4"/>
  <c r="AH37" i="4"/>
  <c r="AH41" i="4"/>
  <c r="AH45" i="4"/>
  <c r="AH49" i="4"/>
  <c r="AH53" i="4"/>
  <c r="AH57" i="4"/>
  <c r="AH6" i="4"/>
  <c r="AH14" i="4"/>
  <c r="AH22" i="4"/>
  <c r="AH30" i="4"/>
  <c r="AH38" i="4"/>
  <c r="AH46" i="4"/>
  <c r="AH54" i="4"/>
  <c r="AH61" i="4"/>
  <c r="AH66" i="4"/>
  <c r="AH71" i="4"/>
  <c r="AH77" i="4"/>
  <c r="AH82" i="4"/>
  <c r="AH87" i="4"/>
  <c r="AH93" i="4"/>
  <c r="AH98" i="4"/>
  <c r="AH103" i="4"/>
  <c r="AH109" i="4"/>
  <c r="AH114" i="4"/>
  <c r="AH119" i="4"/>
  <c r="AH125" i="4"/>
  <c r="AH130" i="4"/>
  <c r="AH135" i="4"/>
  <c r="AH141" i="4"/>
  <c r="AH146" i="4"/>
  <c r="AH151" i="4"/>
  <c r="AH157" i="4"/>
  <c r="AH162" i="4"/>
  <c r="AH167" i="4"/>
  <c r="AH173" i="4"/>
  <c r="AH178" i="4"/>
  <c r="AH183" i="4"/>
  <c r="AH189" i="4"/>
  <c r="AH194" i="4"/>
  <c r="AH199" i="4"/>
  <c r="AH205" i="4"/>
  <c r="AH210" i="4"/>
  <c r="AH215" i="4"/>
  <c r="AH221" i="4"/>
  <c r="AH226" i="4"/>
  <c r="AH231" i="4"/>
  <c r="AH237" i="4"/>
  <c r="AH242" i="4"/>
  <c r="AH247" i="4"/>
  <c r="AH253" i="4"/>
  <c r="AH258" i="4"/>
  <c r="AH263" i="4"/>
  <c r="AH269" i="4"/>
  <c r="AH274" i="4"/>
  <c r="AH279" i="4"/>
  <c r="AH285" i="4"/>
  <c r="AH7" i="4"/>
  <c r="AH15" i="4"/>
  <c r="AH23" i="4"/>
  <c r="AH31" i="4"/>
  <c r="AH39" i="4"/>
  <c r="AH47" i="4"/>
  <c r="AH55" i="4"/>
  <c r="AH62" i="4"/>
  <c r="AH67" i="4"/>
  <c r="AH73" i="4"/>
  <c r="AH78" i="4"/>
  <c r="AH83" i="4"/>
  <c r="AH89" i="4"/>
  <c r="AH94" i="4"/>
  <c r="AH99" i="4"/>
  <c r="AH105" i="4"/>
  <c r="AH110" i="4"/>
  <c r="AH115" i="4"/>
  <c r="AH121" i="4"/>
  <c r="AH126" i="4"/>
  <c r="AH131" i="4"/>
  <c r="AH137" i="4"/>
  <c r="AH142" i="4"/>
  <c r="AH147" i="4"/>
  <c r="AH153" i="4"/>
  <c r="AH158" i="4"/>
  <c r="AH163" i="4"/>
  <c r="AH169" i="4"/>
  <c r="AH174" i="4"/>
  <c r="AH179" i="4"/>
  <c r="AH185" i="4"/>
  <c r="AH190" i="4"/>
  <c r="AH195" i="4"/>
  <c r="AH201" i="4"/>
  <c r="AH206" i="4"/>
  <c r="AH211" i="4"/>
  <c r="AH217" i="4"/>
  <c r="AH222" i="4"/>
  <c r="AH227" i="4"/>
  <c r="AH233" i="4"/>
  <c r="AH238" i="4"/>
  <c r="AH243" i="4"/>
  <c r="AH249" i="4"/>
  <c r="AH254" i="4"/>
  <c r="AH259" i="4"/>
  <c r="AH265" i="4"/>
  <c r="AH270" i="4"/>
  <c r="AH275" i="4"/>
  <c r="AH281" i="4"/>
  <c r="AH3" i="4"/>
  <c r="AH10" i="4"/>
  <c r="AH18" i="4"/>
  <c r="AH26" i="4"/>
  <c r="AH34" i="4"/>
  <c r="AH42" i="4"/>
  <c r="AH50" i="4"/>
  <c r="AH58" i="4"/>
  <c r="AH63" i="4"/>
  <c r="AH69" i="4"/>
  <c r="AH74" i="4"/>
  <c r="AH79" i="4"/>
  <c r="AH85" i="4"/>
  <c r="AH90" i="4"/>
  <c r="AH95" i="4"/>
  <c r="AH101" i="4"/>
  <c r="AH106" i="4"/>
  <c r="AH111" i="4"/>
  <c r="AH117" i="4"/>
  <c r="AH122" i="4"/>
  <c r="AH127" i="4"/>
  <c r="AH133" i="4"/>
  <c r="AH138" i="4"/>
  <c r="AH143" i="4"/>
  <c r="AH149" i="4"/>
  <c r="AH154" i="4"/>
  <c r="AH159" i="4"/>
  <c r="AH165" i="4"/>
  <c r="AH170" i="4"/>
  <c r="AH175" i="4"/>
  <c r="AH181" i="4"/>
  <c r="AH186" i="4"/>
  <c r="AH191" i="4"/>
  <c r="AH197" i="4"/>
  <c r="AH202" i="4"/>
  <c r="AH207" i="4"/>
  <c r="AH213" i="4"/>
  <c r="AH218" i="4"/>
  <c r="AH223" i="4"/>
  <c r="AH229" i="4"/>
  <c r="AH234" i="4"/>
  <c r="AH239" i="4"/>
  <c r="AH245" i="4"/>
  <c r="AH250" i="4"/>
  <c r="AH255" i="4"/>
  <c r="AH261" i="4"/>
  <c r="AH266" i="4"/>
  <c r="AH271" i="4"/>
  <c r="AH277" i="4"/>
  <c r="AH282" i="4"/>
  <c r="AH11" i="4"/>
  <c r="AH19" i="4"/>
  <c r="AH27" i="4"/>
  <c r="AH35" i="4"/>
  <c r="AH43" i="4"/>
  <c r="AH51" i="4"/>
  <c r="AH59" i="4"/>
  <c r="AH65" i="4"/>
  <c r="AH70" i="4"/>
  <c r="AH75" i="4"/>
  <c r="AH81" i="4"/>
  <c r="AH86" i="4"/>
  <c r="AH91" i="4"/>
  <c r="AH97" i="4"/>
  <c r="AH102" i="4"/>
  <c r="AH107" i="4"/>
  <c r="AH113" i="4"/>
  <c r="AH118" i="4"/>
  <c r="AH123" i="4"/>
  <c r="AH129" i="4"/>
  <c r="AH134" i="4"/>
  <c r="AH139" i="4"/>
  <c r="AH161" i="4"/>
  <c r="AH182" i="4"/>
  <c r="AH203" i="4"/>
  <c r="AH225" i="4"/>
  <c r="AH246" i="4"/>
  <c r="AH267" i="4"/>
  <c r="AH145" i="4"/>
  <c r="AH166" i="4"/>
  <c r="AH187" i="4"/>
  <c r="AH209" i="4"/>
  <c r="AH230" i="4"/>
  <c r="AH251" i="4"/>
  <c r="AH273" i="4"/>
  <c r="AH150" i="4"/>
  <c r="AH171" i="4"/>
  <c r="AH193" i="4"/>
  <c r="AH214" i="4"/>
  <c r="AH235" i="4"/>
  <c r="AH257" i="4"/>
  <c r="AH278" i="4"/>
  <c r="AH155" i="4"/>
  <c r="AH177" i="4"/>
  <c r="AH198" i="4"/>
  <c r="AH219" i="4"/>
  <c r="AH241" i="4"/>
  <c r="AH262" i="4"/>
  <c r="AH283" i="4"/>
  <c r="S12" i="4"/>
  <c r="S10" i="4"/>
  <c r="AB11" i="4"/>
  <c r="AB13" i="4"/>
  <c r="S14" i="4"/>
  <c r="U15" i="4"/>
  <c r="S8" i="4"/>
  <c r="Z8" i="4"/>
  <c r="Z3" i="4"/>
  <c r="S5" i="4"/>
  <c r="Z5" i="4"/>
  <c r="Z9" i="4"/>
  <c r="Z4" i="4"/>
  <c r="Z6" i="4"/>
  <c r="Z7" i="4"/>
  <c r="AB10" i="4"/>
  <c r="S11" i="4"/>
  <c r="AB12" i="4"/>
  <c r="S13" i="4"/>
  <c r="AB14" i="4"/>
  <c r="Z15" i="4"/>
  <c r="AB15" i="4"/>
  <c r="U7" i="4"/>
  <c r="S7" i="4"/>
  <c r="U3" i="4"/>
  <c r="S3" i="4"/>
  <c r="U4" i="4"/>
  <c r="S4" i="4"/>
  <c r="U6" i="4"/>
  <c r="S6" i="4"/>
  <c r="U9" i="4"/>
  <c r="S9" i="4"/>
  <c r="B9" i="1" l="1"/>
  <c r="C9" i="1" s="1"/>
  <c r="B64" i="1"/>
  <c r="B31" i="1"/>
  <c r="B11" i="1"/>
  <c r="C11" i="1" s="1"/>
  <c r="B45" i="1"/>
  <c r="B42" i="1"/>
  <c r="B47" i="1"/>
  <c r="B21" i="1"/>
  <c r="B63" i="1"/>
  <c r="B30" i="1"/>
  <c r="B44" i="1"/>
  <c r="B15" i="1"/>
  <c r="B10" i="1"/>
  <c r="C10" i="1" s="1"/>
  <c r="B37" i="1"/>
  <c r="B36" i="1"/>
  <c r="B35" i="1"/>
  <c r="B20" i="1"/>
  <c r="B12" i="1"/>
  <c r="C12" i="1" s="1"/>
  <c r="B17" i="1"/>
  <c r="B13" i="1"/>
  <c r="B52" i="1"/>
  <c r="B26" i="1"/>
  <c r="B19" i="1"/>
  <c r="B23" i="1"/>
  <c r="B28" i="1"/>
  <c r="B49" i="1"/>
  <c r="B51" i="1"/>
  <c r="B53" i="1"/>
  <c r="B48" i="1"/>
  <c r="B32" i="1"/>
  <c r="B61" i="1"/>
  <c r="B41" i="1"/>
  <c r="B29" i="1"/>
  <c r="B62" i="1"/>
  <c r="B33" i="1"/>
  <c r="B54" i="1"/>
  <c r="B39" i="1"/>
  <c r="B55" i="1"/>
  <c r="B18" i="1"/>
  <c r="B40" i="1"/>
  <c r="B50" i="1"/>
  <c r="B25" i="1"/>
  <c r="B57" i="1"/>
  <c r="B24" i="1"/>
  <c r="B56" i="1"/>
  <c r="B46" i="1"/>
  <c r="B34" i="1"/>
  <c r="B22" i="1"/>
  <c r="B38" i="1"/>
  <c r="B60" i="1"/>
  <c r="B43" i="1"/>
  <c r="B59" i="1"/>
  <c r="B58" i="1"/>
  <c r="B14" i="1"/>
  <c r="B16" i="1"/>
  <c r="B27" i="1"/>
  <c r="B161" i="1"/>
  <c r="B94" i="1"/>
  <c r="B83" i="1"/>
  <c r="B150" i="1"/>
  <c r="B92" i="1"/>
  <c r="B102" i="1"/>
  <c r="B101" i="1"/>
  <c r="B95" i="1"/>
  <c r="B113" i="1"/>
  <c r="B140" i="1"/>
  <c r="B169" i="1"/>
  <c r="B82" i="1"/>
  <c r="B136" i="1"/>
  <c r="B128" i="1"/>
  <c r="B124" i="1"/>
  <c r="B121" i="1"/>
  <c r="B135" i="1"/>
  <c r="B73" i="1"/>
  <c r="B160" i="1"/>
  <c r="B151" i="1"/>
  <c r="B153" i="1"/>
  <c r="B134" i="1"/>
  <c r="B148" i="1"/>
  <c r="B68" i="1"/>
  <c r="B66" i="1"/>
  <c r="B69" i="1"/>
  <c r="B122" i="1"/>
  <c r="B65" i="1"/>
  <c r="B80" i="1"/>
  <c r="B85" i="1"/>
  <c r="B105" i="1"/>
  <c r="B77" i="1"/>
  <c r="B129" i="1"/>
  <c r="B79" i="1"/>
  <c r="B87" i="1"/>
  <c r="B123" i="1"/>
  <c r="B90" i="1"/>
  <c r="B106" i="1"/>
  <c r="B162" i="1"/>
  <c r="B75" i="1"/>
  <c r="B96" i="1"/>
  <c r="B120" i="1"/>
  <c r="B143" i="1"/>
  <c r="B81" i="1"/>
  <c r="B97" i="1"/>
  <c r="B127" i="1"/>
  <c r="B152" i="1"/>
  <c r="B172" i="1"/>
  <c r="B111" i="1"/>
  <c r="B119" i="1"/>
  <c r="B133" i="1"/>
  <c r="B149" i="1"/>
  <c r="B159" i="1"/>
  <c r="B167" i="1"/>
  <c r="B137" i="1"/>
  <c r="B164" i="1"/>
  <c r="B72" i="1"/>
  <c r="B99" i="1"/>
  <c r="B139" i="1"/>
  <c r="B104" i="1"/>
  <c r="B138" i="1"/>
  <c r="B70" i="1"/>
  <c r="B98" i="1"/>
  <c r="B130" i="1"/>
  <c r="B67" i="1"/>
  <c r="B86" i="1"/>
  <c r="B103" i="1"/>
  <c r="B132" i="1"/>
  <c r="B154" i="1"/>
  <c r="B89" i="1"/>
  <c r="B108" i="1"/>
  <c r="B146" i="1"/>
  <c r="B156" i="1"/>
  <c r="B107" i="1"/>
  <c r="B115" i="1"/>
  <c r="B125" i="1"/>
  <c r="B141" i="1"/>
  <c r="B155" i="1"/>
  <c r="B163" i="1"/>
  <c r="B171" i="1"/>
  <c r="B110" i="1"/>
  <c r="B88" i="1"/>
  <c r="B131" i="1"/>
  <c r="B166" i="1"/>
  <c r="B144" i="1"/>
  <c r="B74" i="1"/>
  <c r="B118" i="1"/>
  <c r="B78" i="1"/>
  <c r="B84" i="1"/>
  <c r="B112" i="1"/>
  <c r="B158" i="1"/>
  <c r="B76" i="1"/>
  <c r="B100" i="1"/>
  <c r="B145" i="1"/>
  <c r="B71" i="1"/>
  <c r="B91" i="1"/>
  <c r="B114" i="1"/>
  <c r="B168" i="1"/>
  <c r="B93" i="1"/>
  <c r="B116" i="1"/>
  <c r="B147" i="1"/>
  <c r="B170" i="1"/>
  <c r="B109" i="1"/>
  <c r="B117" i="1"/>
  <c r="B126" i="1"/>
  <c r="B142" i="1"/>
  <c r="B157" i="1"/>
  <c r="B165" i="1"/>
  <c r="B173" i="1"/>
  <c r="I157" i="1" l="1"/>
  <c r="E157" i="1"/>
  <c r="I158" i="1"/>
  <c r="E158" i="1"/>
  <c r="I115" i="1"/>
  <c r="E115" i="1"/>
  <c r="I139" i="1"/>
  <c r="E139" i="1"/>
  <c r="I165" i="1"/>
  <c r="E165" i="1"/>
  <c r="I117" i="1"/>
  <c r="E117" i="1"/>
  <c r="I116" i="1"/>
  <c r="E116" i="1"/>
  <c r="I91" i="1"/>
  <c r="E91" i="1"/>
  <c r="I76" i="1"/>
  <c r="E76" i="1"/>
  <c r="I78" i="1"/>
  <c r="E78" i="1"/>
  <c r="I166" i="1"/>
  <c r="E166" i="1"/>
  <c r="I171" i="1"/>
  <c r="E171" i="1"/>
  <c r="I125" i="1"/>
  <c r="E125" i="1"/>
  <c r="I146" i="1"/>
  <c r="E146" i="1"/>
  <c r="I132" i="1"/>
  <c r="E132" i="1"/>
  <c r="I130" i="1"/>
  <c r="E130" i="1"/>
  <c r="I104" i="1"/>
  <c r="E104" i="1"/>
  <c r="I164" i="1"/>
  <c r="E164" i="1"/>
  <c r="I149" i="1"/>
  <c r="E149" i="1"/>
  <c r="I172" i="1"/>
  <c r="E172" i="1"/>
  <c r="I81" i="1"/>
  <c r="E81" i="1"/>
  <c r="I75" i="1"/>
  <c r="E75" i="1"/>
  <c r="I123" i="1"/>
  <c r="E123" i="1"/>
  <c r="I77" i="1"/>
  <c r="E77" i="1"/>
  <c r="I65" i="1"/>
  <c r="E65" i="1"/>
  <c r="I68" i="1"/>
  <c r="E68" i="1"/>
  <c r="I151" i="1"/>
  <c r="E151" i="1"/>
  <c r="I121" i="1"/>
  <c r="E121" i="1"/>
  <c r="I82" i="1"/>
  <c r="E82" i="1"/>
  <c r="I95" i="1"/>
  <c r="E95" i="1"/>
  <c r="I150" i="1"/>
  <c r="E150" i="1"/>
  <c r="F27" i="1"/>
  <c r="F59" i="1"/>
  <c r="J59" i="1"/>
  <c r="G59" i="1"/>
  <c r="F22" i="1"/>
  <c r="F24" i="1"/>
  <c r="F40" i="1"/>
  <c r="J40" i="1"/>
  <c r="G40" i="1"/>
  <c r="F54" i="1"/>
  <c r="J54" i="1"/>
  <c r="G54" i="1"/>
  <c r="F41" i="1"/>
  <c r="J41" i="1"/>
  <c r="G41" i="1"/>
  <c r="F53" i="1"/>
  <c r="G53" i="1"/>
  <c r="J53" i="1"/>
  <c r="F23" i="1"/>
  <c r="F35" i="1"/>
  <c r="F21" i="1"/>
  <c r="I71" i="1"/>
  <c r="E71" i="1"/>
  <c r="I163" i="1"/>
  <c r="E163" i="1"/>
  <c r="I103" i="1"/>
  <c r="E103" i="1"/>
  <c r="I133" i="1"/>
  <c r="E133" i="1"/>
  <c r="I162" i="1"/>
  <c r="E162" i="1"/>
  <c r="I122" i="1"/>
  <c r="E122" i="1"/>
  <c r="I124" i="1"/>
  <c r="E124" i="1"/>
  <c r="I101" i="1"/>
  <c r="E101" i="1"/>
  <c r="F34" i="1"/>
  <c r="F51" i="1"/>
  <c r="J51" i="1"/>
  <c r="G51" i="1"/>
  <c r="F44" i="1"/>
  <c r="J44" i="1"/>
  <c r="G44" i="1"/>
  <c r="F31" i="1"/>
  <c r="I168" i="1"/>
  <c r="E168" i="1"/>
  <c r="I112" i="1"/>
  <c r="E112" i="1"/>
  <c r="I155" i="1"/>
  <c r="E155" i="1"/>
  <c r="I86" i="1"/>
  <c r="E86" i="1"/>
  <c r="I99" i="1"/>
  <c r="E99" i="1"/>
  <c r="I167" i="1"/>
  <c r="E167" i="1"/>
  <c r="I119" i="1"/>
  <c r="E119" i="1"/>
  <c r="I127" i="1"/>
  <c r="E127" i="1"/>
  <c r="I120" i="1"/>
  <c r="E120" i="1"/>
  <c r="I106" i="1"/>
  <c r="E106" i="1"/>
  <c r="I79" i="1"/>
  <c r="E79" i="1"/>
  <c r="I85" i="1"/>
  <c r="E85" i="1"/>
  <c r="I69" i="1"/>
  <c r="E69" i="1"/>
  <c r="I134" i="1"/>
  <c r="E134" i="1"/>
  <c r="I73" i="1"/>
  <c r="E73" i="1"/>
  <c r="I128" i="1"/>
  <c r="E128" i="1"/>
  <c r="I140" i="1"/>
  <c r="E140" i="1"/>
  <c r="I102" i="1"/>
  <c r="E102" i="1"/>
  <c r="I94" i="1"/>
  <c r="E94" i="1"/>
  <c r="F60" i="1"/>
  <c r="J60" i="1"/>
  <c r="G60" i="1"/>
  <c r="F46" i="1"/>
  <c r="J46" i="1"/>
  <c r="G46" i="1"/>
  <c r="F25" i="1"/>
  <c r="F55" i="1"/>
  <c r="J55" i="1"/>
  <c r="G55" i="1"/>
  <c r="F62" i="1"/>
  <c r="J62" i="1"/>
  <c r="G62" i="1"/>
  <c r="F32" i="1"/>
  <c r="F49" i="1"/>
  <c r="G49" i="1"/>
  <c r="J49" i="1"/>
  <c r="F26" i="1"/>
  <c r="F37" i="1"/>
  <c r="J37" i="1"/>
  <c r="G37" i="1"/>
  <c r="F30" i="1"/>
  <c r="F42" i="1"/>
  <c r="G42" i="1"/>
  <c r="J42" i="1"/>
  <c r="I64" i="1"/>
  <c r="F64" i="1"/>
  <c r="E64" i="1"/>
  <c r="J64" i="1"/>
  <c r="G64" i="1"/>
  <c r="I109" i="1"/>
  <c r="E109" i="1"/>
  <c r="I93" i="1"/>
  <c r="E93" i="1"/>
  <c r="I118" i="1"/>
  <c r="E118" i="1"/>
  <c r="I131" i="1"/>
  <c r="E131" i="1"/>
  <c r="I108" i="1"/>
  <c r="E108" i="1"/>
  <c r="I98" i="1"/>
  <c r="E98" i="1"/>
  <c r="I137" i="1"/>
  <c r="E137" i="1"/>
  <c r="I152" i="1"/>
  <c r="E152" i="1"/>
  <c r="I143" i="1"/>
  <c r="E143" i="1"/>
  <c r="I87" i="1"/>
  <c r="E87" i="1"/>
  <c r="I105" i="1"/>
  <c r="E105" i="1"/>
  <c r="I148" i="1"/>
  <c r="E148" i="1"/>
  <c r="I160" i="1"/>
  <c r="E160" i="1"/>
  <c r="I169" i="1"/>
  <c r="E169" i="1"/>
  <c r="I83" i="1"/>
  <c r="E83" i="1"/>
  <c r="F43" i="1"/>
  <c r="J43" i="1"/>
  <c r="G43" i="1"/>
  <c r="F57" i="1"/>
  <c r="G57" i="1"/>
  <c r="J57" i="1"/>
  <c r="F33" i="1"/>
  <c r="F61" i="1"/>
  <c r="G61" i="1"/>
  <c r="J61" i="1"/>
  <c r="F36" i="1"/>
  <c r="F47" i="1"/>
  <c r="J47" i="1"/>
  <c r="G47" i="1"/>
  <c r="I142" i="1"/>
  <c r="E142" i="1"/>
  <c r="I170" i="1"/>
  <c r="E170" i="1"/>
  <c r="I145" i="1"/>
  <c r="E145" i="1"/>
  <c r="I74" i="1"/>
  <c r="E74" i="1"/>
  <c r="I88" i="1"/>
  <c r="E88" i="1"/>
  <c r="I107" i="1"/>
  <c r="E107" i="1"/>
  <c r="I89" i="1"/>
  <c r="E89" i="1"/>
  <c r="I70" i="1"/>
  <c r="E70" i="1"/>
  <c r="I173" i="1"/>
  <c r="E173" i="1"/>
  <c r="I126" i="1"/>
  <c r="E126" i="1"/>
  <c r="I147" i="1"/>
  <c r="E147" i="1"/>
  <c r="I114" i="1"/>
  <c r="E114" i="1"/>
  <c r="I100" i="1"/>
  <c r="E100" i="1"/>
  <c r="I84" i="1"/>
  <c r="E84" i="1"/>
  <c r="I144" i="1"/>
  <c r="E144" i="1"/>
  <c r="I110" i="1"/>
  <c r="E110" i="1"/>
  <c r="I141" i="1"/>
  <c r="E141" i="1"/>
  <c r="I156" i="1"/>
  <c r="E156" i="1"/>
  <c r="I154" i="1"/>
  <c r="E154" i="1"/>
  <c r="I67" i="1"/>
  <c r="E67" i="1"/>
  <c r="I138" i="1"/>
  <c r="E138" i="1"/>
  <c r="I72" i="1"/>
  <c r="E72" i="1"/>
  <c r="I159" i="1"/>
  <c r="E159" i="1"/>
  <c r="I111" i="1"/>
  <c r="E111" i="1"/>
  <c r="I97" i="1"/>
  <c r="E97" i="1"/>
  <c r="I96" i="1"/>
  <c r="E96" i="1"/>
  <c r="I90" i="1"/>
  <c r="E90" i="1"/>
  <c r="I129" i="1"/>
  <c r="E129" i="1"/>
  <c r="I80" i="1"/>
  <c r="E80" i="1"/>
  <c r="I66" i="1"/>
  <c r="E66" i="1"/>
  <c r="I153" i="1"/>
  <c r="E153" i="1"/>
  <c r="I135" i="1"/>
  <c r="E135" i="1"/>
  <c r="I136" i="1"/>
  <c r="E136" i="1"/>
  <c r="I113" i="1"/>
  <c r="E113" i="1"/>
  <c r="I92" i="1"/>
  <c r="E92" i="1"/>
  <c r="I161" i="1"/>
  <c r="E161" i="1"/>
  <c r="F58" i="1"/>
  <c r="J58" i="1"/>
  <c r="G58" i="1"/>
  <c r="F38" i="1"/>
  <c r="G38" i="1"/>
  <c r="J38" i="1"/>
  <c r="F56" i="1"/>
  <c r="J56" i="1"/>
  <c r="G56" i="1"/>
  <c r="F50" i="1"/>
  <c r="J50" i="1"/>
  <c r="G50" i="1"/>
  <c r="F39" i="1"/>
  <c r="J39" i="1"/>
  <c r="G39" i="1"/>
  <c r="F29" i="1"/>
  <c r="F48" i="1"/>
  <c r="J48" i="1"/>
  <c r="G48" i="1"/>
  <c r="F28" i="1"/>
  <c r="F52" i="1"/>
  <c r="J52" i="1"/>
  <c r="G52" i="1"/>
  <c r="F20" i="1"/>
  <c r="F63" i="1"/>
  <c r="J63" i="1"/>
  <c r="G63" i="1"/>
  <c r="F45" i="1"/>
  <c r="G45" i="1"/>
  <c r="J45" i="1"/>
  <c r="M116" i="1"/>
  <c r="P116" i="1"/>
  <c r="L116" i="1"/>
  <c r="O116" i="1"/>
  <c r="N116" i="1"/>
  <c r="O78" i="1"/>
  <c r="N78" i="1"/>
  <c r="M78" i="1"/>
  <c r="P78" i="1"/>
  <c r="L78" i="1"/>
  <c r="P125" i="1"/>
  <c r="L125" i="1"/>
  <c r="O125" i="1"/>
  <c r="N125" i="1"/>
  <c r="M125" i="1"/>
  <c r="O130" i="1"/>
  <c r="N130" i="1"/>
  <c r="M130" i="1"/>
  <c r="P130" i="1"/>
  <c r="L130" i="1"/>
  <c r="P149" i="1"/>
  <c r="L149" i="1"/>
  <c r="O149" i="1"/>
  <c r="N149" i="1"/>
  <c r="M149" i="1"/>
  <c r="N75" i="1"/>
  <c r="M75" i="1"/>
  <c r="P75" i="1"/>
  <c r="L75" i="1"/>
  <c r="O75" i="1"/>
  <c r="P65" i="1"/>
  <c r="L65" i="1"/>
  <c r="O65" i="1"/>
  <c r="N65" i="1"/>
  <c r="M65" i="1"/>
  <c r="P121" i="1"/>
  <c r="L121" i="1"/>
  <c r="O121" i="1"/>
  <c r="N121" i="1"/>
  <c r="M121" i="1"/>
  <c r="O150" i="1"/>
  <c r="N150" i="1"/>
  <c r="M150" i="1"/>
  <c r="P150" i="1"/>
  <c r="L150" i="1"/>
  <c r="P157" i="1"/>
  <c r="L157" i="1"/>
  <c r="O157" i="1"/>
  <c r="N157" i="1"/>
  <c r="M157" i="1"/>
  <c r="P109" i="1"/>
  <c r="L109" i="1"/>
  <c r="O109" i="1"/>
  <c r="N109" i="1"/>
  <c r="M109" i="1"/>
  <c r="P93" i="1"/>
  <c r="L93" i="1"/>
  <c r="O93" i="1"/>
  <c r="N93" i="1"/>
  <c r="M93" i="1"/>
  <c r="N71" i="1"/>
  <c r="M71" i="1"/>
  <c r="P71" i="1"/>
  <c r="L71" i="1"/>
  <c r="O71" i="1"/>
  <c r="O158" i="1"/>
  <c r="N158" i="1"/>
  <c r="M158" i="1"/>
  <c r="P158" i="1"/>
  <c r="L158" i="1"/>
  <c r="O118" i="1"/>
  <c r="N118" i="1"/>
  <c r="M118" i="1"/>
  <c r="P118" i="1"/>
  <c r="L118" i="1"/>
  <c r="N131" i="1"/>
  <c r="M131" i="1"/>
  <c r="P131" i="1"/>
  <c r="L131" i="1"/>
  <c r="O131" i="1"/>
  <c r="N163" i="1"/>
  <c r="M163" i="1"/>
  <c r="P163" i="1"/>
  <c r="L163" i="1"/>
  <c r="O163" i="1"/>
  <c r="N115" i="1"/>
  <c r="M115" i="1"/>
  <c r="P115" i="1"/>
  <c r="L115" i="1"/>
  <c r="O115" i="1"/>
  <c r="M108" i="1"/>
  <c r="P108" i="1"/>
  <c r="L108" i="1"/>
  <c r="O108" i="1"/>
  <c r="N108" i="1"/>
  <c r="N103" i="1"/>
  <c r="M103" i="1"/>
  <c r="P103" i="1"/>
  <c r="L103" i="1"/>
  <c r="O103" i="1"/>
  <c r="O98" i="1"/>
  <c r="N98" i="1"/>
  <c r="M98" i="1"/>
  <c r="P98" i="1"/>
  <c r="L98" i="1"/>
  <c r="N139" i="1"/>
  <c r="M139" i="1"/>
  <c r="P139" i="1"/>
  <c r="L139" i="1"/>
  <c r="O139" i="1"/>
  <c r="P137" i="1"/>
  <c r="L137" i="1"/>
  <c r="O137" i="1"/>
  <c r="N137" i="1"/>
  <c r="M137" i="1"/>
  <c r="P133" i="1"/>
  <c r="L133" i="1"/>
  <c r="O133" i="1"/>
  <c r="N133" i="1"/>
  <c r="M133" i="1"/>
  <c r="M152" i="1"/>
  <c r="P152" i="1"/>
  <c r="L152" i="1"/>
  <c r="O152" i="1"/>
  <c r="N152" i="1"/>
  <c r="N143" i="1"/>
  <c r="M143" i="1"/>
  <c r="P143" i="1"/>
  <c r="L143" i="1"/>
  <c r="O143" i="1"/>
  <c r="O162" i="1"/>
  <c r="N162" i="1"/>
  <c r="M162" i="1"/>
  <c r="P162" i="1"/>
  <c r="L162" i="1"/>
  <c r="N87" i="1"/>
  <c r="M87" i="1"/>
  <c r="P87" i="1"/>
  <c r="L87" i="1"/>
  <c r="O87" i="1"/>
  <c r="P105" i="1"/>
  <c r="L105" i="1"/>
  <c r="O105" i="1"/>
  <c r="N105" i="1"/>
  <c r="M105" i="1"/>
  <c r="O122" i="1"/>
  <c r="N122" i="1"/>
  <c r="M122" i="1"/>
  <c r="P122" i="1"/>
  <c r="L122" i="1"/>
  <c r="M148" i="1"/>
  <c r="P148" i="1"/>
  <c r="L148" i="1"/>
  <c r="O148" i="1"/>
  <c r="N148" i="1"/>
  <c r="M160" i="1"/>
  <c r="P160" i="1"/>
  <c r="L160" i="1"/>
  <c r="O160" i="1"/>
  <c r="N160" i="1"/>
  <c r="M124" i="1"/>
  <c r="P124" i="1"/>
  <c r="L124" i="1"/>
  <c r="O124" i="1"/>
  <c r="N124" i="1"/>
  <c r="P169" i="1"/>
  <c r="L169" i="1"/>
  <c r="O169" i="1"/>
  <c r="N169" i="1"/>
  <c r="M169" i="1"/>
  <c r="P101" i="1"/>
  <c r="L101" i="1"/>
  <c r="O101" i="1"/>
  <c r="N101" i="1"/>
  <c r="M101" i="1"/>
  <c r="N83" i="1"/>
  <c r="M83" i="1"/>
  <c r="P83" i="1"/>
  <c r="L83" i="1"/>
  <c r="O83" i="1"/>
  <c r="P165" i="1"/>
  <c r="L165" i="1"/>
  <c r="O165" i="1"/>
  <c r="N165" i="1"/>
  <c r="M165" i="1"/>
  <c r="M76" i="1"/>
  <c r="P76" i="1"/>
  <c r="L76" i="1"/>
  <c r="O76" i="1"/>
  <c r="N76" i="1"/>
  <c r="N171" i="1"/>
  <c r="M171" i="1"/>
  <c r="P171" i="1"/>
  <c r="L171" i="1"/>
  <c r="O171" i="1"/>
  <c r="M132" i="1"/>
  <c r="P132" i="1"/>
  <c r="L132" i="1"/>
  <c r="O132" i="1"/>
  <c r="N132" i="1"/>
  <c r="M104" i="1"/>
  <c r="P104" i="1"/>
  <c r="L104" i="1"/>
  <c r="O104" i="1"/>
  <c r="N104" i="1"/>
  <c r="P81" i="1"/>
  <c r="L81" i="1"/>
  <c r="O81" i="1"/>
  <c r="N81" i="1"/>
  <c r="M81" i="1"/>
  <c r="P77" i="1"/>
  <c r="L77" i="1"/>
  <c r="O77" i="1"/>
  <c r="N77" i="1"/>
  <c r="M77" i="1"/>
  <c r="N151" i="1"/>
  <c r="M151" i="1"/>
  <c r="P151" i="1"/>
  <c r="L151" i="1"/>
  <c r="O151" i="1"/>
  <c r="N95" i="1"/>
  <c r="M95" i="1"/>
  <c r="P95" i="1"/>
  <c r="L95" i="1"/>
  <c r="O95" i="1"/>
  <c r="O142" i="1"/>
  <c r="N142" i="1"/>
  <c r="M142" i="1"/>
  <c r="P142" i="1"/>
  <c r="L142" i="1"/>
  <c r="O170" i="1"/>
  <c r="N170" i="1"/>
  <c r="M170" i="1"/>
  <c r="P170" i="1"/>
  <c r="L170" i="1"/>
  <c r="M168" i="1"/>
  <c r="P168" i="1"/>
  <c r="L168" i="1"/>
  <c r="O168" i="1"/>
  <c r="N168" i="1"/>
  <c r="P145" i="1"/>
  <c r="L145" i="1"/>
  <c r="O145" i="1"/>
  <c r="N145" i="1"/>
  <c r="M145" i="1"/>
  <c r="M112" i="1"/>
  <c r="P112" i="1"/>
  <c r="L112" i="1"/>
  <c r="O112" i="1"/>
  <c r="N112" i="1"/>
  <c r="O74" i="1"/>
  <c r="N74" i="1"/>
  <c r="M74" i="1"/>
  <c r="P74" i="1"/>
  <c r="L74" i="1"/>
  <c r="M88" i="1"/>
  <c r="P88" i="1"/>
  <c r="L88" i="1"/>
  <c r="O88" i="1"/>
  <c r="N88" i="1"/>
  <c r="N155" i="1"/>
  <c r="M155" i="1"/>
  <c r="P155" i="1"/>
  <c r="L155" i="1"/>
  <c r="O155" i="1"/>
  <c r="N107" i="1"/>
  <c r="M107" i="1"/>
  <c r="P107" i="1"/>
  <c r="L107" i="1"/>
  <c r="O107" i="1"/>
  <c r="P89" i="1"/>
  <c r="L89" i="1"/>
  <c r="O89" i="1"/>
  <c r="N89" i="1"/>
  <c r="M89" i="1"/>
  <c r="O86" i="1"/>
  <c r="N86" i="1"/>
  <c r="M86" i="1"/>
  <c r="P86" i="1"/>
  <c r="L86" i="1"/>
  <c r="O70" i="1"/>
  <c r="N70" i="1"/>
  <c r="M70" i="1"/>
  <c r="P70" i="1"/>
  <c r="L70" i="1"/>
  <c r="N99" i="1"/>
  <c r="M99" i="1"/>
  <c r="P99" i="1"/>
  <c r="L99" i="1"/>
  <c r="O99" i="1"/>
  <c r="N167" i="1"/>
  <c r="M167" i="1"/>
  <c r="P167" i="1"/>
  <c r="L167" i="1"/>
  <c r="O167" i="1"/>
  <c r="N119" i="1"/>
  <c r="M119" i="1"/>
  <c r="P119" i="1"/>
  <c r="L119" i="1"/>
  <c r="O119" i="1"/>
  <c r="N127" i="1"/>
  <c r="M127" i="1"/>
  <c r="P127" i="1"/>
  <c r="L127" i="1"/>
  <c r="O127" i="1"/>
  <c r="M120" i="1"/>
  <c r="P120" i="1"/>
  <c r="L120" i="1"/>
  <c r="O120" i="1"/>
  <c r="N120" i="1"/>
  <c r="O106" i="1"/>
  <c r="N106" i="1"/>
  <c r="M106" i="1"/>
  <c r="P106" i="1"/>
  <c r="L106" i="1"/>
  <c r="N79" i="1"/>
  <c r="M79" i="1"/>
  <c r="P79" i="1"/>
  <c r="L79" i="1"/>
  <c r="O79" i="1"/>
  <c r="P85" i="1"/>
  <c r="L85" i="1"/>
  <c r="O85" i="1"/>
  <c r="N85" i="1"/>
  <c r="M85" i="1"/>
  <c r="P69" i="1"/>
  <c r="L69" i="1"/>
  <c r="O69" i="1"/>
  <c r="N69" i="1"/>
  <c r="M69" i="1"/>
  <c r="O134" i="1"/>
  <c r="N134" i="1"/>
  <c r="M134" i="1"/>
  <c r="P134" i="1"/>
  <c r="L134" i="1"/>
  <c r="P73" i="1"/>
  <c r="L73" i="1"/>
  <c r="O73" i="1"/>
  <c r="N73" i="1"/>
  <c r="M73" i="1"/>
  <c r="M128" i="1"/>
  <c r="P128" i="1"/>
  <c r="L128" i="1"/>
  <c r="O128" i="1"/>
  <c r="N128" i="1"/>
  <c r="M140" i="1"/>
  <c r="P140" i="1"/>
  <c r="L140" i="1"/>
  <c r="O140" i="1"/>
  <c r="N140" i="1"/>
  <c r="O102" i="1"/>
  <c r="N102" i="1"/>
  <c r="M102" i="1"/>
  <c r="P102" i="1"/>
  <c r="L102" i="1"/>
  <c r="O94" i="1"/>
  <c r="N94" i="1"/>
  <c r="M94" i="1"/>
  <c r="P94" i="1"/>
  <c r="L94" i="1"/>
  <c r="M64" i="1"/>
  <c r="P64" i="1"/>
  <c r="L64" i="1"/>
  <c r="O64" i="1"/>
  <c r="N64" i="1"/>
  <c r="P117" i="1"/>
  <c r="L117" i="1"/>
  <c r="O117" i="1"/>
  <c r="N117" i="1"/>
  <c r="M117" i="1"/>
  <c r="N91" i="1"/>
  <c r="M91" i="1"/>
  <c r="P91" i="1"/>
  <c r="L91" i="1"/>
  <c r="O91" i="1"/>
  <c r="O166" i="1"/>
  <c r="N166" i="1"/>
  <c r="M166" i="1"/>
  <c r="P166" i="1"/>
  <c r="L166" i="1"/>
  <c r="O146" i="1"/>
  <c r="N146" i="1"/>
  <c r="M146" i="1"/>
  <c r="P146" i="1"/>
  <c r="L146" i="1"/>
  <c r="M164" i="1"/>
  <c r="P164" i="1"/>
  <c r="L164" i="1"/>
  <c r="O164" i="1"/>
  <c r="N164" i="1"/>
  <c r="M172" i="1"/>
  <c r="P172" i="1"/>
  <c r="L172" i="1"/>
  <c r="O172" i="1"/>
  <c r="N172" i="1"/>
  <c r="N123" i="1"/>
  <c r="M123" i="1"/>
  <c r="P123" i="1"/>
  <c r="L123" i="1"/>
  <c r="O123" i="1"/>
  <c r="M68" i="1"/>
  <c r="P68" i="1"/>
  <c r="L68" i="1"/>
  <c r="O68" i="1"/>
  <c r="N68" i="1"/>
  <c r="O82" i="1"/>
  <c r="N82" i="1"/>
  <c r="M82" i="1"/>
  <c r="P82" i="1"/>
  <c r="L82" i="1"/>
  <c r="P173" i="1"/>
  <c r="L173" i="1"/>
  <c r="O173" i="1"/>
  <c r="N173" i="1"/>
  <c r="M173" i="1"/>
  <c r="O126" i="1"/>
  <c r="N126" i="1"/>
  <c r="M126" i="1"/>
  <c r="P126" i="1"/>
  <c r="L126" i="1"/>
  <c r="N147" i="1"/>
  <c r="M147" i="1"/>
  <c r="P147" i="1"/>
  <c r="L147" i="1"/>
  <c r="O147" i="1"/>
  <c r="O114" i="1"/>
  <c r="N114" i="1"/>
  <c r="M114" i="1"/>
  <c r="P114" i="1"/>
  <c r="L114" i="1"/>
  <c r="M100" i="1"/>
  <c r="P100" i="1"/>
  <c r="L100" i="1"/>
  <c r="O100" i="1"/>
  <c r="N100" i="1"/>
  <c r="M84" i="1"/>
  <c r="P84" i="1"/>
  <c r="L84" i="1"/>
  <c r="O84" i="1"/>
  <c r="N84" i="1"/>
  <c r="M144" i="1"/>
  <c r="P144" i="1"/>
  <c r="L144" i="1"/>
  <c r="O144" i="1"/>
  <c r="N144" i="1"/>
  <c r="O110" i="1"/>
  <c r="N110" i="1"/>
  <c r="M110" i="1"/>
  <c r="P110" i="1"/>
  <c r="L110" i="1"/>
  <c r="P141" i="1"/>
  <c r="L141" i="1"/>
  <c r="O141" i="1"/>
  <c r="N141" i="1"/>
  <c r="M141" i="1"/>
  <c r="M156" i="1"/>
  <c r="P156" i="1"/>
  <c r="L156" i="1"/>
  <c r="O156" i="1"/>
  <c r="N156" i="1"/>
  <c r="O154" i="1"/>
  <c r="N154" i="1"/>
  <c r="M154" i="1"/>
  <c r="P154" i="1"/>
  <c r="L154" i="1"/>
  <c r="N67" i="1"/>
  <c r="M67" i="1"/>
  <c r="P67" i="1"/>
  <c r="L67" i="1"/>
  <c r="O67" i="1"/>
  <c r="O138" i="1"/>
  <c r="N138" i="1"/>
  <c r="M138" i="1"/>
  <c r="P138" i="1"/>
  <c r="L138" i="1"/>
  <c r="M72" i="1"/>
  <c r="P72" i="1"/>
  <c r="L72" i="1"/>
  <c r="O72" i="1"/>
  <c r="N72" i="1"/>
  <c r="N159" i="1"/>
  <c r="M159" i="1"/>
  <c r="P159" i="1"/>
  <c r="L159" i="1"/>
  <c r="O159" i="1"/>
  <c r="N111" i="1"/>
  <c r="M111" i="1"/>
  <c r="P111" i="1"/>
  <c r="L111" i="1"/>
  <c r="O111" i="1"/>
  <c r="P97" i="1"/>
  <c r="L97" i="1"/>
  <c r="O97" i="1"/>
  <c r="N97" i="1"/>
  <c r="M97" i="1"/>
  <c r="M96" i="1"/>
  <c r="P96" i="1"/>
  <c r="L96" i="1"/>
  <c r="O96" i="1"/>
  <c r="N96" i="1"/>
  <c r="O90" i="1"/>
  <c r="N90" i="1"/>
  <c r="M90" i="1"/>
  <c r="P90" i="1"/>
  <c r="L90" i="1"/>
  <c r="P129" i="1"/>
  <c r="L129" i="1"/>
  <c r="O129" i="1"/>
  <c r="N129" i="1"/>
  <c r="M129" i="1"/>
  <c r="M80" i="1"/>
  <c r="P80" i="1"/>
  <c r="L80" i="1"/>
  <c r="O80" i="1"/>
  <c r="N80" i="1"/>
  <c r="O66" i="1"/>
  <c r="N66" i="1"/>
  <c r="M66" i="1"/>
  <c r="P66" i="1"/>
  <c r="L66" i="1"/>
  <c r="P153" i="1"/>
  <c r="L153" i="1"/>
  <c r="O153" i="1"/>
  <c r="N153" i="1"/>
  <c r="M153" i="1"/>
  <c r="N135" i="1"/>
  <c r="M135" i="1"/>
  <c r="P135" i="1"/>
  <c r="L135" i="1"/>
  <c r="O135" i="1"/>
  <c r="M136" i="1"/>
  <c r="P136" i="1"/>
  <c r="L136" i="1"/>
  <c r="O136" i="1"/>
  <c r="N136" i="1"/>
  <c r="P113" i="1"/>
  <c r="L113" i="1"/>
  <c r="O113" i="1"/>
  <c r="N113" i="1"/>
  <c r="M113" i="1"/>
  <c r="M92" i="1"/>
  <c r="P92" i="1"/>
  <c r="L92" i="1"/>
  <c r="O92" i="1"/>
  <c r="N92" i="1"/>
  <c r="P161" i="1"/>
  <c r="L161" i="1"/>
  <c r="O161" i="1"/>
  <c r="N161" i="1"/>
  <c r="M161" i="1"/>
  <c r="C15" i="1"/>
  <c r="I15" i="1" s="1"/>
  <c r="C17" i="1"/>
  <c r="S17" i="1" s="1"/>
  <c r="C20" i="1"/>
  <c r="I20" i="1" s="1"/>
  <c r="U63" i="1"/>
  <c r="T9" i="1"/>
  <c r="T56" i="1"/>
  <c r="R9" i="1"/>
  <c r="S59" i="1"/>
  <c r="U22" i="1"/>
  <c r="S24" i="1"/>
  <c r="S41" i="1"/>
  <c r="S23" i="1"/>
  <c r="C35" i="1"/>
  <c r="I35" i="1" s="1"/>
  <c r="R11" i="1"/>
  <c r="R33" i="1"/>
  <c r="U61" i="1"/>
  <c r="S36" i="1"/>
  <c r="T31" i="1"/>
  <c r="T55" i="1"/>
  <c r="S32" i="1"/>
  <c r="T49" i="1"/>
  <c r="R26" i="1"/>
  <c r="C37" i="1"/>
  <c r="I37" i="1" s="1"/>
  <c r="S42" i="1"/>
  <c r="T64" i="1"/>
  <c r="C129" i="1"/>
  <c r="C50" i="1"/>
  <c r="I50" i="1" s="1"/>
  <c r="S52" i="1"/>
  <c r="C45" i="1"/>
  <c r="I45" i="1" s="1"/>
  <c r="I9" i="1"/>
  <c r="C55" i="1"/>
  <c r="I55" i="1" s="1"/>
  <c r="R64" i="1"/>
  <c r="U35" i="1"/>
  <c r="G145" i="1"/>
  <c r="C165" i="1"/>
  <c r="C117" i="1"/>
  <c r="G116" i="1"/>
  <c r="F125" i="1"/>
  <c r="C132" i="1"/>
  <c r="S64" i="1"/>
  <c r="G157" i="1"/>
  <c r="C158" i="1"/>
  <c r="F163" i="1"/>
  <c r="F115" i="1"/>
  <c r="G108" i="1"/>
  <c r="F139" i="1"/>
  <c r="C137" i="1"/>
  <c r="C143" i="1"/>
  <c r="C122" i="1"/>
  <c r="G148" i="1"/>
  <c r="F160" i="1"/>
  <c r="G124" i="1"/>
  <c r="G169" i="1"/>
  <c r="G142" i="1"/>
  <c r="C106" i="1"/>
  <c r="C134" i="1"/>
  <c r="F147" i="1"/>
  <c r="F114" i="1"/>
  <c r="G141" i="1"/>
  <c r="G154" i="1"/>
  <c r="G138" i="1"/>
  <c r="F159" i="1"/>
  <c r="G111" i="1"/>
  <c r="G136" i="1"/>
  <c r="G113" i="1"/>
  <c r="F161" i="1"/>
  <c r="U76" i="1"/>
  <c r="G95" i="1"/>
  <c r="R27" i="1"/>
  <c r="C22" i="1"/>
  <c r="I22" i="1" s="1"/>
  <c r="U40" i="1"/>
  <c r="U41" i="1"/>
  <c r="U23" i="1"/>
  <c r="T13" i="1"/>
  <c r="S35" i="1"/>
  <c r="T15" i="1"/>
  <c r="C21" i="1"/>
  <c r="I21" i="1" s="1"/>
  <c r="I11" i="1"/>
  <c r="T75" i="1"/>
  <c r="F65" i="1"/>
  <c r="S82" i="1"/>
  <c r="C59" i="1"/>
  <c r="I59" i="1" s="1"/>
  <c r="C13" i="1"/>
  <c r="I13" i="1" s="1"/>
  <c r="S71" i="1"/>
  <c r="J98" i="1"/>
  <c r="C16" i="1"/>
  <c r="I16" i="1" s="1"/>
  <c r="R34" i="1"/>
  <c r="T18" i="1"/>
  <c r="T61" i="1"/>
  <c r="R19" i="1"/>
  <c r="R36" i="1"/>
  <c r="T44" i="1"/>
  <c r="R47" i="1"/>
  <c r="U31" i="1"/>
  <c r="U54" i="1"/>
  <c r="T35" i="1"/>
  <c r="R40" i="1"/>
  <c r="S27" i="1"/>
  <c r="T11" i="1"/>
  <c r="R74" i="1"/>
  <c r="T88" i="1"/>
  <c r="T86" i="1"/>
  <c r="C70" i="1"/>
  <c r="H99" i="1"/>
  <c r="S79" i="1"/>
  <c r="F85" i="1"/>
  <c r="H69" i="1"/>
  <c r="T102" i="1"/>
  <c r="T94" i="1"/>
  <c r="C14" i="1"/>
  <c r="I14" i="1" s="1"/>
  <c r="U60" i="1"/>
  <c r="U46" i="1"/>
  <c r="U25" i="1"/>
  <c r="S62" i="1"/>
  <c r="C32" i="1"/>
  <c r="I32" i="1" s="1"/>
  <c r="U26" i="1"/>
  <c r="I12" i="1"/>
  <c r="S30" i="1"/>
  <c r="C42" i="1"/>
  <c r="I42" i="1" s="1"/>
  <c r="C64" i="1"/>
  <c r="C78" i="1"/>
  <c r="T54" i="1"/>
  <c r="U59" i="1"/>
  <c r="S87" i="1"/>
  <c r="T83" i="1"/>
  <c r="T57" i="1"/>
  <c r="T33" i="1"/>
  <c r="S51" i="1"/>
  <c r="T17" i="1"/>
  <c r="R54" i="1"/>
  <c r="T41" i="1"/>
  <c r="R21" i="1"/>
  <c r="S22" i="1"/>
  <c r="U24" i="1"/>
  <c r="G131" i="1"/>
  <c r="R13" i="1"/>
  <c r="R100" i="1"/>
  <c r="R84" i="1"/>
  <c r="U67" i="1"/>
  <c r="J72" i="1"/>
  <c r="F97" i="1"/>
  <c r="R96" i="1"/>
  <c r="R66" i="1"/>
  <c r="G92" i="1"/>
  <c r="C58" i="1"/>
  <c r="I58" i="1" s="1"/>
  <c r="R38" i="1"/>
  <c r="R56" i="1"/>
  <c r="R50" i="1"/>
  <c r="T28" i="1"/>
  <c r="C52" i="1"/>
  <c r="I52" i="1" s="1"/>
  <c r="R20" i="1"/>
  <c r="I10" i="1"/>
  <c r="U45" i="1"/>
  <c r="C51" i="1"/>
  <c r="I51" i="1" s="1"/>
  <c r="R31" i="1"/>
  <c r="T34" i="1"/>
  <c r="T43" i="1"/>
  <c r="T32" i="1"/>
  <c r="T19" i="1"/>
  <c r="R42" i="1"/>
  <c r="U64" i="1"/>
  <c r="T12" i="1"/>
  <c r="T14" i="1"/>
  <c r="T46" i="1"/>
  <c r="U37" i="1"/>
  <c r="C61" i="1"/>
  <c r="I61" i="1" s="1"/>
  <c r="S47" i="1"/>
  <c r="U44" i="1"/>
  <c r="S25" i="1"/>
  <c r="S48" i="1"/>
  <c r="R17" i="1"/>
  <c r="S61" i="1"/>
  <c r="R18" i="1"/>
  <c r="T16" i="1"/>
  <c r="U33" i="1"/>
  <c r="U43" i="1"/>
  <c r="R57" i="1"/>
  <c r="C36" i="1"/>
  <c r="I36" i="1" s="1"/>
  <c r="S33" i="1"/>
  <c r="U51" i="1"/>
  <c r="R61" i="1"/>
  <c r="U47" i="1"/>
  <c r="R44" i="1"/>
  <c r="S57" i="1"/>
  <c r="T36" i="1"/>
  <c r="R43" i="1"/>
  <c r="U57" i="1"/>
  <c r="C34" i="1"/>
  <c r="I34" i="1" s="1"/>
  <c r="C47" i="1"/>
  <c r="I47" i="1" s="1"/>
  <c r="S31" i="1"/>
  <c r="C44" i="1"/>
  <c r="I44" i="1" s="1"/>
  <c r="U36" i="1"/>
  <c r="C19" i="1"/>
  <c r="I19" i="1" s="1"/>
  <c r="C18" i="1"/>
  <c r="I18" i="1" s="1"/>
  <c r="C33" i="1"/>
  <c r="I33" i="1" s="1"/>
  <c r="U34" i="1"/>
  <c r="R51" i="1"/>
  <c r="T51" i="1"/>
  <c r="C43" i="1"/>
  <c r="I43" i="1" s="1"/>
  <c r="S34" i="1"/>
  <c r="S43" i="1"/>
  <c r="T47" i="1"/>
  <c r="C31" i="1"/>
  <c r="I31" i="1" s="1"/>
  <c r="S44" i="1"/>
  <c r="C57" i="1"/>
  <c r="I57" i="1" s="1"/>
  <c r="R16" i="1"/>
  <c r="J92" i="1"/>
  <c r="T20" i="1"/>
  <c r="R29" i="1"/>
  <c r="T63" i="1"/>
  <c r="R63" i="1"/>
  <c r="U52" i="1"/>
  <c r="T45" i="1"/>
  <c r="T10" i="1"/>
  <c r="R39" i="1"/>
  <c r="U28" i="1"/>
  <c r="C161" i="1"/>
  <c r="S63" i="1"/>
  <c r="R92" i="1"/>
  <c r="U56" i="1"/>
  <c r="T52" i="1"/>
  <c r="G166" i="1"/>
  <c r="R45" i="1"/>
  <c r="F100" i="1"/>
  <c r="C63" i="1"/>
  <c r="I63" i="1" s="1"/>
  <c r="R52" i="1"/>
  <c r="R10" i="1"/>
  <c r="T58" i="1"/>
  <c r="S38" i="1"/>
  <c r="U58" i="1"/>
  <c r="S50" i="1"/>
  <c r="S45" i="1"/>
  <c r="R46" i="1"/>
  <c r="T37" i="1"/>
  <c r="S37" i="1"/>
  <c r="R60" i="1"/>
  <c r="T60" i="1"/>
  <c r="U42" i="1"/>
  <c r="C173" i="1"/>
  <c r="R55" i="1"/>
  <c r="U55" i="1"/>
  <c r="S46" i="1"/>
  <c r="R49" i="1"/>
  <c r="U49" i="1"/>
  <c r="T30" i="1"/>
  <c r="C30" i="1"/>
  <c r="I30" i="1" s="1"/>
  <c r="C60" i="1"/>
  <c r="I60" i="1" s="1"/>
  <c r="R32" i="1"/>
  <c r="T42" i="1"/>
  <c r="R12" i="1"/>
  <c r="R14" i="1"/>
  <c r="H88" i="1"/>
  <c r="S55" i="1"/>
  <c r="C46" i="1"/>
  <c r="I46" i="1" s="1"/>
  <c r="R37" i="1"/>
  <c r="H67" i="1"/>
  <c r="C49" i="1"/>
  <c r="I49" i="1" s="1"/>
  <c r="S49" i="1"/>
  <c r="U62" i="1"/>
  <c r="C62" i="1"/>
  <c r="I62" i="1" s="1"/>
  <c r="C72" i="1"/>
  <c r="U30" i="1"/>
  <c r="R30" i="1"/>
  <c r="J96" i="1"/>
  <c r="S60" i="1"/>
  <c r="U32" i="1"/>
  <c r="T26" i="1"/>
  <c r="S26" i="1"/>
  <c r="R25" i="1"/>
  <c r="C25" i="1"/>
  <c r="I25" i="1" s="1"/>
  <c r="T62" i="1"/>
  <c r="R62" i="1"/>
  <c r="R86" i="1"/>
  <c r="C26" i="1"/>
  <c r="I26" i="1" s="1"/>
  <c r="T25" i="1"/>
  <c r="R41" i="1"/>
  <c r="T22" i="1"/>
  <c r="C23" i="1"/>
  <c r="I23" i="1" s="1"/>
  <c r="T23" i="1"/>
  <c r="C24" i="1"/>
  <c r="I24" i="1" s="1"/>
  <c r="T24" i="1"/>
  <c r="T40" i="1"/>
  <c r="C27" i="1"/>
  <c r="I27" i="1" s="1"/>
  <c r="R15" i="1"/>
  <c r="U53" i="1"/>
  <c r="R35" i="1"/>
  <c r="C41" i="1"/>
  <c r="I41" i="1" s="1"/>
  <c r="R22" i="1"/>
  <c r="R24" i="1"/>
  <c r="C40" i="1"/>
  <c r="I40" i="1" s="1"/>
  <c r="C54" i="1"/>
  <c r="I54" i="1" s="1"/>
  <c r="T21" i="1"/>
  <c r="T59" i="1"/>
  <c r="R53" i="1"/>
  <c r="C53" i="1"/>
  <c r="I53" i="1" s="1"/>
  <c r="U27" i="1"/>
  <c r="S53" i="1"/>
  <c r="S54" i="1"/>
  <c r="R59" i="1"/>
  <c r="R23" i="1"/>
  <c r="S40" i="1"/>
  <c r="T53" i="1"/>
  <c r="T27" i="1"/>
  <c r="T39" i="1"/>
  <c r="C100" i="1"/>
  <c r="T67" i="1"/>
  <c r="C96" i="1"/>
  <c r="G161" i="1"/>
  <c r="F135" i="1"/>
  <c r="C66" i="1"/>
  <c r="C156" i="1"/>
  <c r="C28" i="1"/>
  <c r="I28" i="1" s="1"/>
  <c r="U29" i="1"/>
  <c r="T29" i="1"/>
  <c r="R97" i="1"/>
  <c r="U38" i="1"/>
  <c r="C113" i="1"/>
  <c r="H92" i="1"/>
  <c r="C92" i="1"/>
  <c r="S56" i="1"/>
  <c r="U48" i="1"/>
  <c r="R48" i="1"/>
  <c r="C135" i="1"/>
  <c r="S39" i="1"/>
  <c r="U39" i="1"/>
  <c r="S28" i="1"/>
  <c r="C29" i="1"/>
  <c r="I29" i="1" s="1"/>
  <c r="S29" i="1"/>
  <c r="C38" i="1"/>
  <c r="I38" i="1" s="1"/>
  <c r="J80" i="1"/>
  <c r="U92" i="1"/>
  <c r="C56" i="1"/>
  <c r="I56" i="1" s="1"/>
  <c r="C48" i="1"/>
  <c r="I48" i="1" s="1"/>
  <c r="T48" i="1"/>
  <c r="C126" i="1"/>
  <c r="C39" i="1"/>
  <c r="I39" i="1" s="1"/>
  <c r="T38" i="1"/>
  <c r="F113" i="1"/>
  <c r="T92" i="1"/>
  <c r="R58" i="1"/>
  <c r="S58" i="1"/>
  <c r="T50" i="1"/>
  <c r="R28" i="1"/>
  <c r="U50" i="1"/>
  <c r="C94" i="1"/>
  <c r="U99" i="1"/>
  <c r="U102" i="1"/>
  <c r="F140" i="1"/>
  <c r="F119" i="1"/>
  <c r="F88" i="1"/>
  <c r="T89" i="1"/>
  <c r="F70" i="1"/>
  <c r="C85" i="1"/>
  <c r="J94" i="1"/>
  <c r="C168" i="1"/>
  <c r="U74" i="1"/>
  <c r="C155" i="1"/>
  <c r="J89" i="1"/>
  <c r="H70" i="1"/>
  <c r="C73" i="1"/>
  <c r="F69" i="1"/>
  <c r="C74" i="1"/>
  <c r="T99" i="1"/>
  <c r="H73" i="1"/>
  <c r="G134" i="1"/>
  <c r="H94" i="1"/>
  <c r="C112" i="1"/>
  <c r="U79" i="1"/>
  <c r="G139" i="1"/>
  <c r="G70" i="1"/>
  <c r="F73" i="1"/>
  <c r="G128" i="1"/>
  <c r="S94" i="1"/>
  <c r="U94" i="1"/>
  <c r="J69" i="1"/>
  <c r="C142" i="1"/>
  <c r="F145" i="1"/>
  <c r="S89" i="1"/>
  <c r="H86" i="1"/>
  <c r="F106" i="1"/>
  <c r="T79" i="1"/>
  <c r="G85" i="1"/>
  <c r="G94" i="1"/>
  <c r="F94" i="1"/>
  <c r="R94" i="1"/>
  <c r="C167" i="1"/>
  <c r="G120" i="1"/>
  <c r="G144" i="1"/>
  <c r="J88" i="1"/>
  <c r="G133" i="1"/>
  <c r="G170" i="1"/>
  <c r="H74" i="1"/>
  <c r="F127" i="1"/>
  <c r="U100" i="1"/>
  <c r="U84" i="1"/>
  <c r="F67" i="1"/>
  <c r="J97" i="1"/>
  <c r="C154" i="1"/>
  <c r="S96" i="1"/>
  <c r="C153" i="1"/>
  <c r="U80" i="1"/>
  <c r="G114" i="1"/>
  <c r="T100" i="1"/>
  <c r="C84" i="1"/>
  <c r="S66" i="1"/>
  <c r="G97" i="1"/>
  <c r="R80" i="1"/>
  <c r="S92" i="1"/>
  <c r="F92" i="1"/>
  <c r="T90" i="1"/>
  <c r="C108" i="1"/>
  <c r="R77" i="1"/>
  <c r="R83" i="1"/>
  <c r="H71" i="1"/>
  <c r="C157" i="1"/>
  <c r="C109" i="1"/>
  <c r="C93" i="1"/>
  <c r="C163" i="1"/>
  <c r="H103" i="1"/>
  <c r="F101" i="1"/>
  <c r="F93" i="1"/>
  <c r="T103" i="1"/>
  <c r="R101" i="1"/>
  <c r="G122" i="1"/>
  <c r="C118" i="1"/>
  <c r="J68" i="1"/>
  <c r="R93" i="1"/>
  <c r="F71" i="1"/>
  <c r="F158" i="1"/>
  <c r="S103" i="1"/>
  <c r="C98" i="1"/>
  <c r="S101" i="1"/>
  <c r="R87" i="1"/>
  <c r="F87" i="1"/>
  <c r="R91" i="1"/>
  <c r="J93" i="1"/>
  <c r="C71" i="1"/>
  <c r="R98" i="1"/>
  <c r="J101" i="1"/>
  <c r="C124" i="1"/>
  <c r="C162" i="1"/>
  <c r="H87" i="1"/>
  <c r="C131" i="1"/>
  <c r="R76" i="1"/>
  <c r="J78" i="1"/>
  <c r="U75" i="1"/>
  <c r="G165" i="1"/>
  <c r="G117" i="1"/>
  <c r="J76" i="1"/>
  <c r="H68" i="1"/>
  <c r="G130" i="1"/>
  <c r="G91" i="1"/>
  <c r="C81" i="1"/>
  <c r="S91" i="1"/>
  <c r="U91" i="1"/>
  <c r="F91" i="1"/>
  <c r="C166" i="1"/>
  <c r="G132" i="1"/>
  <c r="G149" i="1"/>
  <c r="F149" i="1"/>
  <c r="C149" i="1"/>
  <c r="G123" i="1"/>
  <c r="F123" i="1"/>
  <c r="C123" i="1"/>
  <c r="R65" i="1"/>
  <c r="S65" i="1"/>
  <c r="U65" i="1"/>
  <c r="J65" i="1"/>
  <c r="T65" i="1"/>
  <c r="C65" i="1"/>
  <c r="C121" i="1"/>
  <c r="G121" i="1"/>
  <c r="F121" i="1"/>
  <c r="T95" i="1"/>
  <c r="U95" i="1"/>
  <c r="S95" i="1"/>
  <c r="J95" i="1"/>
  <c r="R95" i="1"/>
  <c r="C130" i="1"/>
  <c r="C95" i="1"/>
  <c r="G65" i="1"/>
  <c r="R81" i="1"/>
  <c r="H82" i="1"/>
  <c r="F166" i="1"/>
  <c r="C116" i="1"/>
  <c r="F171" i="1"/>
  <c r="G146" i="1"/>
  <c r="F146" i="1"/>
  <c r="F104" i="1"/>
  <c r="G164" i="1"/>
  <c r="F164" i="1"/>
  <c r="F172" i="1"/>
  <c r="C172" i="1"/>
  <c r="H75" i="1"/>
  <c r="R75" i="1"/>
  <c r="C75" i="1"/>
  <c r="G75" i="1"/>
  <c r="F75" i="1"/>
  <c r="S75" i="1"/>
  <c r="H77" i="1"/>
  <c r="F77" i="1"/>
  <c r="J77" i="1"/>
  <c r="U77" i="1"/>
  <c r="S77" i="1"/>
  <c r="T77" i="1"/>
  <c r="C77" i="1"/>
  <c r="U68" i="1"/>
  <c r="G151" i="1"/>
  <c r="C151" i="1"/>
  <c r="U82" i="1"/>
  <c r="R82" i="1"/>
  <c r="T82" i="1"/>
  <c r="F82" i="1"/>
  <c r="G82" i="1"/>
  <c r="C150" i="1"/>
  <c r="G150" i="1"/>
  <c r="F150" i="1"/>
  <c r="F165" i="1"/>
  <c r="F117" i="1"/>
  <c r="T91" i="1"/>
  <c r="H76" i="1"/>
  <c r="G76" i="1"/>
  <c r="T76" i="1"/>
  <c r="H78" i="1"/>
  <c r="T78" i="1"/>
  <c r="S68" i="1"/>
  <c r="T68" i="1"/>
  <c r="C171" i="1"/>
  <c r="F116" i="1"/>
  <c r="J91" i="1"/>
  <c r="C76" i="1"/>
  <c r="S78" i="1"/>
  <c r="U78" i="1"/>
  <c r="R78" i="1"/>
  <c r="F68" i="1"/>
  <c r="R68" i="1"/>
  <c r="C164" i="1"/>
  <c r="G171" i="1"/>
  <c r="G104" i="1"/>
  <c r="F151" i="1"/>
  <c r="H95" i="1"/>
  <c r="H65" i="1"/>
  <c r="G172" i="1"/>
  <c r="J75" i="1"/>
  <c r="J82" i="1"/>
  <c r="G125" i="1"/>
  <c r="F130" i="1"/>
  <c r="U81" i="1"/>
  <c r="T81" i="1"/>
  <c r="S81" i="1"/>
  <c r="J81" i="1"/>
  <c r="G81" i="1"/>
  <c r="H81" i="1"/>
  <c r="C91" i="1"/>
  <c r="H91" i="1"/>
  <c r="S76" i="1"/>
  <c r="F76" i="1"/>
  <c r="F78" i="1"/>
  <c r="G78" i="1"/>
  <c r="C68" i="1"/>
  <c r="G68" i="1"/>
  <c r="C125" i="1"/>
  <c r="C146" i="1"/>
  <c r="F132" i="1"/>
  <c r="C104" i="1"/>
  <c r="G77" i="1"/>
  <c r="F95" i="1"/>
  <c r="F81" i="1"/>
  <c r="C82" i="1"/>
  <c r="F157" i="1"/>
  <c r="G109" i="1"/>
  <c r="T93" i="1"/>
  <c r="J71" i="1"/>
  <c r="G118" i="1"/>
  <c r="G115" i="1"/>
  <c r="U103" i="1"/>
  <c r="C103" i="1"/>
  <c r="F103" i="1"/>
  <c r="J103" i="1"/>
  <c r="C152" i="1"/>
  <c r="F109" i="1"/>
  <c r="H93" i="1"/>
  <c r="S93" i="1"/>
  <c r="U93" i="1"/>
  <c r="R71" i="1"/>
  <c r="T71" i="1"/>
  <c r="U71" i="1"/>
  <c r="G158" i="1"/>
  <c r="F118" i="1"/>
  <c r="F108" i="1"/>
  <c r="G103" i="1"/>
  <c r="H98" i="1"/>
  <c r="S98" i="1"/>
  <c r="T98" i="1"/>
  <c r="C139" i="1"/>
  <c r="C133" i="1"/>
  <c r="G152" i="1"/>
  <c r="G143" i="1"/>
  <c r="F169" i="1"/>
  <c r="G105" i="1"/>
  <c r="G101" i="1"/>
  <c r="U101" i="1"/>
  <c r="F124" i="1"/>
  <c r="G160" i="1"/>
  <c r="G162" i="1"/>
  <c r="J87" i="1"/>
  <c r="U87" i="1"/>
  <c r="S83" i="1"/>
  <c r="F83" i="1"/>
  <c r="G71" i="1"/>
  <c r="G163" i="1"/>
  <c r="C115" i="1"/>
  <c r="R103" i="1"/>
  <c r="U98" i="1"/>
  <c r="G98" i="1"/>
  <c r="F98" i="1"/>
  <c r="F133" i="1"/>
  <c r="F152" i="1"/>
  <c r="F143" i="1"/>
  <c r="C169" i="1"/>
  <c r="C105" i="1"/>
  <c r="F105" i="1"/>
  <c r="T101" i="1"/>
  <c r="C101" i="1"/>
  <c r="F122" i="1"/>
  <c r="C160" i="1"/>
  <c r="G87" i="1"/>
  <c r="C87" i="1"/>
  <c r="J83" i="1"/>
  <c r="F137" i="1"/>
  <c r="G83" i="1"/>
  <c r="G93" i="1"/>
  <c r="H101" i="1"/>
  <c r="F162" i="1"/>
  <c r="T87" i="1"/>
  <c r="F131" i="1"/>
  <c r="U83" i="1"/>
  <c r="F148" i="1"/>
  <c r="H83" i="1"/>
  <c r="C83" i="1"/>
  <c r="C148" i="1"/>
  <c r="G137" i="1"/>
  <c r="F170" i="1"/>
  <c r="G168" i="1"/>
  <c r="G112" i="1"/>
  <c r="G155" i="1"/>
  <c r="C107" i="1"/>
  <c r="G89" i="1"/>
  <c r="R89" i="1"/>
  <c r="U89" i="1"/>
  <c r="S86" i="1"/>
  <c r="G86" i="1"/>
  <c r="J86" i="1"/>
  <c r="F134" i="1"/>
  <c r="C140" i="1"/>
  <c r="R85" i="1"/>
  <c r="H85" i="1"/>
  <c r="F102" i="1"/>
  <c r="C102" i="1"/>
  <c r="J102" i="1"/>
  <c r="C128" i="1"/>
  <c r="S69" i="1"/>
  <c r="G167" i="1"/>
  <c r="C119" i="1"/>
  <c r="C127" i="1"/>
  <c r="C120" i="1"/>
  <c r="U88" i="1"/>
  <c r="F142" i="1"/>
  <c r="S74" i="1"/>
  <c r="T74" i="1"/>
  <c r="G74" i="1"/>
  <c r="G99" i="1"/>
  <c r="F99" i="1"/>
  <c r="R99" i="1"/>
  <c r="S99" i="1"/>
  <c r="U73" i="1"/>
  <c r="G79" i="1"/>
  <c r="C79" i="1"/>
  <c r="H79" i="1"/>
  <c r="C170" i="1"/>
  <c r="C145" i="1"/>
  <c r="F74" i="1"/>
  <c r="J74" i="1"/>
  <c r="F155" i="1"/>
  <c r="G107" i="1"/>
  <c r="F107" i="1"/>
  <c r="C89" i="1"/>
  <c r="F89" i="1"/>
  <c r="C86" i="1"/>
  <c r="T70" i="1"/>
  <c r="J70" i="1"/>
  <c r="U70" i="1"/>
  <c r="R70" i="1"/>
  <c r="C99" i="1"/>
  <c r="J73" i="1"/>
  <c r="G73" i="1"/>
  <c r="R73" i="1"/>
  <c r="S73" i="1"/>
  <c r="G106" i="1"/>
  <c r="R79" i="1"/>
  <c r="J79" i="1"/>
  <c r="G140" i="1"/>
  <c r="J85" i="1"/>
  <c r="U85" i="1"/>
  <c r="R102" i="1"/>
  <c r="G102" i="1"/>
  <c r="F128" i="1"/>
  <c r="G69" i="1"/>
  <c r="U69" i="1"/>
  <c r="F167" i="1"/>
  <c r="G119" i="1"/>
  <c r="G127" i="1"/>
  <c r="G88" i="1"/>
  <c r="C88" i="1"/>
  <c r="R88" i="1"/>
  <c r="F168" i="1"/>
  <c r="F112" i="1"/>
  <c r="H89" i="1"/>
  <c r="F86" i="1"/>
  <c r="U86" i="1"/>
  <c r="S70" i="1"/>
  <c r="J99" i="1"/>
  <c r="T73" i="1"/>
  <c r="F79" i="1"/>
  <c r="T85" i="1"/>
  <c r="S85" i="1"/>
  <c r="H102" i="1"/>
  <c r="S102" i="1"/>
  <c r="R69" i="1"/>
  <c r="T69" i="1"/>
  <c r="C69" i="1"/>
  <c r="F120" i="1"/>
  <c r="S88" i="1"/>
  <c r="G173" i="1"/>
  <c r="C147" i="1"/>
  <c r="C114" i="1"/>
  <c r="H100" i="1"/>
  <c r="G100" i="1"/>
  <c r="J66" i="1"/>
  <c r="F66" i="1"/>
  <c r="G66" i="1"/>
  <c r="G156" i="1"/>
  <c r="G67" i="1"/>
  <c r="R67" i="1"/>
  <c r="F153" i="1"/>
  <c r="G153" i="1"/>
  <c r="S80" i="1"/>
  <c r="C80" i="1"/>
  <c r="F136" i="1"/>
  <c r="U90" i="1"/>
  <c r="S90" i="1"/>
  <c r="F129" i="1"/>
  <c r="G129" i="1"/>
  <c r="F144" i="1"/>
  <c r="C110" i="1"/>
  <c r="G126" i="1"/>
  <c r="G135" i="1"/>
  <c r="H84" i="1"/>
  <c r="T84" i="1"/>
  <c r="G84" i="1"/>
  <c r="F138" i="1"/>
  <c r="S72" i="1"/>
  <c r="T72" i="1"/>
  <c r="C159" i="1"/>
  <c r="C111" i="1"/>
  <c r="F111" i="1"/>
  <c r="H97" i="1"/>
  <c r="S97" i="1"/>
  <c r="T96" i="1"/>
  <c r="H96" i="1"/>
  <c r="G96" i="1"/>
  <c r="F173" i="1"/>
  <c r="F126" i="1"/>
  <c r="G147" i="1"/>
  <c r="S100" i="1"/>
  <c r="J100" i="1"/>
  <c r="S84" i="1"/>
  <c r="J84" i="1"/>
  <c r="U66" i="1"/>
  <c r="C141" i="1"/>
  <c r="F154" i="1"/>
  <c r="C67" i="1"/>
  <c r="C138" i="1"/>
  <c r="H72" i="1"/>
  <c r="U72" i="1"/>
  <c r="G159" i="1"/>
  <c r="T97" i="1"/>
  <c r="U97" i="1"/>
  <c r="T80" i="1"/>
  <c r="H80" i="1"/>
  <c r="G80" i="1"/>
  <c r="C136" i="1"/>
  <c r="F90" i="1"/>
  <c r="G90" i="1"/>
  <c r="C90" i="1"/>
  <c r="J90" i="1"/>
  <c r="C144" i="1"/>
  <c r="F84" i="1"/>
  <c r="H66" i="1"/>
  <c r="T66" i="1"/>
  <c r="F141" i="1"/>
  <c r="F156" i="1"/>
  <c r="J67" i="1"/>
  <c r="S67" i="1"/>
  <c r="G72" i="1"/>
  <c r="R72" i="1"/>
  <c r="F72" i="1"/>
  <c r="C97" i="1"/>
  <c r="F96" i="1"/>
  <c r="U96" i="1"/>
  <c r="F80" i="1"/>
  <c r="R90" i="1"/>
  <c r="H90" i="1"/>
  <c r="F110" i="1"/>
  <c r="G110" i="1"/>
  <c r="S10" i="1" l="1"/>
  <c r="E13" i="1"/>
  <c r="F13" i="1" s="1"/>
  <c r="G13" i="1" s="1"/>
  <c r="E24" i="1"/>
  <c r="E28" i="1"/>
  <c r="E27" i="1"/>
  <c r="E20" i="1"/>
  <c r="E26" i="1"/>
  <c r="E25" i="1"/>
  <c r="E23" i="1"/>
  <c r="E22" i="1"/>
  <c r="E21" i="1"/>
  <c r="E10" i="1"/>
  <c r="F10" i="1" s="1"/>
  <c r="G10" i="1" s="1"/>
  <c r="E19" i="1"/>
  <c r="F19" i="1" s="1"/>
  <c r="G19" i="1" s="1"/>
  <c r="E9" i="1"/>
  <c r="F9" i="1" s="1"/>
  <c r="G9" i="1" s="1"/>
  <c r="E14" i="1"/>
  <c r="F14" i="1" s="1"/>
  <c r="G14" i="1" s="1"/>
  <c r="E17" i="1"/>
  <c r="F17" i="1" s="1"/>
  <c r="G17" i="1" s="1"/>
  <c r="E16" i="1"/>
  <c r="F16" i="1" s="1"/>
  <c r="G16" i="1" s="1"/>
  <c r="E18" i="1"/>
  <c r="F18" i="1" s="1"/>
  <c r="G18" i="1" s="1"/>
  <c r="E12" i="1"/>
  <c r="F12" i="1" s="1"/>
  <c r="G12" i="1" s="1"/>
  <c r="E11" i="1"/>
  <c r="F11" i="1" s="1"/>
  <c r="G11" i="1" s="1"/>
  <c r="E15" i="1"/>
  <c r="F15" i="1" s="1"/>
  <c r="G15" i="1" s="1"/>
  <c r="E52" i="1"/>
  <c r="G34" i="1"/>
  <c r="G22" i="1"/>
  <c r="J30" i="1"/>
  <c r="J26" i="1"/>
  <c r="E32" i="1"/>
  <c r="E62" i="1"/>
  <c r="E55" i="1"/>
  <c r="G25" i="1"/>
  <c r="E46" i="1"/>
  <c r="J31" i="1"/>
  <c r="J35" i="1"/>
  <c r="J23" i="1"/>
  <c r="E41" i="1"/>
  <c r="J24" i="1"/>
  <c r="J27" i="1"/>
  <c r="E63" i="1"/>
  <c r="G29" i="1"/>
  <c r="E39" i="1"/>
  <c r="E50" i="1"/>
  <c r="E58" i="1"/>
  <c r="E47" i="1"/>
  <c r="E36" i="1"/>
  <c r="G33" i="1"/>
  <c r="E43" i="1"/>
  <c r="E42" i="1"/>
  <c r="E30" i="1"/>
  <c r="E49" i="1"/>
  <c r="G32" i="1"/>
  <c r="J25" i="1"/>
  <c r="E45" i="1"/>
  <c r="G20" i="1"/>
  <c r="G28" i="1"/>
  <c r="J29" i="1"/>
  <c r="E38" i="1"/>
  <c r="G36" i="1"/>
  <c r="E61" i="1"/>
  <c r="J33" i="1"/>
  <c r="E57" i="1"/>
  <c r="G30" i="1"/>
  <c r="E37" i="1"/>
  <c r="G26" i="1"/>
  <c r="J32" i="1"/>
  <c r="E60" i="1"/>
  <c r="E31" i="1"/>
  <c r="E44" i="1"/>
  <c r="E51" i="1"/>
  <c r="J34" i="1"/>
  <c r="G21" i="1"/>
  <c r="E35" i="1"/>
  <c r="E54" i="1"/>
  <c r="E40" i="1"/>
  <c r="J22" i="1"/>
  <c r="E59" i="1"/>
  <c r="J28" i="1"/>
  <c r="E48" i="1"/>
  <c r="E29" i="1"/>
  <c r="E56" i="1"/>
  <c r="J36" i="1"/>
  <c r="E33" i="1"/>
  <c r="G31" i="1"/>
  <c r="E34" i="1"/>
  <c r="G35" i="1"/>
  <c r="G23" i="1"/>
  <c r="E53" i="1"/>
  <c r="G24" i="1"/>
  <c r="G27" i="1"/>
  <c r="H9" i="1"/>
  <c r="P9" i="1" s="1"/>
  <c r="I17" i="1"/>
  <c r="U20" i="1"/>
  <c r="U17" i="1"/>
  <c r="M20" i="1"/>
  <c r="S20" i="1"/>
  <c r="H15" i="1"/>
  <c r="P15" i="1" s="1"/>
  <c r="H20" i="1"/>
  <c r="P20" i="1" s="1"/>
  <c r="H17" i="1"/>
  <c r="S14" i="1"/>
  <c r="S15" i="1"/>
  <c r="U15" i="1"/>
  <c r="H56" i="1"/>
  <c r="P56" i="1" s="1"/>
  <c r="H49" i="1"/>
  <c r="O49" i="1" s="1"/>
  <c r="H10" i="1"/>
  <c r="P10" i="1" s="1"/>
  <c r="H58" i="1"/>
  <c r="O58" i="1" s="1"/>
  <c r="H42" i="1"/>
  <c r="H32" i="1"/>
  <c r="P32" i="1" s="1"/>
  <c r="H21" i="1"/>
  <c r="P21" i="1" s="1"/>
  <c r="H50" i="1"/>
  <c r="P50" i="1" s="1"/>
  <c r="H53" i="1"/>
  <c r="O53" i="1" s="1"/>
  <c r="H41" i="1"/>
  <c r="P41" i="1" s="1"/>
  <c r="H62" i="1"/>
  <c r="O62" i="1" s="1"/>
  <c r="U19" i="1"/>
  <c r="H61" i="1"/>
  <c r="O61" i="1" s="1"/>
  <c r="U14" i="1"/>
  <c r="S16" i="1"/>
  <c r="S21" i="1"/>
  <c r="H34" i="1"/>
  <c r="P34" i="1" s="1"/>
  <c r="H45" i="1"/>
  <c r="O45" i="1" s="1"/>
  <c r="U16" i="1"/>
  <c r="H48" i="1"/>
  <c r="O48" i="1" s="1"/>
  <c r="H38" i="1"/>
  <c r="P38" i="1" s="1"/>
  <c r="H43" i="1"/>
  <c r="P43" i="1" s="1"/>
  <c r="H52" i="1"/>
  <c r="O52" i="1" s="1"/>
  <c r="H64" i="1"/>
  <c r="H13" i="1"/>
  <c r="P13" i="1" s="1"/>
  <c r="H11" i="1"/>
  <c r="H55" i="1"/>
  <c r="P55" i="1" s="1"/>
  <c r="S19" i="1"/>
  <c r="U12" i="1"/>
  <c r="U18" i="1"/>
  <c r="S18" i="1"/>
  <c r="U21" i="1"/>
  <c r="U10" i="1"/>
  <c r="S9" i="1"/>
  <c r="U11" i="1"/>
  <c r="U9" i="1"/>
  <c r="S12" i="1"/>
  <c r="U13" i="1"/>
  <c r="S13" i="1"/>
  <c r="S11" i="1"/>
  <c r="H57" i="1"/>
  <c r="P57" i="1" s="1"/>
  <c r="H47" i="1"/>
  <c r="P47" i="1" s="1"/>
  <c r="H35" i="1"/>
  <c r="P35" i="1" s="1"/>
  <c r="H44" i="1"/>
  <c r="P44" i="1" s="1"/>
  <c r="H26" i="1"/>
  <c r="P26" i="1" s="1"/>
  <c r="H59" i="1"/>
  <c r="P59" i="1" s="1"/>
  <c r="H40" i="1"/>
  <c r="P40" i="1" s="1"/>
  <c r="H39" i="1"/>
  <c r="P39" i="1" s="1"/>
  <c r="H51" i="1"/>
  <c r="P51" i="1" s="1"/>
  <c r="H37" i="1"/>
  <c r="P37" i="1" s="1"/>
  <c r="H33" i="1"/>
  <c r="P33" i="1" s="1"/>
  <c r="H23" i="1"/>
  <c r="P23" i="1" s="1"/>
  <c r="H22" i="1"/>
  <c r="H30" i="1"/>
  <c r="P30" i="1" s="1"/>
  <c r="H27" i="1"/>
  <c r="P27" i="1" s="1"/>
  <c r="H24" i="1"/>
  <c r="P24" i="1" s="1"/>
  <c r="H29" i="1"/>
  <c r="P29" i="1" s="1"/>
  <c r="H25" i="1"/>
  <c r="P25" i="1" s="1"/>
  <c r="H28" i="1"/>
  <c r="H46" i="1"/>
  <c r="P46" i="1" s="1"/>
  <c r="H12" i="1"/>
  <c r="J12" i="1" s="1"/>
  <c r="H16" i="1"/>
  <c r="P16" i="1" s="1"/>
  <c r="H63" i="1"/>
  <c r="P63" i="1" s="1"/>
  <c r="H36" i="1"/>
  <c r="P36" i="1" s="1"/>
  <c r="H54" i="1"/>
  <c r="P54" i="1" s="1"/>
  <c r="H31" i="1"/>
  <c r="P31" i="1" s="1"/>
  <c r="H60" i="1"/>
  <c r="P60" i="1" s="1"/>
  <c r="H18" i="1"/>
  <c r="H19" i="1"/>
  <c r="P19" i="1" s="1"/>
  <c r="H14" i="1"/>
  <c r="P14" i="1" s="1"/>
  <c r="L27" i="1" l="1"/>
  <c r="O22" i="1"/>
  <c r="J19" i="1"/>
  <c r="O19" i="1" s="1"/>
  <c r="J16" i="1"/>
  <c r="O16" i="1" s="1"/>
  <c r="J21" i="1"/>
  <c r="O21" i="1" s="1"/>
  <c r="J20" i="1"/>
  <c r="O20" i="1" s="1"/>
  <c r="J14" i="1"/>
  <c r="O14" i="1" s="1"/>
  <c r="P17" i="1"/>
  <c r="J17" i="1"/>
  <c r="O17" i="1" s="1"/>
  <c r="J13" i="1"/>
  <c r="O13" i="1" s="1"/>
  <c r="J18" i="1"/>
  <c r="O18" i="1" s="1"/>
  <c r="J10" i="1"/>
  <c r="O10" i="1" s="1"/>
  <c r="J15" i="1"/>
  <c r="O15" i="1" s="1"/>
  <c r="J11" i="1"/>
  <c r="O11" i="1" s="1"/>
  <c r="J9" i="1"/>
  <c r="O9" i="1" s="1"/>
  <c r="L41" i="1"/>
  <c r="L52" i="1"/>
  <c r="L43" i="1"/>
  <c r="L48" i="1"/>
  <c r="L34" i="1"/>
  <c r="L56" i="1"/>
  <c r="L55" i="1"/>
  <c r="L38" i="1"/>
  <c r="L42" i="1"/>
  <c r="L21" i="1"/>
  <c r="L15" i="1"/>
  <c r="P62" i="1"/>
  <c r="L32" i="1"/>
  <c r="P49" i="1"/>
  <c r="L45" i="1"/>
  <c r="L61" i="1"/>
  <c r="L11" i="1"/>
  <c r="L62" i="1"/>
  <c r="L36" i="1"/>
  <c r="L50" i="1"/>
  <c r="L58" i="1"/>
  <c r="L49" i="1"/>
  <c r="L33" i="1"/>
  <c r="L26" i="1"/>
  <c r="L60" i="1"/>
  <c r="L57" i="1"/>
  <c r="L39" i="1"/>
  <c r="L17" i="1"/>
  <c r="P11" i="1"/>
  <c r="L59" i="1"/>
  <c r="L10" i="1"/>
  <c r="L24" i="1"/>
  <c r="L23" i="1"/>
  <c r="L40" i="1"/>
  <c r="L35" i="1"/>
  <c r="L63" i="1"/>
  <c r="P58" i="1"/>
  <c r="P45" i="1"/>
  <c r="P52" i="1"/>
  <c r="L14" i="1"/>
  <c r="O12" i="1"/>
  <c r="P12" i="1"/>
  <c r="L16" i="1"/>
  <c r="L18" i="1"/>
  <c r="L25" i="1"/>
  <c r="L37" i="1"/>
  <c r="L30" i="1"/>
  <c r="L51" i="1"/>
  <c r="L47" i="1"/>
  <c r="O42" i="1"/>
  <c r="P42" i="1"/>
  <c r="L20" i="1"/>
  <c r="P22" i="1"/>
  <c r="P18" i="1"/>
  <c r="P53" i="1"/>
  <c r="O28" i="1"/>
  <c r="P28" i="1"/>
  <c r="L13" i="1"/>
  <c r="L12" i="1"/>
  <c r="L19" i="1"/>
  <c r="L53" i="1"/>
  <c r="L31" i="1"/>
  <c r="L29" i="1"/>
  <c r="L22" i="1"/>
  <c r="L28" i="1"/>
  <c r="L44" i="1"/>
  <c r="L46" i="1"/>
  <c r="L54" i="1"/>
  <c r="P61" i="1"/>
  <c r="P48" i="1"/>
  <c r="M9" i="1"/>
  <c r="L9" i="1"/>
  <c r="O55" i="1"/>
  <c r="O56" i="1"/>
  <c r="O43" i="1"/>
  <c r="M15" i="1"/>
  <c r="M17" i="1"/>
  <c r="M28" i="1"/>
  <c r="M44" i="1"/>
  <c r="M46" i="1"/>
  <c r="O34" i="1"/>
  <c r="M54" i="1"/>
  <c r="M25" i="1"/>
  <c r="M37" i="1"/>
  <c r="M33" i="1"/>
  <c r="M26" i="1"/>
  <c r="M60" i="1"/>
  <c r="M57" i="1"/>
  <c r="M59" i="1"/>
  <c r="M39" i="1"/>
  <c r="M31" i="1"/>
  <c r="M29" i="1"/>
  <c r="M22" i="1"/>
  <c r="M23" i="1"/>
  <c r="M40" i="1"/>
  <c r="M35" i="1"/>
  <c r="M63" i="1"/>
  <c r="O32" i="1"/>
  <c r="M36" i="1"/>
  <c r="M27" i="1"/>
  <c r="M30" i="1"/>
  <c r="O38" i="1"/>
  <c r="M51" i="1"/>
  <c r="M47" i="1"/>
  <c r="O41" i="1"/>
  <c r="O50" i="1"/>
  <c r="M14" i="1"/>
  <c r="M16" i="1"/>
  <c r="M18" i="1"/>
  <c r="M12" i="1"/>
  <c r="M19" i="1"/>
  <c r="O26" i="1"/>
  <c r="N20" i="1"/>
  <c r="O23" i="1"/>
  <c r="O27" i="1"/>
  <c r="M10" i="1"/>
  <c r="O31" i="1"/>
  <c r="O46" i="1"/>
  <c r="M53" i="1"/>
  <c r="M48" i="1"/>
  <c r="M38" i="1"/>
  <c r="M43" i="1"/>
  <c r="M42" i="1"/>
  <c r="O39" i="1"/>
  <c r="O30" i="1"/>
  <c r="O54" i="1"/>
  <c r="M21" i="1"/>
  <c r="M62" i="1"/>
  <c r="M50" i="1"/>
  <c r="M41" i="1"/>
  <c r="M52" i="1"/>
  <c r="O57" i="1"/>
  <c r="O60" i="1"/>
  <c r="O29" i="1"/>
  <c r="M56" i="1"/>
  <c r="M55" i="1"/>
  <c r="M45" i="1"/>
  <c r="M61" i="1"/>
  <c r="O33" i="1"/>
  <c r="O40" i="1"/>
  <c r="O25" i="1"/>
  <c r="O63" i="1"/>
  <c r="M13" i="1"/>
  <c r="M34" i="1"/>
  <c r="M32" i="1"/>
  <c r="O35" i="1"/>
  <c r="M24" i="1"/>
  <c r="M58" i="1"/>
  <c r="M49" i="1"/>
  <c r="O51" i="1"/>
  <c r="O59" i="1"/>
  <c r="O44" i="1"/>
  <c r="O47" i="1"/>
  <c r="M11" i="1"/>
  <c r="O24" i="1"/>
  <c r="O37" i="1"/>
  <c r="O36" i="1"/>
  <c r="N9" i="1" l="1"/>
  <c r="N27" i="1"/>
  <c r="N37" i="1"/>
  <c r="N17" i="1"/>
  <c r="N15" i="1"/>
  <c r="N31" i="1"/>
  <c r="N36" i="1"/>
  <c r="N47" i="1"/>
  <c r="N35" i="1"/>
  <c r="N23" i="1"/>
  <c r="N29" i="1"/>
  <c r="N59" i="1"/>
  <c r="N60" i="1"/>
  <c r="N33" i="1"/>
  <c r="N44" i="1"/>
  <c r="N22" i="1"/>
  <c r="N25" i="1"/>
  <c r="N51" i="1"/>
  <c r="N30" i="1"/>
  <c r="N63" i="1"/>
  <c r="N40" i="1"/>
  <c r="N39" i="1"/>
  <c r="N57" i="1"/>
  <c r="N26" i="1"/>
  <c r="N54" i="1"/>
  <c r="N46" i="1"/>
  <c r="N28" i="1"/>
  <c r="N19" i="1"/>
  <c r="N12" i="1"/>
  <c r="N18" i="1"/>
  <c r="N16" i="1"/>
  <c r="N14" i="1"/>
  <c r="N10" i="1"/>
  <c r="N32" i="1"/>
  <c r="N42" i="1"/>
  <c r="N38" i="1"/>
  <c r="N49" i="1"/>
  <c r="N24" i="1"/>
  <c r="N61" i="1"/>
  <c r="N56" i="1"/>
  <c r="N41" i="1"/>
  <c r="N50" i="1"/>
  <c r="N21" i="1"/>
  <c r="N53" i="1"/>
  <c r="N34" i="1"/>
  <c r="N43" i="1"/>
  <c r="N13" i="1"/>
  <c r="N11" i="1"/>
  <c r="N58" i="1"/>
  <c r="N45" i="1"/>
  <c r="N55" i="1"/>
  <c r="N52" i="1"/>
  <c r="N62" i="1"/>
  <c r="N48" i="1"/>
</calcChain>
</file>

<file path=xl/sharedStrings.xml><?xml version="1.0" encoding="utf-8"?>
<sst xmlns="http://schemas.openxmlformats.org/spreadsheetml/2006/main" count="267" uniqueCount="149">
  <si>
    <t>Spine Point</t>
  </si>
  <si>
    <t>Salary</t>
  </si>
  <si>
    <t>CPAS</t>
  </si>
  <si>
    <t>CRSP</t>
  </si>
  <si>
    <t>USS</t>
  </si>
  <si>
    <t>NHS</t>
  </si>
  <si>
    <t>Level 7 Spine Points</t>
  </si>
  <si>
    <t>Grade Number</t>
  </si>
  <si>
    <t>No of Points</t>
  </si>
  <si>
    <t>Minimum</t>
  </si>
  <si>
    <t>Standard Max</t>
  </si>
  <si>
    <t>Super Max</t>
  </si>
  <si>
    <t>Match</t>
  </si>
  <si>
    <t>CLCONS - NEW</t>
  </si>
  <si>
    <t>CLLECT / CLCONS OLD</t>
  </si>
  <si>
    <t>APM Level 1</t>
  </si>
  <si>
    <t>APM Level 2</t>
  </si>
  <si>
    <t>APM Level 3</t>
  </si>
  <si>
    <t>APM Level 4</t>
  </si>
  <si>
    <t>APM Level 4 Training Grade</t>
  </si>
  <si>
    <t>Pension Schemes</t>
  </si>
  <si>
    <t>APM Level 5</t>
  </si>
  <si>
    <t>APM Level 6</t>
  </si>
  <si>
    <t>APM Level 7</t>
  </si>
  <si>
    <t>Child Care Services Level 1</t>
  </si>
  <si>
    <t>Child Care Services Level 2</t>
  </si>
  <si>
    <t>New Consultant Contract</t>
  </si>
  <si>
    <t>Clinical Consultant - Old Contract (GP)</t>
  </si>
  <si>
    <t>Clinical Lecturer / Medical Research Fellow</t>
  </si>
  <si>
    <t>O&amp;F Level 2</t>
  </si>
  <si>
    <t>O&amp;F Level 3</t>
  </si>
  <si>
    <t>R&amp;T Level 4</t>
  </si>
  <si>
    <t>R&amp;T Level 4a</t>
  </si>
  <si>
    <t>R&amp;T Level 4 Res Career Training Grade</t>
  </si>
  <si>
    <t>R&amp;T Level 5</t>
  </si>
  <si>
    <t>R&amp;T Extended Level 5</t>
  </si>
  <si>
    <t>R&amp;T Level 5 - Clinical Lecturers (Vet School)</t>
  </si>
  <si>
    <t>R&amp;T Level 6</t>
  </si>
  <si>
    <t>R&amp;T Level 6 - Clinical Associate Professors and Clinical Readers (Vet School)</t>
  </si>
  <si>
    <t>R&amp;T Level 7</t>
  </si>
  <si>
    <t>Technical Services Trainee</t>
  </si>
  <si>
    <t>Technical Services Level 1</t>
  </si>
  <si>
    <t>Technical Services Level 2</t>
  </si>
  <si>
    <t>Technical Services Level 3</t>
  </si>
  <si>
    <t>Technical Services Level 4</t>
  </si>
  <si>
    <t>Technical Services Level 5</t>
  </si>
  <si>
    <t>A rate stops</t>
  </si>
  <si>
    <t>TOTALS</t>
  </si>
  <si>
    <t>Salary + AVA</t>
  </si>
  <si>
    <t>AVA%</t>
  </si>
  <si>
    <t>Clinical Supplement %</t>
  </si>
  <si>
    <t>Clinical Supplement  Amount</t>
  </si>
  <si>
    <t>Notes &amp; Guidance</t>
  </si>
  <si>
    <t>If there is a Standard Maximum then this will be highlighted in Orange</t>
  </si>
  <si>
    <t>Pension &amp; NI</t>
  </si>
  <si>
    <t>The Salary Points &amp; Employer Costs for that grade will be displayed</t>
  </si>
  <si>
    <t>If the pension scheme is not available on this grade then the entry will show as '-'</t>
  </si>
  <si>
    <t>The 'Rates' tab gives the current Salary &amp; the Employers Pension &amp; NI costs</t>
  </si>
  <si>
    <t>Select From Drop-Down</t>
  </si>
  <si>
    <t>The 'Scale' is currently set to 100%. This can be adjusted using the + &amp; - buttons in the bottom right of Excel</t>
  </si>
  <si>
    <t>CRSP Employers % is calculated as 10% though in practice this could be a lower figure depending on what % the employee decides to contribute</t>
  </si>
  <si>
    <t>Not Contributing to a Pension</t>
  </si>
  <si>
    <t>Veterinary Scales will have AVA &amp; Clinical Supplements figures supplied to the right of the TOTALS. The figure the NI &amp; Pension is calculated on will be the Salary + the AVA %. The Clinical Supplement can be a % up to 15%, the figure in the spreadsheet will always show the maximum 15% figure</t>
  </si>
  <si>
    <t>APM6</t>
  </si>
  <si>
    <t>R&amp;T6</t>
  </si>
  <si>
    <t>TS5</t>
  </si>
  <si>
    <t>R&amp;T5</t>
  </si>
  <si>
    <t>APM5</t>
  </si>
  <si>
    <t>Extended R&amp;T5</t>
  </si>
  <si>
    <t>APM4</t>
  </si>
  <si>
    <t>R&amp;T4</t>
  </si>
  <si>
    <t>TS4</t>
  </si>
  <si>
    <t>No Pt 25</t>
  </si>
  <si>
    <t>APM4 TG</t>
  </si>
  <si>
    <t>R&amp;T4 TG</t>
  </si>
  <si>
    <t>R&amp;T 4a</t>
  </si>
  <si>
    <t>TS3</t>
  </si>
  <si>
    <t>APM3</t>
  </si>
  <si>
    <t>CCS2</t>
  </si>
  <si>
    <t>CCS1</t>
  </si>
  <si>
    <t>APM2</t>
  </si>
  <si>
    <t>TS2</t>
  </si>
  <si>
    <t>TS Trainee</t>
  </si>
  <si>
    <t>Point</t>
  </si>
  <si>
    <t>Level 1 Standard Max</t>
  </si>
  <si>
    <t>Level 2 Standard Max</t>
  </si>
  <si>
    <t>Level 3 Standard Max</t>
  </si>
  <si>
    <t>Level 4 Standard Max</t>
  </si>
  <si>
    <t>Level 5 Standard Max</t>
  </si>
  <si>
    <t>Level 6 Standard Max</t>
  </si>
  <si>
    <t>Apprenticeship</t>
  </si>
  <si>
    <t>Point Relates To</t>
  </si>
  <si>
    <t>Print Preview is automatically set but changes can be made in the page set up section if required</t>
  </si>
  <si>
    <t>LEL to ST</t>
  </si>
  <si>
    <t>Above UEL</t>
  </si>
  <si>
    <t>Lower Earnings Level (LEL)</t>
  </si>
  <si>
    <t>Secondary Threshold (ST)</t>
  </si>
  <si>
    <t>Upper Accrual Point (UAP)</t>
  </si>
  <si>
    <t>Primary Threshold (PT)</t>
  </si>
  <si>
    <t>ST to UAP</t>
  </si>
  <si>
    <t>NI THRESHOLDS &amp; RATES</t>
  </si>
  <si>
    <t>* Update the values of these cells to reflect the current NI Thresholds &amp; Rates</t>
  </si>
  <si>
    <t>UCEA point 2</t>
  </si>
  <si>
    <t>TS1</t>
  </si>
  <si>
    <t>APM1</t>
  </si>
  <si>
    <t>O&amp;F1-A</t>
  </si>
  <si>
    <t>O&amp;F1-B</t>
  </si>
  <si>
    <t>O&amp;F1-C</t>
  </si>
  <si>
    <t>O&amp;F1-D</t>
  </si>
  <si>
    <t>O&amp;F1-E</t>
  </si>
  <si>
    <t>O&amp;F2-A</t>
  </si>
  <si>
    <t>O&amp;F2-B</t>
  </si>
  <si>
    <t>O&amp;F3-A</t>
  </si>
  <si>
    <t>O&amp;F3-B</t>
  </si>
  <si>
    <t>Ers National Insurance</t>
  </si>
  <si>
    <t>USS Pens Cost</t>
  </si>
  <si>
    <t>NHS Pens Cost</t>
  </si>
  <si>
    <t>CPAS Pens Cost</t>
  </si>
  <si>
    <t>CRSP Pens Cost</t>
  </si>
  <si>
    <t>Points 1 &amp; 2 are not currently being used at the University of Nottingham. Our lowest point is point 3.</t>
  </si>
  <si>
    <t>National Insurance is now one single rate (which used to be A Rate). This now applies to all staff regardless of pension status from the 1st April 2016.</t>
  </si>
  <si>
    <t>D Rate from / USS Start</t>
  </si>
  <si>
    <t>USS Rate</t>
  </si>
  <si>
    <t>NHS Rate</t>
  </si>
  <si>
    <t>CPAS Rate</t>
  </si>
  <si>
    <t>CRSP Rate</t>
  </si>
  <si>
    <t>ERS Rates</t>
  </si>
  <si>
    <t>The below spinal scale is applicable to APM Level 7 Staff and all sub-families of Research &amp; Teaching Level 7 staff.</t>
  </si>
  <si>
    <t>STANDARD MAXIMUM</t>
  </si>
  <si>
    <t xml:space="preserve">THIS SHOWS ALL THE  LEVEL 7 SPINAL POINTS WITH THE LEVELS THAT RELATE TO THEM
JUST CLICK PRINT TO GET THIS AS A 1 PAGE DOCUMENT </t>
  </si>
  <si>
    <t>Level 7 Spinal Salary Scale</t>
  </si>
  <si>
    <t>Salary Points 3 to 57</t>
  </si>
  <si>
    <t>Point 3 Topup?</t>
  </si>
  <si>
    <t>Y</t>
  </si>
  <si>
    <t>*</t>
  </si>
  <si>
    <t>Drop-Down Selection 'Salary Points to 3 - 57' shows all the points. CRSP is available to the bottom of Level 3 &amp; USS from the bottom of Level 4</t>
  </si>
  <si>
    <t>Apprenticeship Levy</t>
  </si>
  <si>
    <t>NB: CPAS is not available to new employees
Since 1st April 2016, there has only been one single rate of NI, which applies to all employees.
From 06 April 2017, an apprenticeship levy is payable to HMRC which applies to all employees.</t>
  </si>
  <si>
    <t>Point 1 has been removed off the UCEA Salary Scale with effect 01 April 2017</t>
  </si>
  <si>
    <t>From 6 April 2017 a new Apprenticeship Levy applies to all staff at a single rate</t>
  </si>
  <si>
    <t>THIS SHOWS ALL THE POINTS 2 -57 WITH THE LEVELS THAT RELATE TO THEM
JUST CLICK PRINT TO GET THIS AS A 1 PAGE DOCUMENT - IT IS BEST DONE ON A COLOUR PRINTER</t>
  </si>
  <si>
    <t>CLDOCIT (Clinical Academic Doctors in Training</t>
  </si>
  <si>
    <t xml:space="preserve"> </t>
  </si>
  <si>
    <t>UCEA Pt 1 removed from scale 1/4/17</t>
  </si>
  <si>
    <t>Aug 17 - UCEA Pt 1 increased with same % increase as UCEA Pt 2 (2.43%)</t>
  </si>
  <si>
    <t>manually add new amount for point 1 (B3)</t>
  </si>
  <si>
    <t>CLDOCIT</t>
  </si>
  <si>
    <t>*Plus an annual topup payment of £773.00 (pro-rata) paid monthly, on Spinal Point 3, £459.00 (pro-rata) paid monthly, on Spinal Point 4 and £153.00 (pro-rata) paid monthly, on Spinal Point 5 all from 6th November 2017.</t>
  </si>
  <si>
    <r>
      <t xml:space="preserve">The Scale is currently 100% but can be altered using the + &amp; - buttons in the bottom right corner
Depending on your screen size &amp; resolution not all the Columns &amp; Rows may be visible so scroll down or across as required
Print Preview is automatically set but changes can be made if required
Please read the 'Notes &amp; Guidance' tab for further information
Any queries with the spreadsheet contact HR Systems Team on 15574
</t>
    </r>
    <r>
      <rPr>
        <b/>
        <i/>
        <sz val="10"/>
        <color rgb="FFFF0000"/>
        <rFont val="Calibri"/>
        <family val="2"/>
      </rPr>
      <t>Since 1st April 2017, there are no employers NIC payable for workers under 21 who earn less than £45000 (Upper Secondary Threshold).                                                                                                                                                                                                                                                                   From 1st August 2017 the Top Up amount for Spinal Point 3 only was £207.00, this was then changed from 6th November 2017. See further info below.</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</si>
</sst>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
    <numFmt numFmtId="165" formatCode="0.0%"/>
    <numFmt numFmtId="166" formatCode="&quot;£&quot;#,##0"/>
    <numFmt numFmtId="167" formatCode="0_ ;\-0\ "/>
    <numFmt numFmtId="168" formatCode="0_ ;[Red]\-0\ "/>
  </numFmts>
  <fonts count="35" x14ac:knownFonts="1">
    <font>
      <sz val="11"/>
      <color theme="1"/>
      <name val="Calibri"/>
    </font>
    <font>
      <sz val="10.5"/>
      <color theme="1"/>
      <name val="Trebuchet MS"/>
      <family val="2"/>
    </font>
    <font>
      <sz val="11"/>
      <color theme="1"/>
      <name val="Calibri"/>
      <family val="2"/>
      <scheme val="minor"/>
    </font>
    <font>
      <sz val="10"/>
      <name val="Arial"/>
      <family val="2"/>
    </font>
    <font>
      <sz val="14"/>
      <color theme="1"/>
      <name val="Calibri"/>
      <family val="2"/>
    </font>
    <font>
      <b/>
      <sz val="14"/>
      <color theme="1"/>
      <name val="Calibri"/>
      <family val="2"/>
    </font>
    <font>
      <sz val="10"/>
      <color indexed="8"/>
      <name val="Arial"/>
      <family val="2"/>
    </font>
    <font>
      <b/>
      <u/>
      <sz val="11"/>
      <color theme="1"/>
      <name val="Calibri"/>
      <family val="2"/>
    </font>
    <font>
      <b/>
      <i/>
      <sz val="11"/>
      <color theme="1"/>
      <name val="Calibri"/>
      <family val="2"/>
    </font>
    <font>
      <b/>
      <sz val="11"/>
      <color theme="1"/>
      <name val="Calibri"/>
      <family val="2"/>
    </font>
    <font>
      <b/>
      <sz val="12"/>
      <color theme="1"/>
      <name val="Calibri"/>
      <family val="2"/>
    </font>
    <font>
      <b/>
      <i/>
      <sz val="10"/>
      <color theme="1"/>
      <name val="Calibri"/>
      <family val="2"/>
    </font>
    <font>
      <b/>
      <sz val="16"/>
      <color theme="1"/>
      <name val="Calibri"/>
      <family val="2"/>
    </font>
    <font>
      <sz val="16"/>
      <color theme="1"/>
      <name val="Calibri"/>
      <family val="2"/>
    </font>
    <font>
      <sz val="11"/>
      <color theme="0"/>
      <name val="Calibri"/>
      <family val="2"/>
    </font>
    <font>
      <sz val="14"/>
      <color rgb="FF000000"/>
      <name val="Calibri"/>
      <family val="2"/>
    </font>
    <font>
      <sz val="11"/>
      <color rgb="FFFF0000"/>
      <name val="Calibri"/>
      <family val="2"/>
    </font>
    <font>
      <b/>
      <i/>
      <sz val="10"/>
      <color rgb="FFFF0000"/>
      <name val="Calibri"/>
      <family val="2"/>
    </font>
    <font>
      <b/>
      <sz val="11"/>
      <color rgb="FFFF0000"/>
      <name val="Calibri"/>
      <family val="2"/>
    </font>
    <font>
      <b/>
      <sz val="16"/>
      <color theme="0"/>
      <name val="Calibri"/>
      <family val="2"/>
    </font>
    <font>
      <b/>
      <sz val="11"/>
      <color theme="1" tint="0.14999847407452621"/>
      <name val="Calibri"/>
      <family val="2"/>
    </font>
    <font>
      <b/>
      <sz val="14"/>
      <color theme="1" tint="0.14999847407452621"/>
      <name val="Calibri"/>
      <family val="2"/>
    </font>
    <font>
      <b/>
      <i/>
      <sz val="14"/>
      <color theme="0" tint="-4.9989318521683403E-2"/>
      <name val="Calibri"/>
      <family val="2"/>
    </font>
    <font>
      <sz val="11"/>
      <color theme="1"/>
      <name val="Calibri"/>
      <family val="2"/>
    </font>
    <font>
      <b/>
      <sz val="14"/>
      <name val="Calibri"/>
      <family val="2"/>
    </font>
    <font>
      <b/>
      <sz val="10.5"/>
      <color theme="1"/>
      <name val="Trebuchet MS"/>
      <family val="2"/>
    </font>
    <font>
      <sz val="15"/>
      <color theme="1"/>
      <name val="Calibri"/>
      <family val="2"/>
    </font>
    <font>
      <b/>
      <sz val="25"/>
      <color theme="1"/>
      <name val="Calibri"/>
      <family val="2"/>
    </font>
    <font>
      <sz val="14"/>
      <color rgb="FFFF0000"/>
      <name val="Calibri"/>
      <family val="2"/>
    </font>
    <font>
      <b/>
      <sz val="14"/>
      <color theme="0"/>
      <name val="Calibri"/>
      <family val="2"/>
    </font>
    <font>
      <sz val="25"/>
      <color rgb="FFFF0000"/>
      <name val="Calibri"/>
      <family val="2"/>
    </font>
    <font>
      <b/>
      <sz val="11"/>
      <color theme="0"/>
      <name val="Calibri"/>
      <family val="2"/>
    </font>
    <font>
      <sz val="11"/>
      <color theme="1"/>
      <name val="Calibri"/>
      <family val="2"/>
    </font>
    <font>
      <sz val="11"/>
      <color theme="1"/>
      <name val="Arial"/>
      <family val="2"/>
    </font>
    <font>
      <sz val="11"/>
      <color rgb="FFFF0000"/>
      <name val="Arial"/>
      <family val="2"/>
    </font>
  </fonts>
  <fills count="21">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8" tint="0.59996337778862885"/>
        <bgColor indexed="64"/>
      </patternFill>
    </fill>
    <fill>
      <patternFill patternType="solid">
        <fgColor theme="1"/>
        <bgColor indexed="64"/>
      </patternFill>
    </fill>
    <fill>
      <patternFill patternType="solid">
        <fgColor theme="0"/>
        <bgColor indexed="64"/>
      </patternFill>
    </fill>
    <fill>
      <patternFill patternType="solid">
        <fgColor rgb="FF04FC1C"/>
        <bgColor indexed="64"/>
      </patternFill>
    </fill>
    <fill>
      <patternFill patternType="solid">
        <fgColor rgb="FF0000FF"/>
        <bgColor indexed="64"/>
      </patternFill>
    </fill>
    <fill>
      <patternFill patternType="solid">
        <fgColor rgb="FF66FF33"/>
        <bgColor indexed="64"/>
      </patternFill>
    </fill>
    <fill>
      <patternFill patternType="solid">
        <fgColor rgb="FF1D5FE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rgb="FFFF0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s>
  <cellStyleXfs count="7">
    <xf numFmtId="0" fontId="0" fillId="0" borderId="0"/>
    <xf numFmtId="0" fontId="3" fillId="0" borderId="0"/>
    <xf numFmtId="0" fontId="3" fillId="0" borderId="0"/>
    <xf numFmtId="0" fontId="3" fillId="0" borderId="0"/>
    <xf numFmtId="0" fontId="2" fillId="0" borderId="0"/>
    <xf numFmtId="9" fontId="32" fillId="0" borderId="0" applyFont="0" applyFill="0" applyBorder="0" applyAlignment="0" applyProtection="0"/>
    <xf numFmtId="43" fontId="32" fillId="0" borderId="0" applyFont="0" applyFill="0" applyBorder="0" applyAlignment="0" applyProtection="0"/>
  </cellStyleXfs>
  <cellXfs count="220">
    <xf numFmtId="0" fontId="0" fillId="0" borderId="0" xfId="0"/>
    <xf numFmtId="0" fontId="0" fillId="0" borderId="0" xfId="0"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5" fillId="2" borderId="1"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164" fontId="0" fillId="0" borderId="0" xfId="0" applyNumberFormat="1" applyAlignment="1" applyProtection="1">
      <alignment horizontal="center" vertical="center"/>
      <protection hidden="1"/>
    </xf>
    <xf numFmtId="164" fontId="0" fillId="0" borderId="0" xfId="0" applyNumberFormat="1" applyFill="1" applyBorder="1" applyAlignment="1" applyProtection="1">
      <alignment horizontal="center" vertical="center"/>
      <protection hidden="1"/>
    </xf>
    <xf numFmtId="0" fontId="4" fillId="0" borderId="0" xfId="0" applyFont="1" applyFill="1" applyAlignment="1" applyProtection="1">
      <alignment horizontal="center" vertical="center"/>
      <protection hidden="1"/>
    </xf>
    <xf numFmtId="0" fontId="0" fillId="0" borderId="0" xfId="0" applyAlignment="1" applyProtection="1">
      <alignment vertical="center"/>
      <protection hidden="1"/>
    </xf>
    <xf numFmtId="0" fontId="4" fillId="0" borderId="0" xfId="0" applyFont="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4" fillId="0" borderId="1" xfId="0" applyFont="1" applyBorder="1" applyAlignment="1" applyProtection="1">
      <alignment horizontal="center" vertical="center"/>
      <protection hidden="1"/>
    </xf>
    <xf numFmtId="0" fontId="4" fillId="0" borderId="1"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1" fontId="4" fillId="0" borderId="1" xfId="0" applyNumberFormat="1" applyFont="1" applyBorder="1" applyAlignment="1" applyProtection="1">
      <alignment horizontal="center" vertical="center"/>
      <protection hidden="1"/>
    </xf>
    <xf numFmtId="0" fontId="0" fillId="0" borderId="0" xfId="0" applyFont="1" applyAlignment="1" applyProtection="1">
      <alignment horizontal="center" vertical="center"/>
      <protection hidden="1"/>
    </xf>
    <xf numFmtId="0" fontId="0" fillId="0" borderId="0" xfId="0" applyFont="1" applyFill="1" applyAlignment="1" applyProtection="1">
      <alignment horizontal="center" vertical="center"/>
      <protection hidden="1"/>
    </xf>
    <xf numFmtId="0" fontId="0" fillId="0" borderId="0" xfId="0" applyFill="1" applyAlignment="1" applyProtection="1">
      <alignment horizontal="center" vertical="center"/>
      <protection hidden="1"/>
    </xf>
    <xf numFmtId="0" fontId="6" fillId="0" borderId="0" xfId="1" applyFont="1" applyFill="1" applyBorder="1" applyAlignment="1" applyProtection="1">
      <alignment horizontal="center" vertical="center" wrapText="1"/>
      <protection hidden="1"/>
    </xf>
    <xf numFmtId="0" fontId="0" fillId="0" borderId="0" xfId="0" applyAlignment="1" applyProtection="1">
      <alignment horizontal="center"/>
      <protection hidden="1"/>
    </xf>
    <xf numFmtId="0" fontId="0" fillId="0" borderId="0" xfId="0" applyProtection="1">
      <protection hidden="1"/>
    </xf>
    <xf numFmtId="0" fontId="6" fillId="0" borderId="0" xfId="1" applyFont="1" applyFill="1" applyBorder="1" applyAlignment="1" applyProtection="1">
      <alignment horizontal="left" vertical="top"/>
      <protection hidden="1"/>
    </xf>
    <xf numFmtId="0" fontId="6" fillId="0" borderId="0" xfId="1" applyFont="1" applyFill="1" applyBorder="1" applyAlignment="1" applyProtection="1">
      <alignment horizontal="center" vertical="top"/>
      <protection hidden="1"/>
    </xf>
    <xf numFmtId="0" fontId="6" fillId="0" borderId="0" xfId="3" applyFont="1" applyFill="1" applyBorder="1" applyAlignment="1" applyProtection="1">
      <alignment horizontal="left" vertical="center"/>
      <protection hidden="1"/>
    </xf>
    <xf numFmtId="1" fontId="4" fillId="0" borderId="0" xfId="0" applyNumberFormat="1" applyFont="1" applyAlignment="1" applyProtection="1">
      <alignment horizontal="center" vertical="center"/>
      <protection hidden="1"/>
    </xf>
    <xf numFmtId="0" fontId="0" fillId="0" borderId="0" xfId="0" applyNumberFormat="1" applyAlignment="1" applyProtection="1">
      <alignment horizontal="center" vertical="center"/>
      <protection hidden="1"/>
    </xf>
    <xf numFmtId="9" fontId="4" fillId="0" borderId="1" xfId="0" applyNumberFormat="1" applyFont="1" applyBorder="1" applyAlignment="1" applyProtection="1">
      <alignment horizontal="center" vertical="center"/>
      <protection hidden="1"/>
    </xf>
    <xf numFmtId="9" fontId="4" fillId="0" borderId="0" xfId="0" applyNumberFormat="1" applyFont="1" applyAlignment="1" applyProtection="1">
      <alignment horizontal="center" vertical="center" wrapText="1"/>
      <protection hidden="1"/>
    </xf>
    <xf numFmtId="1" fontId="4" fillId="0" borderId="0" xfId="0" applyNumberFormat="1" applyFont="1" applyAlignment="1" applyProtection="1">
      <alignment horizontal="center" vertical="center" wrapText="1"/>
      <protection hidden="1"/>
    </xf>
    <xf numFmtId="164" fontId="0" fillId="0" borderId="0" xfId="0" applyNumberFormat="1" applyAlignment="1" applyProtection="1">
      <alignment horizontal="left" vertical="center"/>
      <protection hidden="1"/>
    </xf>
    <xf numFmtId="164" fontId="0" fillId="0" borderId="0" xfId="0" applyNumberFormat="1" applyFill="1" applyBorder="1" applyAlignment="1" applyProtection="1">
      <alignment horizontal="left" vertical="center"/>
      <protection hidden="1"/>
    </xf>
    <xf numFmtId="0" fontId="0" fillId="0" borderId="0" xfId="0" applyAlignment="1">
      <alignment horizontal="left" vertical="center" wrapText="1"/>
    </xf>
    <xf numFmtId="0" fontId="6" fillId="0" borderId="0" xfId="1" applyFont="1" applyFill="1" applyBorder="1" applyAlignment="1" applyProtection="1">
      <alignment horizontal="left" vertical="center" wrapText="1"/>
      <protection hidden="1"/>
    </xf>
    <xf numFmtId="0" fontId="0" fillId="0" borderId="0" xfId="0" applyNumberFormat="1" applyFill="1" applyBorder="1" applyAlignment="1" applyProtection="1">
      <alignment horizontal="center" vertical="center"/>
      <protection hidden="1"/>
    </xf>
    <xf numFmtId="0" fontId="8" fillId="0" borderId="0" xfId="0" applyFont="1" applyAlignment="1" applyProtection="1">
      <alignment horizontal="left" vertical="center"/>
      <protection hidden="1"/>
    </xf>
    <xf numFmtId="0" fontId="8" fillId="0" borderId="0" xfId="0" applyFont="1" applyAlignment="1" applyProtection="1">
      <alignment vertical="center" wrapText="1"/>
      <protection hidden="1"/>
    </xf>
    <xf numFmtId="0" fontId="7" fillId="0" borderId="0" xfId="0" applyFont="1" applyBorder="1" applyAlignment="1">
      <alignment horizontal="center" vertical="center" wrapText="1"/>
    </xf>
    <xf numFmtId="0" fontId="0" fillId="0" borderId="0" xfId="0" applyFont="1" applyBorder="1" applyAlignment="1">
      <alignment horizontal="left" vertical="center" wrapText="1"/>
    </xf>
    <xf numFmtId="0" fontId="0" fillId="0" borderId="0" xfId="0" applyBorder="1" applyAlignment="1">
      <alignment horizontal="left" vertical="center" wrapText="1"/>
    </xf>
    <xf numFmtId="1" fontId="4" fillId="0" borderId="0" xfId="0" applyNumberFormat="1"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0" fillId="0" borderId="0" xfId="0" applyFill="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0" fillId="0" borderId="2" xfId="0" applyFill="1" applyBorder="1" applyAlignment="1" applyProtection="1">
      <alignment vertical="center"/>
      <protection hidden="1"/>
    </xf>
    <xf numFmtId="0" fontId="13" fillId="0" borderId="0" xfId="0" applyFont="1" applyFill="1" applyBorder="1" applyAlignment="1" applyProtection="1">
      <alignment horizontal="center" vertical="center" textRotation="180"/>
      <protection hidden="1"/>
    </xf>
    <xf numFmtId="0" fontId="0" fillId="0" borderId="4" xfId="0" applyFill="1" applyBorder="1" applyAlignment="1" applyProtection="1">
      <alignment vertical="center"/>
      <protection hidden="1"/>
    </xf>
    <xf numFmtId="0" fontId="0" fillId="0" borderId="3" xfId="0" applyFill="1" applyBorder="1" applyAlignment="1" applyProtection="1">
      <alignment vertical="center"/>
      <protection hidden="1"/>
    </xf>
    <xf numFmtId="0" fontId="0" fillId="4" borderId="2" xfId="0" applyFill="1" applyBorder="1" applyAlignment="1" applyProtection="1">
      <alignment vertical="center"/>
      <protection hidden="1"/>
    </xf>
    <xf numFmtId="0" fontId="0" fillId="4" borderId="6" xfId="0" applyFill="1" applyBorder="1" applyAlignment="1" applyProtection="1">
      <alignment vertical="center"/>
      <protection hidden="1"/>
    </xf>
    <xf numFmtId="0" fontId="0" fillId="0" borderId="5" xfId="0" applyFill="1" applyBorder="1" applyAlignment="1" applyProtection="1">
      <alignment vertical="center"/>
      <protection hidden="1"/>
    </xf>
    <xf numFmtId="0" fontId="0" fillId="4" borderId="4" xfId="0" applyFill="1" applyBorder="1" applyAlignment="1" applyProtection="1">
      <alignment vertical="center"/>
      <protection hidden="1"/>
    </xf>
    <xf numFmtId="0" fontId="0" fillId="4" borderId="0" xfId="0" applyFill="1" applyBorder="1" applyAlignment="1" applyProtection="1">
      <alignment vertical="center"/>
      <protection hidden="1"/>
    </xf>
    <xf numFmtId="0" fontId="0" fillId="0" borderId="7" xfId="0" applyFill="1" applyBorder="1" applyAlignment="1" applyProtection="1">
      <alignment vertical="center"/>
      <protection hidden="1"/>
    </xf>
    <xf numFmtId="0" fontId="0" fillId="0" borderId="0" xfId="0" applyFill="1" applyAlignment="1" applyProtection="1">
      <alignment vertical="center"/>
      <protection hidden="1"/>
    </xf>
    <xf numFmtId="0" fontId="0" fillId="4" borderId="7" xfId="0" applyFill="1" applyBorder="1" applyAlignment="1" applyProtection="1">
      <alignment vertical="center"/>
      <protection hidden="1"/>
    </xf>
    <xf numFmtId="0" fontId="0" fillId="4" borderId="8" xfId="0" applyFill="1" applyBorder="1" applyAlignment="1" applyProtection="1">
      <alignment vertical="center"/>
      <protection hidden="1"/>
    </xf>
    <xf numFmtId="0" fontId="12" fillId="0" borderId="0" xfId="0" applyFont="1" applyFill="1" applyBorder="1" applyAlignment="1" applyProtection="1">
      <alignment horizontal="center" vertical="center" textRotation="180"/>
      <protection hidden="1"/>
    </xf>
    <xf numFmtId="0" fontId="0" fillId="0" borderId="9" xfId="0" applyFill="1" applyBorder="1" applyAlignment="1" applyProtection="1">
      <alignment vertical="center"/>
      <protection hidden="1"/>
    </xf>
    <xf numFmtId="0" fontId="0" fillId="5" borderId="3" xfId="0" applyFill="1" applyBorder="1" applyAlignment="1" applyProtection="1">
      <alignment vertical="center"/>
      <protection hidden="1"/>
    </xf>
    <xf numFmtId="0" fontId="0" fillId="0" borderId="6" xfId="0" applyFill="1" applyBorder="1" applyAlignment="1" applyProtection="1">
      <alignment vertical="center"/>
      <protection hidden="1"/>
    </xf>
    <xf numFmtId="0" fontId="0" fillId="5" borderId="5" xfId="0" applyFill="1" applyBorder="1" applyAlignment="1" applyProtection="1">
      <alignment vertical="center"/>
      <protection hidden="1"/>
    </xf>
    <xf numFmtId="0" fontId="0" fillId="0" borderId="0" xfId="0" applyFill="1" applyBorder="1" applyAlignment="1" applyProtection="1">
      <alignment vertical="center"/>
      <protection hidden="1"/>
    </xf>
    <xf numFmtId="0" fontId="9" fillId="0" borderId="5" xfId="0" applyFont="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0" fillId="5" borderId="5" xfId="0" applyFont="1" applyFill="1" applyBorder="1" applyAlignment="1" applyProtection="1">
      <alignment vertical="center"/>
      <protection hidden="1"/>
    </xf>
    <xf numFmtId="0" fontId="0" fillId="0" borderId="8" xfId="0" applyFill="1" applyBorder="1" applyAlignment="1" applyProtection="1">
      <alignment vertical="center"/>
      <protection hidden="1"/>
    </xf>
    <xf numFmtId="0" fontId="0" fillId="5" borderId="9" xfId="0" applyFill="1" applyBorder="1" applyAlignment="1" applyProtection="1">
      <alignment vertical="center"/>
      <protection hidden="1"/>
    </xf>
    <xf numFmtId="0" fontId="0" fillId="5" borderId="2" xfId="0" applyFill="1" applyBorder="1" applyAlignment="1" applyProtection="1">
      <alignment vertical="center"/>
      <protection hidden="1"/>
    </xf>
    <xf numFmtId="0" fontId="0" fillId="5" borderId="4" xfId="0" applyFill="1" applyBorder="1" applyAlignment="1" applyProtection="1">
      <alignment vertical="center"/>
      <protection hidden="1"/>
    </xf>
    <xf numFmtId="0" fontId="0" fillId="5" borderId="4" xfId="0" applyFont="1" applyFill="1" applyBorder="1" applyAlignment="1" applyProtection="1">
      <alignment vertical="center"/>
      <protection hidden="1"/>
    </xf>
    <xf numFmtId="0" fontId="12" fillId="0" borderId="8" xfId="0" applyFont="1" applyFill="1" applyBorder="1" applyAlignment="1" applyProtection="1">
      <alignment horizontal="center" vertical="center" textRotation="180"/>
      <protection hidden="1"/>
    </xf>
    <xf numFmtId="0" fontId="0" fillId="5" borderId="7" xfId="0" applyFill="1" applyBorder="1" applyAlignment="1" applyProtection="1">
      <alignment vertical="center"/>
      <protection hidden="1"/>
    </xf>
    <xf numFmtId="0" fontId="5" fillId="2" borderId="7" xfId="0" applyFont="1" applyFill="1" applyBorder="1" applyAlignment="1" applyProtection="1">
      <alignment horizontal="center" vertical="center" wrapText="1"/>
      <protection hidden="1"/>
    </xf>
    <xf numFmtId="0" fontId="0" fillId="6" borderId="4" xfId="0" applyFill="1" applyBorder="1" applyAlignment="1" applyProtection="1">
      <alignment horizontal="left" vertical="center" wrapText="1"/>
      <protection hidden="1"/>
    </xf>
    <xf numFmtId="0" fontId="5" fillId="2" borderId="9" xfId="0" applyFont="1" applyFill="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165" fontId="0" fillId="0" borderId="0" xfId="0" applyNumberFormat="1" applyAlignment="1">
      <alignment horizontal="center" vertical="center"/>
    </xf>
    <xf numFmtId="0" fontId="14" fillId="7" borderId="0" xfId="0" applyFont="1" applyFill="1"/>
    <xf numFmtId="0" fontId="0" fillId="0" borderId="1" xfId="0" applyBorder="1"/>
    <xf numFmtId="0" fontId="0" fillId="0" borderId="0" xfId="0" applyAlignment="1">
      <alignment horizontal="center" vertical="center"/>
    </xf>
    <xf numFmtId="165" fontId="0" fillId="4" borderId="1" xfId="0" applyNumberFormat="1" applyFill="1" applyBorder="1" applyAlignment="1">
      <alignment horizontal="center" vertical="center"/>
    </xf>
    <xf numFmtId="0" fontId="0" fillId="0" borderId="3" xfId="0" applyFill="1" applyBorder="1" applyAlignment="1" applyProtection="1">
      <alignment vertical="center"/>
      <protection hidden="1"/>
    </xf>
    <xf numFmtId="0" fontId="0" fillId="6" borderId="0" xfId="0" applyFill="1" applyBorder="1" applyAlignment="1" applyProtection="1">
      <alignment horizontal="left" vertical="center" wrapText="1"/>
      <protection hidden="1"/>
    </xf>
    <xf numFmtId="0" fontId="4" fillId="0" borderId="0" xfId="0" applyFont="1" applyAlignment="1" applyProtection="1">
      <alignment horizontal="left" vertical="center"/>
      <protection hidden="1"/>
    </xf>
    <xf numFmtId="0" fontId="0" fillId="0" borderId="0" xfId="0" applyFont="1" applyAlignment="1" applyProtection="1">
      <alignment horizontal="right" vertical="center"/>
      <protection hidden="1"/>
    </xf>
    <xf numFmtId="0" fontId="0" fillId="0" borderId="0" xfId="0" applyAlignment="1" applyProtection="1">
      <alignment horizontal="left" vertical="center"/>
      <protection hidden="1"/>
    </xf>
    <xf numFmtId="0" fontId="15" fillId="0" borderId="1" xfId="0" applyFont="1" applyBorder="1" applyAlignment="1">
      <alignment horizontal="center" vertical="center"/>
    </xf>
    <xf numFmtId="0" fontId="5" fillId="2" borderId="10" xfId="0" applyFont="1" applyFill="1" applyBorder="1" applyAlignment="1" applyProtection="1">
      <alignment horizontal="center" vertical="center" wrapText="1"/>
      <protection hidden="1"/>
    </xf>
    <xf numFmtId="0" fontId="0" fillId="8" borderId="6" xfId="0" applyFill="1" applyBorder="1" applyAlignment="1" applyProtection="1">
      <alignment vertical="center"/>
      <protection hidden="1"/>
    </xf>
    <xf numFmtId="0" fontId="0" fillId="8" borderId="0" xfId="0" applyFill="1" applyBorder="1" applyAlignment="1" applyProtection="1">
      <alignment vertical="center"/>
      <protection hidden="1"/>
    </xf>
    <xf numFmtId="0" fontId="0" fillId="8" borderId="0" xfId="0" applyFont="1" applyFill="1" applyBorder="1" applyAlignment="1" applyProtection="1">
      <alignment vertical="center"/>
      <protection hidden="1"/>
    </xf>
    <xf numFmtId="0" fontId="16" fillId="4" borderId="1" xfId="0" applyFont="1" applyFill="1" applyBorder="1" applyAlignment="1">
      <alignment horizontal="center" vertical="center"/>
    </xf>
    <xf numFmtId="3" fontId="16" fillId="0" borderId="0" xfId="0" applyNumberFormat="1" applyFont="1" applyAlignment="1">
      <alignment horizontal="center" vertical="center"/>
    </xf>
    <xf numFmtId="3" fontId="16" fillId="4" borderId="1" xfId="0" applyNumberFormat="1" applyFont="1" applyFill="1" applyBorder="1" applyAlignment="1">
      <alignment horizontal="center" vertical="center"/>
    </xf>
    <xf numFmtId="0" fontId="5" fillId="13" borderId="1" xfId="0" applyFont="1" applyFill="1" applyBorder="1" applyAlignment="1" applyProtection="1">
      <alignment horizontal="center" vertical="center" wrapText="1"/>
      <protection hidden="1"/>
    </xf>
    <xf numFmtId="0" fontId="10" fillId="13" borderId="1" xfId="0" applyFont="1" applyFill="1" applyBorder="1" applyAlignment="1" applyProtection="1">
      <alignment horizontal="center" vertical="center" wrapText="1"/>
      <protection hidden="1"/>
    </xf>
    <xf numFmtId="0" fontId="5" fillId="14" borderId="1" xfId="0" applyFont="1" applyFill="1" applyBorder="1" applyAlignment="1" applyProtection="1">
      <alignment horizontal="center" vertical="center" wrapText="1"/>
      <protection hidden="1"/>
    </xf>
    <xf numFmtId="0" fontId="5" fillId="15" borderId="1" xfId="0" applyFont="1" applyFill="1" applyBorder="1" applyAlignment="1" applyProtection="1">
      <alignment horizontal="center" vertical="center" wrapText="1"/>
      <protection hidden="1"/>
    </xf>
    <xf numFmtId="0" fontId="22" fillId="18" borderId="4" xfId="0" applyFont="1" applyFill="1" applyBorder="1" applyAlignment="1" applyProtection="1">
      <alignment horizontal="center" vertical="center" wrapText="1"/>
      <protection hidden="1"/>
    </xf>
    <xf numFmtId="0" fontId="22" fillId="18" borderId="5" xfId="0" applyFont="1" applyFill="1" applyBorder="1" applyAlignment="1" applyProtection="1">
      <alignment horizontal="center" vertical="center" wrapText="1"/>
      <protection hidden="1"/>
    </xf>
    <xf numFmtId="0" fontId="12" fillId="0" borderId="4" xfId="0" applyFont="1" applyFill="1" applyBorder="1" applyAlignment="1" applyProtection="1">
      <alignment vertical="center" textRotation="180"/>
      <protection hidden="1"/>
    </xf>
    <xf numFmtId="0" fontId="23" fillId="0" borderId="0" xfId="0" applyFont="1" applyAlignment="1" applyProtection="1">
      <alignment vertical="center"/>
      <protection hidden="1"/>
    </xf>
    <xf numFmtId="0" fontId="9" fillId="0" borderId="0" xfId="0" applyFont="1" applyAlignment="1" applyProtection="1">
      <alignment vertical="center"/>
      <protection hidden="1"/>
    </xf>
    <xf numFmtId="0" fontId="24" fillId="19" borderId="16" xfId="0" applyFont="1" applyFill="1" applyBorder="1" applyAlignment="1" applyProtection="1">
      <alignment horizontal="center" vertical="center"/>
      <protection hidden="1"/>
    </xf>
    <xf numFmtId="0" fontId="24" fillId="0" borderId="0" xfId="0" applyFont="1" applyAlignment="1" applyProtection="1">
      <alignment vertical="center"/>
      <protection hidden="1"/>
    </xf>
    <xf numFmtId="0" fontId="23" fillId="0" borderId="0" xfId="0" applyFont="1" applyBorder="1" applyAlignment="1">
      <alignment horizontal="left" vertical="center" wrapText="1"/>
    </xf>
    <xf numFmtId="0" fontId="0" fillId="2" borderId="16" xfId="0" applyNumberFormat="1" applyFill="1" applyBorder="1" applyAlignment="1" applyProtection="1">
      <alignment horizontal="center" vertical="center"/>
      <protection hidden="1"/>
    </xf>
    <xf numFmtId="0" fontId="23" fillId="2" borderId="16" xfId="0" applyNumberFormat="1" applyFont="1" applyFill="1" applyBorder="1" applyAlignment="1" applyProtection="1">
      <alignment horizontal="center" vertical="center"/>
      <protection hidden="1"/>
    </xf>
    <xf numFmtId="0" fontId="0" fillId="4" borderId="16" xfId="0" applyNumberFormat="1" applyFill="1" applyBorder="1" applyAlignment="1" applyProtection="1">
      <alignment horizontal="center" vertical="center"/>
      <protection hidden="1"/>
    </xf>
    <xf numFmtId="0" fontId="1" fillId="0" borderId="0" xfId="0" applyFont="1"/>
    <xf numFmtId="0" fontId="1" fillId="0" borderId="0" xfId="0" applyFont="1" applyAlignment="1" applyProtection="1">
      <alignment horizontal="center" vertical="center"/>
      <protection hidden="1"/>
    </xf>
    <xf numFmtId="166" fontId="1" fillId="0" borderId="0" xfId="0" applyNumberFormat="1" applyFont="1" applyAlignment="1">
      <alignment horizontal="center"/>
    </xf>
    <xf numFmtId="0" fontId="25" fillId="2" borderId="1" xfId="0" applyFont="1" applyFill="1" applyBorder="1" applyAlignment="1" applyProtection="1">
      <alignment horizontal="center" vertical="center" wrapText="1"/>
      <protection hidden="1"/>
    </xf>
    <xf numFmtId="166" fontId="25" fillId="2" borderId="1" xfId="0" applyNumberFormat="1" applyFont="1" applyFill="1" applyBorder="1" applyAlignment="1">
      <alignment horizontal="center" vertical="center"/>
    </xf>
    <xf numFmtId="166" fontId="1" fillId="4" borderId="1" xfId="0" applyNumberFormat="1" applyFont="1" applyFill="1" applyBorder="1" applyAlignment="1">
      <alignment horizontal="center"/>
    </xf>
    <xf numFmtId="0" fontId="25" fillId="4" borderId="1" xfId="0" applyFont="1" applyFill="1" applyBorder="1" applyAlignment="1" applyProtection="1">
      <alignment horizontal="center" vertical="center"/>
      <protection hidden="1"/>
    </xf>
    <xf numFmtId="0" fontId="26" fillId="0" borderId="0" xfId="0" applyFont="1" applyAlignment="1" applyProtection="1">
      <alignment vertical="center"/>
      <protection hidden="1"/>
    </xf>
    <xf numFmtId="0" fontId="25" fillId="16" borderId="1" xfId="0" applyFont="1" applyFill="1" applyBorder="1" applyAlignment="1" applyProtection="1">
      <alignment horizontal="center" vertical="center"/>
      <protection hidden="1"/>
    </xf>
    <xf numFmtId="166" fontId="1" fillId="16" borderId="1" xfId="0" applyNumberFormat="1" applyFont="1" applyFill="1" applyBorder="1" applyAlignment="1">
      <alignment horizontal="center"/>
    </xf>
    <xf numFmtId="0" fontId="25" fillId="16" borderId="10" xfId="0" applyFont="1" applyFill="1" applyBorder="1" applyAlignment="1" applyProtection="1">
      <alignment horizontal="center" vertical="center"/>
      <protection hidden="1"/>
    </xf>
    <xf numFmtId="166" fontId="1" fillId="16" borderId="10" xfId="0" applyNumberFormat="1" applyFont="1" applyFill="1" applyBorder="1" applyAlignment="1">
      <alignment horizontal="center"/>
    </xf>
    <xf numFmtId="0" fontId="25" fillId="16" borderId="15" xfId="0" applyFont="1" applyFill="1" applyBorder="1" applyAlignment="1" applyProtection="1">
      <alignment horizontal="center" vertical="center"/>
      <protection hidden="1"/>
    </xf>
    <xf numFmtId="166" fontId="1" fillId="16" borderId="15" xfId="0" applyNumberFormat="1" applyFont="1" applyFill="1" applyBorder="1" applyAlignment="1">
      <alignment horizontal="center"/>
    </xf>
    <xf numFmtId="0" fontId="0" fillId="0" borderId="1" xfId="0" applyBorder="1" applyAlignment="1">
      <alignment horizontal="center"/>
    </xf>
    <xf numFmtId="0" fontId="0" fillId="5" borderId="0" xfId="0" applyFill="1" applyProtection="1">
      <protection hidden="1"/>
    </xf>
    <xf numFmtId="0" fontId="23" fillId="5" borderId="0" xfId="0" applyFont="1" applyFill="1" applyAlignment="1" applyProtection="1">
      <alignment horizontal="center"/>
      <protection hidden="1"/>
    </xf>
    <xf numFmtId="0" fontId="23" fillId="5" borderId="0" xfId="0" applyFont="1" applyFill="1" applyAlignment="1" applyProtection="1">
      <alignment horizontal="center" wrapText="1"/>
      <protection hidden="1"/>
    </xf>
    <xf numFmtId="0" fontId="23" fillId="5" borderId="0" xfId="0" applyFont="1" applyFill="1" applyProtection="1">
      <protection hidden="1"/>
    </xf>
    <xf numFmtId="0" fontId="28" fillId="0" borderId="0" xfId="0" applyFont="1" applyAlignment="1" applyProtection="1">
      <alignment vertical="center"/>
      <protection hidden="1"/>
    </xf>
    <xf numFmtId="0" fontId="29" fillId="20" borderId="4" xfId="0" applyFont="1" applyFill="1" applyBorder="1" applyAlignment="1" applyProtection="1">
      <alignment horizontal="center" vertical="center" wrapText="1"/>
      <protection hidden="1"/>
    </xf>
    <xf numFmtId="0" fontId="29" fillId="20" borderId="5"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0" fillId="0" borderId="4" xfId="0" applyBorder="1" applyAlignment="1" applyProtection="1">
      <alignment vertical="center"/>
      <protection hidden="1"/>
    </xf>
    <xf numFmtId="0" fontId="30" fillId="0" borderId="4" xfId="0" applyFont="1" applyFill="1" applyBorder="1" applyAlignment="1" applyProtection="1">
      <alignment vertical="center"/>
      <protection hidden="1"/>
    </xf>
    <xf numFmtId="165" fontId="0" fillId="2" borderId="16" xfId="5" applyNumberFormat="1" applyFont="1" applyFill="1" applyBorder="1" applyAlignment="1" applyProtection="1">
      <alignment horizontal="center" vertical="center"/>
      <protection hidden="1"/>
    </xf>
    <xf numFmtId="167" fontId="33" fillId="0" borderId="1" xfId="6" applyNumberFormat="1" applyFont="1" applyBorder="1"/>
    <xf numFmtId="168" fontId="33" fillId="0" borderId="1" xfId="0" applyNumberFormat="1" applyFont="1" applyBorder="1" applyAlignment="1">
      <alignment horizontal="center" vertical="center"/>
    </xf>
    <xf numFmtId="168" fontId="33" fillId="0" borderId="0" xfId="0" applyNumberFormat="1" applyFont="1" applyBorder="1" applyAlignment="1">
      <alignment horizontal="center" vertical="center"/>
    </xf>
    <xf numFmtId="0" fontId="34" fillId="0" borderId="1" xfId="0" applyFont="1" applyFill="1" applyBorder="1" applyAlignment="1">
      <alignment horizontal="right"/>
    </xf>
    <xf numFmtId="0" fontId="34" fillId="2" borderId="1" xfId="0" applyFont="1" applyFill="1" applyBorder="1" applyAlignment="1" applyProtection="1">
      <alignment horizontal="center" vertical="center"/>
      <protection hidden="1"/>
    </xf>
    <xf numFmtId="0" fontId="34" fillId="2" borderId="1" xfId="0" applyFont="1" applyFill="1" applyBorder="1" applyAlignment="1">
      <alignment horizontal="center"/>
    </xf>
    <xf numFmtId="0" fontId="4" fillId="0" borderId="0" xfId="0" applyFont="1" applyAlignment="1" applyProtection="1">
      <alignment horizontal="center" vertical="center" wrapText="1"/>
      <protection hidden="1"/>
    </xf>
    <xf numFmtId="0" fontId="23" fillId="0" borderId="8" xfId="0" applyFont="1" applyBorder="1" applyAlignment="1" applyProtection="1">
      <alignment vertical="center"/>
      <protection hidden="1"/>
    </xf>
    <xf numFmtId="0" fontId="17" fillId="0" borderId="8" xfId="0" applyFont="1" applyBorder="1" applyAlignment="1" applyProtection="1">
      <alignment vertical="center"/>
      <protection hidden="1"/>
    </xf>
    <xf numFmtId="0" fontId="11" fillId="0" borderId="0" xfId="0" applyFont="1" applyAlignment="1" applyProtection="1">
      <alignment horizontal="left" vertical="center" wrapText="1"/>
      <protection hidden="1"/>
    </xf>
    <xf numFmtId="0" fontId="4" fillId="0" borderId="0" xfId="0" applyFont="1" applyAlignment="1" applyProtection="1">
      <alignment horizontal="center" vertical="center" wrapText="1"/>
      <protection hidden="1"/>
    </xf>
    <xf numFmtId="0" fontId="21" fillId="16" borderId="1" xfId="0" applyFont="1" applyFill="1" applyBorder="1" applyAlignment="1" applyProtection="1">
      <alignment horizontal="center" vertical="center" wrapText="1"/>
      <protection hidden="1"/>
    </xf>
    <xf numFmtId="0" fontId="20" fillId="16" borderId="11" xfId="0" applyFont="1" applyFill="1" applyBorder="1" applyAlignment="1" applyProtection="1">
      <alignment horizontal="left" vertical="center" wrapText="1"/>
      <protection hidden="1"/>
    </xf>
    <xf numFmtId="0" fontId="20" fillId="16" borderId="12" xfId="0" applyFont="1" applyFill="1" applyBorder="1" applyAlignment="1" applyProtection="1">
      <alignment horizontal="left" vertical="center"/>
      <protection hidden="1"/>
    </xf>
    <xf numFmtId="0" fontId="20" fillId="16" borderId="13" xfId="0" applyFont="1" applyFill="1" applyBorder="1" applyAlignment="1" applyProtection="1">
      <alignment horizontal="left" vertical="center"/>
      <protection hidden="1"/>
    </xf>
    <xf numFmtId="0" fontId="19" fillId="17" borderId="11" xfId="0" applyFont="1" applyFill="1" applyBorder="1" applyAlignment="1" applyProtection="1">
      <alignment horizontal="center" vertical="center" wrapText="1"/>
      <protection locked="0" hidden="1"/>
    </xf>
    <xf numFmtId="0" fontId="19" fillId="17" borderId="13" xfId="0" applyFont="1" applyFill="1" applyBorder="1" applyAlignment="1" applyProtection="1">
      <alignment horizontal="center" vertical="center" wrapText="1"/>
      <protection locked="0" hidden="1"/>
    </xf>
    <xf numFmtId="0" fontId="18" fillId="0" borderId="0" xfId="0" applyFont="1" applyFill="1" applyBorder="1" applyAlignment="1" applyProtection="1">
      <alignment horizontal="left" vertical="center" wrapText="1"/>
      <protection hidden="1"/>
    </xf>
    <xf numFmtId="0" fontId="18" fillId="0" borderId="0" xfId="0" applyFont="1" applyFill="1" applyBorder="1" applyAlignment="1" applyProtection="1">
      <alignment horizontal="left" vertical="center"/>
      <protection hidden="1"/>
    </xf>
    <xf numFmtId="0" fontId="31" fillId="0" borderId="8" xfId="0" applyFont="1" applyBorder="1" applyAlignment="1" applyProtection="1">
      <alignment horizontal="center" vertical="center" wrapText="1"/>
      <protection hidden="1"/>
    </xf>
    <xf numFmtId="0" fontId="5" fillId="5" borderId="4" xfId="0" applyFont="1" applyFill="1" applyBorder="1" applyAlignment="1" applyProtection="1">
      <alignment horizontal="center" vertical="center" wrapText="1"/>
      <protection hidden="1"/>
    </xf>
    <xf numFmtId="0" fontId="5" fillId="5" borderId="0" xfId="0" applyFont="1" applyFill="1" applyBorder="1" applyAlignment="1" applyProtection="1">
      <alignment horizontal="center" vertical="center" wrapText="1"/>
      <protection hidden="1"/>
    </xf>
    <xf numFmtId="0" fontId="9" fillId="3" borderId="2" xfId="0" applyFont="1" applyFill="1" applyBorder="1" applyAlignment="1" applyProtection="1">
      <alignment horizontal="center" vertical="center" wrapText="1"/>
      <protection hidden="1"/>
    </xf>
    <xf numFmtId="0" fontId="9" fillId="3" borderId="6" xfId="0" applyFont="1" applyFill="1" applyBorder="1" applyAlignment="1" applyProtection="1">
      <alignment horizontal="center" vertical="center" wrapText="1"/>
      <protection hidden="1"/>
    </xf>
    <xf numFmtId="0" fontId="9" fillId="3" borderId="3" xfId="0" applyFont="1" applyFill="1" applyBorder="1" applyAlignment="1" applyProtection="1">
      <alignment horizontal="center" vertical="center" wrapText="1"/>
      <protection hidden="1"/>
    </xf>
    <xf numFmtId="0" fontId="9" fillId="3" borderId="7" xfId="0" applyFont="1" applyFill="1" applyBorder="1" applyAlignment="1" applyProtection="1">
      <alignment horizontal="center" vertical="center" wrapText="1"/>
      <protection hidden="1"/>
    </xf>
    <xf numFmtId="0" fontId="9" fillId="3" borderId="8" xfId="0" applyFont="1" applyFill="1" applyBorder="1" applyAlignment="1" applyProtection="1">
      <alignment horizontal="center" vertical="center" wrapText="1"/>
      <protection hidden="1"/>
    </xf>
    <xf numFmtId="0" fontId="9" fillId="3" borderId="9" xfId="0" applyFont="1" applyFill="1" applyBorder="1" applyAlignment="1" applyProtection="1">
      <alignment horizontal="center" vertical="center" wrapText="1"/>
      <protection hidden="1"/>
    </xf>
    <xf numFmtId="0" fontId="12" fillId="5" borderId="3" xfId="0" applyFont="1" applyFill="1" applyBorder="1" applyAlignment="1" applyProtection="1">
      <alignment horizontal="center" vertical="center" textRotation="180"/>
      <protection hidden="1"/>
    </xf>
    <xf numFmtId="0" fontId="12" fillId="5" borderId="5" xfId="0" applyFont="1" applyFill="1" applyBorder="1" applyAlignment="1" applyProtection="1">
      <alignment horizontal="center" vertical="center" textRotation="180"/>
      <protection hidden="1"/>
    </xf>
    <xf numFmtId="0" fontId="12" fillId="5" borderId="9" xfId="0" applyFont="1" applyFill="1" applyBorder="1" applyAlignment="1" applyProtection="1">
      <alignment horizontal="center" vertical="center" textRotation="180"/>
      <protection hidden="1"/>
    </xf>
    <xf numFmtId="0" fontId="12" fillId="10" borderId="2" xfId="0" applyFont="1" applyFill="1" applyBorder="1" applyAlignment="1" applyProtection="1">
      <alignment horizontal="center" vertical="center" textRotation="180"/>
      <protection hidden="1"/>
    </xf>
    <xf numFmtId="0" fontId="12" fillId="10" borderId="4" xfId="0" applyFont="1" applyFill="1" applyBorder="1" applyAlignment="1" applyProtection="1">
      <alignment horizontal="center" vertical="center" textRotation="180"/>
      <protection hidden="1"/>
    </xf>
    <xf numFmtId="0" fontId="12" fillId="10" borderId="7" xfId="0" applyFont="1" applyFill="1" applyBorder="1" applyAlignment="1" applyProtection="1">
      <alignment horizontal="center" vertical="center" textRotation="180"/>
      <protection hidden="1"/>
    </xf>
    <xf numFmtId="0" fontId="12" fillId="11" borderId="3" xfId="0" applyFont="1" applyFill="1" applyBorder="1" applyAlignment="1" applyProtection="1">
      <alignment horizontal="center" vertical="center" textRotation="180"/>
      <protection hidden="1"/>
    </xf>
    <xf numFmtId="0" fontId="12" fillId="11" borderId="5" xfId="0" applyFont="1" applyFill="1" applyBorder="1" applyAlignment="1" applyProtection="1">
      <alignment horizontal="center" vertical="center" textRotation="180"/>
      <protection hidden="1"/>
    </xf>
    <xf numFmtId="0" fontId="12" fillId="11" borderId="9" xfId="0" applyFont="1" applyFill="1" applyBorder="1" applyAlignment="1" applyProtection="1">
      <alignment horizontal="center" vertical="center" textRotation="180"/>
      <protection hidden="1"/>
    </xf>
    <xf numFmtId="0" fontId="12" fillId="11" borderId="1" xfId="0" applyFont="1" applyFill="1" applyBorder="1" applyAlignment="1" applyProtection="1">
      <alignment horizontal="center" vertical="center" textRotation="180"/>
      <protection hidden="1"/>
    </xf>
    <xf numFmtId="0" fontId="9" fillId="5" borderId="2" xfId="0" applyFont="1" applyFill="1" applyBorder="1" applyAlignment="1" applyProtection="1">
      <alignment horizontal="center" vertical="center" textRotation="180" wrapText="1"/>
      <protection hidden="1"/>
    </xf>
    <xf numFmtId="0" fontId="9" fillId="5" borderId="4" xfId="0" applyFont="1" applyFill="1" applyBorder="1" applyAlignment="1" applyProtection="1">
      <alignment horizontal="center" vertical="center" textRotation="180" wrapText="1"/>
      <protection hidden="1"/>
    </xf>
    <xf numFmtId="0" fontId="9" fillId="5" borderId="7" xfId="0" applyFont="1" applyFill="1" applyBorder="1" applyAlignment="1" applyProtection="1">
      <alignment horizontal="center" vertical="center" textRotation="180" wrapText="1"/>
      <protection hidden="1"/>
    </xf>
    <xf numFmtId="0" fontId="12" fillId="10" borderId="1" xfId="0" applyFont="1" applyFill="1" applyBorder="1" applyAlignment="1" applyProtection="1">
      <alignment horizontal="center" vertical="center" textRotation="180"/>
      <protection hidden="1"/>
    </xf>
    <xf numFmtId="0" fontId="12" fillId="0" borderId="4" xfId="0" applyFont="1" applyFill="1" applyBorder="1" applyAlignment="1" applyProtection="1">
      <alignment horizontal="center" vertical="center" textRotation="180"/>
      <protection hidden="1"/>
    </xf>
    <xf numFmtId="0" fontId="12" fillId="12" borderId="10" xfId="0" applyFont="1" applyFill="1" applyBorder="1" applyAlignment="1" applyProtection="1">
      <alignment horizontal="center" vertical="center" textRotation="180"/>
      <protection hidden="1"/>
    </xf>
    <xf numFmtId="0" fontId="12" fillId="12" borderId="14" xfId="0" applyFont="1" applyFill="1" applyBorder="1" applyAlignment="1" applyProtection="1">
      <alignment horizontal="center" vertical="center" textRotation="180"/>
      <protection hidden="1"/>
    </xf>
    <xf numFmtId="0" fontId="12" fillId="12" borderId="15" xfId="0" applyFont="1" applyFill="1" applyBorder="1" applyAlignment="1" applyProtection="1">
      <alignment horizontal="center" vertical="center" textRotation="180"/>
      <protection hidden="1"/>
    </xf>
    <xf numFmtId="0" fontId="12" fillId="8" borderId="6" xfId="0" applyFont="1" applyFill="1" applyBorder="1" applyAlignment="1" applyProtection="1">
      <alignment horizontal="center" vertical="center" textRotation="180" wrapText="1"/>
      <protection hidden="1"/>
    </xf>
    <xf numFmtId="0" fontId="12" fillId="8" borderId="0" xfId="0" applyFont="1" applyFill="1" applyBorder="1" applyAlignment="1" applyProtection="1">
      <alignment horizontal="center" vertical="center" textRotation="180" wrapText="1"/>
      <protection hidden="1"/>
    </xf>
    <xf numFmtId="0" fontId="12" fillId="5" borderId="1" xfId="0" applyFont="1" applyFill="1" applyBorder="1" applyAlignment="1" applyProtection="1">
      <alignment horizontal="center" vertical="center" textRotation="180"/>
      <protection hidden="1"/>
    </xf>
    <xf numFmtId="0" fontId="0" fillId="4" borderId="11" xfId="0" applyFont="1" applyFill="1" applyBorder="1" applyAlignment="1" applyProtection="1">
      <alignment horizontal="left" vertical="center"/>
      <protection hidden="1"/>
    </xf>
    <xf numFmtId="0" fontId="0" fillId="4" borderId="13" xfId="0" applyFont="1" applyFill="1" applyBorder="1" applyAlignment="1" applyProtection="1">
      <alignment horizontal="left" vertical="center"/>
      <protection hidden="1"/>
    </xf>
    <xf numFmtId="0" fontId="12" fillId="4" borderId="3" xfId="0" applyFont="1" applyFill="1" applyBorder="1" applyAlignment="1" applyProtection="1">
      <alignment horizontal="center" vertical="center" textRotation="180"/>
      <protection hidden="1"/>
    </xf>
    <xf numFmtId="0" fontId="12" fillId="4" borderId="5" xfId="0" applyFont="1" applyFill="1" applyBorder="1" applyAlignment="1" applyProtection="1">
      <alignment horizontal="center" vertical="center" textRotation="180"/>
      <protection hidden="1"/>
    </xf>
    <xf numFmtId="0" fontId="12" fillId="4" borderId="9" xfId="0" applyFont="1" applyFill="1" applyBorder="1" applyAlignment="1" applyProtection="1">
      <alignment horizontal="center" vertical="center" textRotation="180"/>
      <protection hidden="1"/>
    </xf>
    <xf numFmtId="0" fontId="9" fillId="10" borderId="10" xfId="0" applyFont="1" applyFill="1" applyBorder="1" applyAlignment="1" applyProtection="1">
      <alignment horizontal="center" vertical="center" textRotation="180" wrapText="1"/>
      <protection hidden="1"/>
    </xf>
    <xf numFmtId="0" fontId="9" fillId="10" borderId="14" xfId="0" applyFont="1" applyFill="1" applyBorder="1" applyAlignment="1" applyProtection="1">
      <alignment horizontal="center" vertical="center" textRotation="180" wrapText="1"/>
      <protection hidden="1"/>
    </xf>
    <xf numFmtId="0" fontId="9" fillId="10" borderId="15" xfId="0" applyFont="1" applyFill="1" applyBorder="1" applyAlignment="1" applyProtection="1">
      <alignment horizontal="center" vertical="center" textRotation="180" wrapText="1"/>
      <protection hidden="1"/>
    </xf>
    <xf numFmtId="0" fontId="12" fillId="10" borderId="10" xfId="0" applyFont="1" applyFill="1" applyBorder="1" applyAlignment="1" applyProtection="1">
      <alignment horizontal="center" vertical="center" textRotation="180"/>
      <protection hidden="1"/>
    </xf>
    <xf numFmtId="0" fontId="12" fillId="10" borderId="14" xfId="0" applyFont="1" applyFill="1" applyBorder="1" applyAlignment="1" applyProtection="1">
      <alignment horizontal="center" vertical="center" textRotation="180"/>
      <protection hidden="1"/>
    </xf>
    <xf numFmtId="0" fontId="12" fillId="10" borderId="15" xfId="0" applyFont="1" applyFill="1" applyBorder="1" applyAlignment="1" applyProtection="1">
      <alignment horizontal="center" vertical="center" textRotation="180"/>
      <protection hidden="1"/>
    </xf>
    <xf numFmtId="0" fontId="12" fillId="11" borderId="10" xfId="0" applyFont="1" applyFill="1" applyBorder="1" applyAlignment="1" applyProtection="1">
      <alignment horizontal="center" vertical="center" textRotation="180"/>
      <protection hidden="1"/>
    </xf>
    <xf numFmtId="0" fontId="12" fillId="11" borderId="14" xfId="0" applyFont="1" applyFill="1" applyBorder="1" applyAlignment="1" applyProtection="1">
      <alignment horizontal="center" vertical="center" textRotation="180"/>
      <protection hidden="1"/>
    </xf>
    <xf numFmtId="0" fontId="12" fillId="11" borderId="15" xfId="0" applyFont="1" applyFill="1" applyBorder="1" applyAlignment="1" applyProtection="1">
      <alignment horizontal="center" vertical="center" textRotation="180"/>
      <protection hidden="1"/>
    </xf>
    <xf numFmtId="0" fontId="12" fillId="9" borderId="10" xfId="0" applyFont="1" applyFill="1" applyBorder="1" applyAlignment="1" applyProtection="1">
      <alignment horizontal="center" vertical="center" textRotation="180"/>
      <protection hidden="1"/>
    </xf>
    <xf numFmtId="0" fontId="0" fillId="0" borderId="14" xfId="0" applyBorder="1" applyAlignment="1">
      <alignment horizontal="center" vertical="center"/>
    </xf>
    <xf numFmtId="0" fontId="0" fillId="0" borderId="15" xfId="0" applyBorder="1" applyAlignment="1">
      <alignment horizontal="center" vertical="center"/>
    </xf>
    <xf numFmtId="0" fontId="12" fillId="5" borderId="2" xfId="0" applyFont="1" applyFill="1" applyBorder="1" applyAlignment="1" applyProtection="1">
      <alignment horizontal="center" vertical="center" textRotation="180" wrapText="1"/>
      <protection hidden="1"/>
    </xf>
    <xf numFmtId="0" fontId="12" fillId="5" borderId="4" xfId="0" applyFont="1" applyFill="1" applyBorder="1" applyAlignment="1" applyProtection="1">
      <alignment horizontal="center" vertical="center" textRotation="180" wrapText="1"/>
      <protection hidden="1"/>
    </xf>
    <xf numFmtId="0" fontId="12" fillId="5" borderId="7" xfId="0" applyFont="1" applyFill="1" applyBorder="1" applyAlignment="1" applyProtection="1">
      <alignment horizontal="center" vertical="center" textRotation="180" wrapText="1"/>
      <protection hidden="1"/>
    </xf>
    <xf numFmtId="0" fontId="12" fillId="11" borderId="2" xfId="0" applyFont="1" applyFill="1" applyBorder="1" applyAlignment="1" applyProtection="1">
      <alignment horizontal="center" vertical="center" textRotation="180"/>
      <protection hidden="1"/>
    </xf>
    <xf numFmtId="0" fontId="12" fillId="11" borderId="4" xfId="0" applyFont="1" applyFill="1" applyBorder="1" applyAlignment="1" applyProtection="1">
      <alignment horizontal="center" vertical="center" textRotation="180"/>
      <protection hidden="1"/>
    </xf>
    <xf numFmtId="0" fontId="12" fillId="11" borderId="7" xfId="0" applyFont="1" applyFill="1" applyBorder="1" applyAlignment="1" applyProtection="1">
      <alignment horizontal="center" vertical="center" textRotation="180"/>
      <protection hidden="1"/>
    </xf>
    <xf numFmtId="0" fontId="12" fillId="5" borderId="2" xfId="0" applyFont="1" applyFill="1" applyBorder="1" applyAlignment="1" applyProtection="1">
      <alignment horizontal="center" vertical="center" textRotation="180"/>
      <protection hidden="1"/>
    </xf>
    <xf numFmtId="0" fontId="12" fillId="5" borderId="4" xfId="0" applyFont="1" applyFill="1" applyBorder="1" applyAlignment="1" applyProtection="1">
      <alignment horizontal="center" vertical="center" textRotation="180"/>
      <protection hidden="1"/>
    </xf>
    <xf numFmtId="0" fontId="12" fillId="5" borderId="7" xfId="0" applyFont="1" applyFill="1" applyBorder="1" applyAlignment="1" applyProtection="1">
      <alignment horizontal="center" vertical="center" textRotation="180"/>
      <protection hidden="1"/>
    </xf>
    <xf numFmtId="0" fontId="9" fillId="3" borderId="1" xfId="0" applyFont="1" applyFill="1" applyBorder="1" applyAlignment="1" applyProtection="1">
      <alignment horizontal="center" vertical="center" wrapText="1"/>
      <protection hidden="1"/>
    </xf>
    <xf numFmtId="0" fontId="1" fillId="0" borderId="0" xfId="0" applyFont="1" applyAlignment="1">
      <alignment horizontal="center" wrapText="1"/>
    </xf>
    <xf numFmtId="0" fontId="25" fillId="4" borderId="11" xfId="0" applyFont="1" applyFill="1" applyBorder="1" applyAlignment="1">
      <alignment horizontal="center"/>
    </xf>
    <xf numFmtId="0" fontId="25" fillId="4" borderId="12" xfId="0" applyFont="1" applyFill="1" applyBorder="1" applyAlignment="1">
      <alignment horizontal="center"/>
    </xf>
    <xf numFmtId="0" fontId="25" fillId="4" borderId="13" xfId="0" applyFont="1" applyFill="1" applyBorder="1" applyAlignment="1">
      <alignment horizontal="center"/>
    </xf>
    <xf numFmtId="0" fontId="27" fillId="0" borderId="0" xfId="0" applyFont="1" applyAlignment="1" applyProtection="1">
      <alignment horizontal="center" vertical="center"/>
      <protection hidden="1"/>
    </xf>
    <xf numFmtId="0" fontId="6" fillId="0" borderId="0" xfId="1" applyFont="1" applyFill="1" applyBorder="1" applyAlignment="1" applyProtection="1">
      <alignment horizontal="center" vertical="center" wrapText="1"/>
      <protection hidden="1"/>
    </xf>
  </cellXfs>
  <cellStyles count="7">
    <cellStyle name="Comma" xfId="6" builtinId="3"/>
    <cellStyle name="Normal" xfId="0" builtinId="0"/>
    <cellStyle name="Normal 2" xfId="1"/>
    <cellStyle name="Normal 2 2" xfId="2"/>
    <cellStyle name="Normal 3" xfId="3"/>
    <cellStyle name="Normal 4" xfId="4"/>
    <cellStyle name="Percent" xfId="5" builtinId="5"/>
  </cellStyles>
  <dxfs count="14">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C000"/>
        </patternFill>
      </fill>
    </dxf>
    <dxf>
      <numFmt numFmtId="0" formatCode="General"/>
      <fill>
        <patternFill patternType="none">
          <bgColor auto="1"/>
        </patternFill>
      </fill>
      <border>
        <left/>
        <right/>
        <top/>
        <bottom/>
        <vertical/>
        <horizontal/>
      </border>
    </dxf>
    <dxf>
      <font>
        <b/>
        <i val="0"/>
      </font>
      <fill>
        <patternFill>
          <bgColor rgb="FFFFC000"/>
        </patternFill>
      </fill>
      <border>
        <left/>
        <right/>
        <top/>
        <bottom/>
        <vertical/>
        <horizontal/>
      </border>
    </dxf>
    <dxf>
      <fill>
        <patternFill>
          <bgColor rgb="FFFF0000"/>
        </patternFill>
      </fill>
    </dxf>
    <dxf>
      <font>
        <color theme="0"/>
      </font>
      <fill>
        <patternFill>
          <bgColor rgb="FFFF0000"/>
        </patternFill>
      </fill>
    </dxf>
    <dxf>
      <font>
        <b/>
        <i val="0"/>
      </font>
      <fill>
        <patternFill>
          <bgColor theme="0" tint="-0.24994659260841701"/>
        </patternFill>
      </fill>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CE32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303"/>
  <sheetViews>
    <sheetView showGridLines="0" showRowColHeaders="0" tabSelected="1" zoomScaleNormal="100" workbookViewId="0">
      <selection activeCell="B4" sqref="B4:C4"/>
    </sheetView>
  </sheetViews>
  <sheetFormatPr defaultColWidth="9.140625" defaultRowHeight="18.75" x14ac:dyDescent="0.25"/>
  <cols>
    <col min="1" max="1" width="2.140625" style="1" customWidth="1"/>
    <col min="2" max="2" width="16.7109375" style="1" customWidth="1"/>
    <col min="3" max="3" width="26.140625" style="1" customWidth="1"/>
    <col min="4" max="4" width="4.7109375" style="2" customWidth="1"/>
    <col min="5" max="8" width="15.5703125" style="1" customWidth="1"/>
    <col min="9" max="9" width="19.5703125" style="1" customWidth="1"/>
    <col min="10" max="10" width="15.5703125" style="1" customWidth="1"/>
    <col min="11" max="11" width="6.7109375" style="1" bestFit="1" customWidth="1"/>
    <col min="12" max="15" width="13.140625" style="1" customWidth="1"/>
    <col min="16" max="16" width="14.28515625" style="1" customWidth="1"/>
    <col min="17" max="17" width="9.140625" style="1" customWidth="1"/>
    <col min="18" max="21" width="15.7109375" style="4" customWidth="1"/>
    <col min="22" max="24" width="9.140625" style="5" customWidth="1"/>
    <col min="25" max="25" width="6.140625" style="26" customWidth="1"/>
    <col min="26" max="26" width="11.42578125" style="26" customWidth="1"/>
    <col min="27" max="31" width="6.140625" style="26" customWidth="1"/>
    <col min="32" max="39" width="9.140625" style="5" customWidth="1"/>
    <col min="40" max="40" width="9.140625" style="1" customWidth="1"/>
    <col min="41" max="16384" width="9.140625" style="1"/>
  </cols>
  <sheetData>
    <row r="1" spans="2:54" ht="34.5" customHeight="1" x14ac:dyDescent="0.25">
      <c r="B1" s="147" t="s">
        <v>148</v>
      </c>
      <c r="C1" s="147"/>
      <c r="D1" s="147"/>
      <c r="E1" s="147"/>
      <c r="F1" s="147"/>
      <c r="G1" s="147"/>
      <c r="H1" s="147"/>
      <c r="I1" s="147"/>
      <c r="J1" s="147"/>
      <c r="K1" s="36"/>
      <c r="L1" s="35"/>
      <c r="AF1" s="5" t="s">
        <v>29</v>
      </c>
    </row>
    <row r="2" spans="2:54" ht="54" customHeight="1" x14ac:dyDescent="0.25">
      <c r="B2" s="147"/>
      <c r="C2" s="147"/>
      <c r="D2" s="147"/>
      <c r="E2" s="147"/>
      <c r="F2" s="147"/>
      <c r="G2" s="147"/>
      <c r="H2" s="147"/>
      <c r="I2" s="147"/>
      <c r="J2" s="147"/>
      <c r="K2" s="36"/>
      <c r="L2" s="155"/>
      <c r="M2" s="156"/>
      <c r="N2" s="156"/>
      <c r="O2" s="156"/>
      <c r="P2" s="156"/>
      <c r="Q2" s="156"/>
      <c r="AF2" s="5" t="s">
        <v>30</v>
      </c>
    </row>
    <row r="3" spans="2:54" ht="11.25" customHeight="1" x14ac:dyDescent="0.25">
      <c r="B3" s="146"/>
      <c r="C3" s="145"/>
    </row>
    <row r="4" spans="2:54" ht="61.5" customHeight="1" x14ac:dyDescent="0.25">
      <c r="B4" s="153" t="s">
        <v>131</v>
      </c>
      <c r="C4" s="154"/>
      <c r="E4" s="158" t="str">
        <f>IF(OR($B$4="O&amp;F1-A",$B$4="O&amp;F1-B",$B$4="O&amp;F1-C",$B$4="O&amp;F1-D",$B$4="O&amp;F1-E",$B$4="O&amp;F2-A",$B$4="O&amp;F2-B"),"O&amp;F Shift Extended Hours = £3,698.26
O&amp;F Shift 24/7 = £4,931.14
-where applicable-",IF(Thresholds_Rates!C15=0,"","STANDARD MAXIMUM"))</f>
        <v/>
      </c>
      <c r="F4" s="159"/>
      <c r="G4" s="159"/>
      <c r="H4" s="159"/>
      <c r="I4" s="159"/>
      <c r="J4" s="10"/>
      <c r="K4" s="10"/>
      <c r="AF4" s="30" t="s">
        <v>36</v>
      </c>
      <c r="AN4" s="26"/>
      <c r="AO4" s="26"/>
      <c r="AP4" s="26"/>
      <c r="AQ4" s="26"/>
      <c r="AR4" s="26"/>
      <c r="AS4" s="26"/>
      <c r="AT4" s="26"/>
      <c r="AU4" s="26"/>
      <c r="AV4" s="26"/>
      <c r="AW4" s="26"/>
      <c r="AX4" s="26"/>
      <c r="AY4" s="26"/>
      <c r="AZ4" s="26"/>
      <c r="BA4" s="26"/>
      <c r="BB4" s="26"/>
    </row>
    <row r="5" spans="2:54" s="2" customFormat="1" ht="8.25" customHeight="1" x14ac:dyDescent="0.25">
      <c r="B5" s="134" t="str">
        <f>VLOOKUP($B$4,Grades!$A:$BS,71,0)</f>
        <v>Y</v>
      </c>
      <c r="C5" s="10"/>
      <c r="D5" s="10"/>
      <c r="F5" s="10"/>
      <c r="G5" s="10"/>
      <c r="H5" s="10"/>
      <c r="I5" s="10"/>
      <c r="J5" s="10"/>
      <c r="K5" s="10"/>
      <c r="R5" s="14"/>
      <c r="S5" s="14"/>
      <c r="T5" s="14"/>
      <c r="U5" s="14"/>
      <c r="V5" s="6"/>
      <c r="W5" s="6"/>
      <c r="X5" s="6"/>
      <c r="Y5" s="34"/>
      <c r="Z5" s="34"/>
      <c r="AA5" s="34"/>
      <c r="AB5" s="34"/>
      <c r="AC5" s="34"/>
      <c r="AD5" s="34"/>
      <c r="AE5" s="34"/>
      <c r="AF5" s="31"/>
      <c r="AG5" s="6"/>
      <c r="AH5" s="6"/>
      <c r="AI5" s="6"/>
      <c r="AJ5" s="6"/>
      <c r="AK5" s="6"/>
      <c r="AL5" s="6"/>
      <c r="AM5" s="6"/>
      <c r="AN5" s="34"/>
      <c r="AO5" s="34"/>
      <c r="AP5" s="34"/>
      <c r="AQ5" s="34"/>
      <c r="AR5" s="34"/>
      <c r="AS5" s="34"/>
      <c r="AT5" s="34"/>
      <c r="AU5" s="34"/>
      <c r="AV5" s="34"/>
      <c r="AW5" s="34"/>
      <c r="AX5" s="34"/>
      <c r="AY5" s="34"/>
      <c r="AZ5" s="34"/>
      <c r="BA5" s="34"/>
      <c r="BB5" s="34"/>
    </row>
    <row r="6" spans="2:54" s="2" customFormat="1" ht="8.25" customHeight="1" x14ac:dyDescent="0.25">
      <c r="B6" s="10"/>
      <c r="C6" s="10"/>
      <c r="D6" s="10"/>
      <c r="F6" s="10"/>
      <c r="G6" s="10"/>
      <c r="H6" s="10"/>
      <c r="I6" s="10"/>
      <c r="J6" s="10"/>
      <c r="K6" s="10"/>
      <c r="R6" s="14"/>
      <c r="S6" s="14"/>
      <c r="T6" s="14"/>
      <c r="U6" s="14"/>
      <c r="V6" s="6"/>
      <c r="W6" s="6"/>
      <c r="X6" s="6"/>
      <c r="Y6" s="34"/>
      <c r="Z6" s="34"/>
      <c r="AA6" s="34"/>
      <c r="AB6" s="34"/>
      <c r="AC6" s="34"/>
      <c r="AD6" s="34"/>
      <c r="AE6" s="34"/>
      <c r="AF6" s="31"/>
      <c r="AG6" s="6"/>
      <c r="AH6" s="6"/>
      <c r="AI6" s="6"/>
      <c r="AJ6" s="6"/>
      <c r="AK6" s="6"/>
      <c r="AL6" s="6"/>
      <c r="AM6" s="6"/>
      <c r="AN6" s="34"/>
      <c r="AO6" s="34"/>
      <c r="AP6" s="34"/>
      <c r="AQ6" s="34"/>
      <c r="AR6" s="34"/>
      <c r="AS6" s="34"/>
      <c r="AT6" s="34"/>
      <c r="AU6" s="34"/>
      <c r="AV6" s="34"/>
      <c r="AW6" s="34"/>
      <c r="AX6" s="34"/>
      <c r="AY6" s="34"/>
      <c r="AZ6" s="34"/>
      <c r="BA6" s="34"/>
      <c r="BB6" s="34"/>
    </row>
    <row r="7" spans="2:54" s="2" customFormat="1" ht="69" customHeight="1" x14ac:dyDescent="0.25">
      <c r="B7" s="157" t="str">
        <f>IF(B5="Y",'1-57 Point Scale'!H5,"")</f>
        <v>*Plus an annual topup payment of £773.00 (pro-rata) paid monthly, on Spinal Point 3, £459.00 (pro-rata) paid monthly, on Spinal Point 4 and £153.00 (pro-rata) paid monthly, on Spinal Point 5 all from 6th November 2017.</v>
      </c>
      <c r="C7" s="157"/>
      <c r="E7" s="150" t="s">
        <v>137</v>
      </c>
      <c r="F7" s="151"/>
      <c r="G7" s="151"/>
      <c r="H7" s="151"/>
      <c r="I7" s="151"/>
      <c r="J7" s="152"/>
      <c r="K7" s="18"/>
      <c r="L7" s="149" t="s">
        <v>47</v>
      </c>
      <c r="M7" s="149"/>
      <c r="N7" s="149"/>
      <c r="O7" s="149"/>
      <c r="P7" s="149"/>
      <c r="Q7" s="1"/>
      <c r="R7" s="148" t="str">
        <f>IF(OR($B$4="R&amp;T Level 5 - Clinical Lecturers (Vet School)",$B$4="R&amp;T Level 6 - Clinical Associate Professors and Clinical Readers (Vet School)"),"AVA Details","")</f>
        <v/>
      </c>
      <c r="S7" s="148"/>
      <c r="T7" s="148" t="str">
        <f>IF($B$4="R&amp;T Level 5 - Clinical Lecturers (Vet School)","Clinical Supplement
Can earn up to 15%
(Maximum Shown Below)",IF($B$4="R&amp;T Level 6 - Clinical Associate Professors and Clinical Readers (Vet School)","Clinical Supplement
Can earn up to 20%
(Maximum Shown Below)",""))</f>
        <v/>
      </c>
      <c r="U7" s="148"/>
      <c r="V7" s="5"/>
      <c r="W7" s="26"/>
      <c r="X7" s="5"/>
      <c r="Y7" s="26"/>
      <c r="Z7" s="34"/>
      <c r="AA7" s="34"/>
      <c r="AB7" s="34"/>
      <c r="AC7" s="34"/>
      <c r="AD7" s="34"/>
      <c r="AE7" s="34"/>
      <c r="AF7" s="31" t="s">
        <v>38</v>
      </c>
      <c r="AG7" s="6"/>
      <c r="AH7" s="6"/>
      <c r="AI7" s="6"/>
      <c r="AJ7" s="6"/>
      <c r="AK7" s="6"/>
      <c r="AL7" s="6"/>
      <c r="AM7" s="6"/>
      <c r="AN7" s="34"/>
      <c r="AO7" s="34"/>
      <c r="AP7" s="34"/>
      <c r="AQ7" s="34"/>
      <c r="AR7" s="34"/>
      <c r="AS7" s="34"/>
      <c r="AT7" s="34"/>
      <c r="AU7" s="34"/>
      <c r="AV7" s="34"/>
      <c r="AW7" s="34"/>
      <c r="AX7" s="34"/>
      <c r="AY7" s="34"/>
      <c r="AZ7" s="34"/>
      <c r="BA7" s="34"/>
      <c r="BB7" s="34"/>
    </row>
    <row r="8" spans="2:54" ht="57" customHeight="1" x14ac:dyDescent="0.25">
      <c r="B8" s="100" t="s">
        <v>0</v>
      </c>
      <c r="C8" s="100" t="str">
        <f>IF(OR($B$4=$AF$4,$B$4=$AF$7),"Salary + AVA
(for further details scroll right)","Salary")</f>
        <v>Salary</v>
      </c>
      <c r="D8" s="10"/>
      <c r="E8" s="99" t="s">
        <v>115</v>
      </c>
      <c r="F8" s="99" t="s">
        <v>116</v>
      </c>
      <c r="G8" s="99" t="s">
        <v>117</v>
      </c>
      <c r="H8" s="97" t="s">
        <v>114</v>
      </c>
      <c r="I8" s="97" t="s">
        <v>136</v>
      </c>
      <c r="J8" s="99" t="s">
        <v>118</v>
      </c>
      <c r="K8" s="10"/>
      <c r="L8" s="97" t="s">
        <v>4</v>
      </c>
      <c r="M8" s="97" t="s">
        <v>5</v>
      </c>
      <c r="N8" s="97" t="s">
        <v>2</v>
      </c>
      <c r="O8" s="97" t="s">
        <v>3</v>
      </c>
      <c r="P8" s="98" t="s">
        <v>61</v>
      </c>
      <c r="R8" s="144" t="str">
        <f>IF(OR($B$4="R&amp;T Level 5 - Clinical Lecturers (Vet School)",$B$4="R&amp;T Level 6 - Clinical Associate Professors and Clinical Readers (Vet School)"),"AVA %","")</f>
        <v/>
      </c>
      <c r="S8" s="144" t="str">
        <f>IF(OR($B$4="R&amp;T Level 5 - Clinical Lecturers (Vet School)",$B$4="R&amp;T Level 6 - Clinical Associate Professors and Clinical Readers (Vet School)"),"AVA Amount","")</f>
        <v/>
      </c>
      <c r="T8" s="144" t="str">
        <f>IF(OR($B$4="R&amp;T Level 5 - Clinical Lecturers (Vet School)",$B$4="R&amp;T Level 6 - Clinical Associate Professors and Clinical Readers (Vet School)"),"Clinical Supplement %","")</f>
        <v/>
      </c>
      <c r="U8" s="144" t="str">
        <f>IF(OR($B$4="R&amp;T Level 5 - Clinical Lecturers (Vet School)",$B$4="R&amp;T Level 6 - Clinical Associate Professors and Clinical Readers (Vet School)"),"Clinical Supplement Amount","")</f>
        <v/>
      </c>
      <c r="V8" s="11"/>
      <c r="W8" s="26"/>
      <c r="AN8" s="5"/>
    </row>
    <row r="9" spans="2:54" x14ac:dyDescent="0.25">
      <c r="B9" s="4">
        <f ca="1">IFERROR(INDEX(Points_Lookup!$A:$A,MATCH($Z9,Points_Lookup!$AH:$AH,0)),"")</f>
        <v>3</v>
      </c>
      <c r="C9" s="25">
        <f ca="1">IF(B9="","",IF($B$4="Apprenticeship",SUMIF(Points_Lookup!$AD:$AD,B9,Points_Lookup!$AF:$AF),IF(AND(OR($B$4="New Consultant Contract"),$B9&lt;&gt;""),INDEX(Points_Lookup!$N:$N,MATCH($B9,Points_Lookup!$M:$M,0)),IF(AND(OR($B$4="Clinical Lecturer / Medical Research Fellow",$B$4="Clinical Consultant - Old Contract (GP)"),$B9&lt;&gt;""),INDEX(Points_Lookup!$K:$K,MATCH($B9,Points_Lookup!$J:$J,0)),IF(AND(OR($B$4="APM Level 7",$B$4="R&amp;T Level 7",$B$4="APM Level 8"),B9&lt;&gt;""),INDEX(Points_Lookup!$E:$E,MATCH($Z9,Points_Lookup!$AH:$AH,0)),IF($B$4="R&amp;T Level 5 - Clinical Lecturers (Vet School)",SUMIF(Points_Lookup!$P:$P,$B9,Points_Lookup!$S:$S),IF($B$4="R&amp;T Level 6 - Clinical Associate Professors and Clinical Readers (Vet School)",SUMIF(Points_Lookup!$W:$W,$B9,Points_Lookup!$Z:$Z),IF($B$4="CLDOCIT (Clinical Academic Doctors in Training",SUMIF(Points_Lookup!$G:$G,$B9,Points_Lookup!$H:$H),IFERROR(INDEX(Points_Lookup!$B:$B,MATCH($Z9,Points_Lookup!$AH:$AH,0)),"")))))))))</f>
        <v>15721</v>
      </c>
      <c r="D9" s="40"/>
      <c r="E9" s="25" t="str">
        <f ca="1">IF($B9="","",IF(AND($B$4="Salary Points 3 to 57",B9&lt;Thresholds_Rates!$C$16),"-",IF(SUMIF(Grades!$A:$A,$B$4,Grades!$BO:$BO)=0,"-",IF(AND($B$4="Salary Points 3 to 57",B9&gt;=Thresholds_Rates!$C$16),$C9*Thresholds_Rates!$F$15,IF(AND(OR($B$4="New Consultant Contract"),$B9&lt;&gt;""),$C9*Thresholds_Rates!$F$15,IF(AND(OR($B$4="Clinical Lecturer / Medical Research Fellow",$B$4="Clinical Consultant - Old Contract (GP)"),$B9&lt;&gt;""),$C9*Thresholds_Rates!$F$15,IF(OR($B$4="APM Level 7",$B$4="R&amp;T Level 7"),$C9*Thresholds_Rates!$F$15,IF(SUMIF(Grades!$A:$A,$B$4,Grades!$BO:$BO)=1,$C9*Thresholds_Rates!$F$15,""))))))))</f>
        <v>-</v>
      </c>
      <c r="F9" s="25" t="str">
        <f ca="1">IF(B9="","",IF($B$4="Salary Points 3 to 57","-",IF(SUMIF(Grades!$A:$A,$B$4,Grades!$BP:$BP)=0,"-",IF(AND(OR($B$4="New Consultant Contract"),$B9&lt;&gt;""),$C9*Thresholds_Rates!$F$16,IF(AND(OR($B$4="Clinical Lecturer / Medical Research Fellow",$B$4="Clinical Consultant - Old Contract (GP)"),$B9&lt;&gt;""),$C9*Thresholds_Rates!$F$16,IF(AND(OR($B$4="APM Level 7",$B$4="R&amp;T Level 7"),E9&lt;&gt;""),$C9*Thresholds_Rates!$F$16,IF(SUMIF(Grades!$A:$A,$B$4,Grades!$BP:$BP)=1,$C9*Thresholds_Rates!$F$16,"")))))))</f>
        <v>-</v>
      </c>
      <c r="G9" s="25">
        <f ca="1">IF($B$4="Apprenticeship","-",IF(B9="","",IF(SUMIF(Grades!$A:$A,$B$4,Grades!$BQ:$BQ)=0,"-",IF(AND($B$4="Salary Points 3 to 57",B9&gt;Thresholds_Rates!$C$17),"-",IF(AND($B$4="Salary Points 3 to 57",B9&lt;=Thresholds_Rates!$C$17),$C9*Thresholds_Rates!$F$17,IF(AND(OR($B$4="New Consultant Contract"),$B9&lt;&gt;""),$C9*Thresholds_Rates!$F$17,IF(AND(OR($B$4="Clinical Lecturer / Medical Research Fellow",$B$4="Clinical Consultant - Old Contract (GP)"),$B9&lt;&gt;""),$C9*Thresholds_Rates!$F$17,IF(AND(OR($B$4="APM Level 7",$B$4="R&amp;T Level 7"),F9&lt;&gt;""),$C9*Thresholds_Rates!$F$17,IF(SUMIF(Grades!$A:$A,$B$4,Grades!$BQ:$BQ)=1,$C9*Thresholds_Rates!$F$17,"")))))))))</f>
        <v>6131.1900000000005</v>
      </c>
      <c r="H9" s="25">
        <f ca="1">IF($B9="","",ROUND(($C9-(Thresholds_Rates!$C$5*12))*Thresholds_Rates!$C$10,0))</f>
        <v>1043</v>
      </c>
      <c r="I9" s="25">
        <f ca="1">IF(B9="","",(C9*Thresholds_Rates!$C$12))</f>
        <v>78.605000000000004</v>
      </c>
      <c r="J9" s="25">
        <f ca="1">IF(B9="","",IF(AND($B$4="Salary Points 3 to 57",B9&gt;Thresholds_Rates!$C$17),"-",IF(SUMIF(Grades!$A:$A,$B$4,Grades!$BR:$BR)=0,"-",IF(AND($B$4="Salary Points 3 to 57",B9&lt;=Thresholds_Rates!$C$17),$C9*Thresholds_Rates!$F$18,IF(AND(OR($B$4="New Consultant Contract"),$B9&lt;&gt;""),$C9*Thresholds_Rates!$F$18,IF(AND(OR($B$4="Clinical Lecturer / Medical Research Fellow",$B$4="Clinical Consultant - Old Contract (GP)"),$B9&lt;&gt;""),$C9*Thresholds_Rates!$F$18,IF(AND(OR($B$4="APM Level 7",$B$4="R&amp;T Level 7"),H9&lt;&gt;""),$C9*Thresholds_Rates!$F$18,IF(SUMIF(Grades!$A:$A,$B$4,Grades!$BQ:$BQ)=1,$C9*Thresholds_Rates!$F$18,""))))))))</f>
        <v>1572.1000000000001</v>
      </c>
      <c r="K9" s="4"/>
      <c r="L9" s="25" t="str">
        <f t="shared" ref="L9:L40" ca="1" si="0">IF(B9="","",IF(E9="-","-",$C9+$H9+E9+I9))</f>
        <v>-</v>
      </c>
      <c r="M9" s="25" t="str">
        <f t="shared" ref="M9:M40" ca="1" si="1">IF(B9="","",IF(F9="-","-",$C9+$H9+F9+I9))</f>
        <v>-</v>
      </c>
      <c r="N9" s="25">
        <f t="shared" ref="N9:N40" ca="1" si="2">IF(B9="","",IF(G9="-","-",$C9+$H9+G9+I9))</f>
        <v>22973.795000000002</v>
      </c>
      <c r="O9" s="25">
        <f t="shared" ref="O9:O40" ca="1" si="3">IF(B9="","",IF(J9="-","-",$C9+$H9+J9+I9))</f>
        <v>18414.704999999998</v>
      </c>
      <c r="P9" s="25">
        <f t="shared" ref="P9:P40" ca="1" si="4">IF(B9="","",C9+H9+I9)</f>
        <v>16842.605</v>
      </c>
      <c r="Q9" s="4"/>
      <c r="R9" s="28" t="str">
        <f ca="1">IF(B9="","",IF($B$4="R&amp;T Level 5 - Clinical Lecturers (Vet School)",SUMIF(Points_Lookup!$P:$P,$B9,Points_Lookup!$Q:$Q),IF($B$4="R&amp;T Level 6 - Clinical Associate Professors and Clinical Readers (Vet School)",SUMIF(Points_Lookup!$W:$W,$B9,Points_Lookup!$X:$X),"")))</f>
        <v/>
      </c>
      <c r="S9" s="29" t="str">
        <f ca="1">IF(B9="","",IF($B$4="R&amp;T Level 5 - Clinical Lecturers (Vet School)",$C9-SUMIF(Points_Lookup!$P:$P,$B9,Points_Lookup!$R:$R),IF($B$4="R&amp;T Level 6 - Clinical Associate Professors and Clinical Readers (Vet School)",$C9-SUMIF(Points_Lookup!$W:$W,$B9,Points_Lookup!$Y:$Y),"")))</f>
        <v/>
      </c>
      <c r="T9" s="28" t="str">
        <f ca="1">IF(B9="","",IF($B$4="R&amp;T Level 5 - Clinical Lecturers (Vet School)",SUMIF(Points_Lookup!$P:$P,$B9,Points_Lookup!$T:$T),IF($B$4="R&amp;T Level 6 - Clinical Associate Professors and Clinical Readers (Vet School)",SUMIF(Points_Lookup!$W:$W,$B9,Points_Lookup!$AA:$AA),"")))</f>
        <v/>
      </c>
      <c r="U9" s="29" t="str">
        <f t="shared" ref="U9:U40" ca="1" si="5">IF(B9="","",IF($B$4="R&amp;T Level 5 - Clinical Lecturers (Vet School)",ROUND(C9*T9,0),IF($B$4="R&amp;T Level 6 - Clinical Associate Professors and Clinical Readers (Vet School)",ROUND(C9*T9,0),"")))</f>
        <v/>
      </c>
      <c r="W9" s="26"/>
      <c r="Z9" s="26">
        <v>1</v>
      </c>
      <c r="AN9" s="5"/>
    </row>
    <row r="10" spans="2:54" ht="18.75" customHeight="1" x14ac:dyDescent="0.25">
      <c r="B10" s="4">
        <f ca="1">IFERROR(INDEX(Points_Lookup!$A:$A,MATCH($Z10,Points_Lookup!$AH:$AH,0)),"")</f>
        <v>4</v>
      </c>
      <c r="C10" s="25">
        <f ca="1">IF(B10="","",IF($B$4="Apprenticeship",SUMIF(Points_Lookup!$AD:$AD,B10,Points_Lookup!$AF:$AF),IF(AND(OR($B$4="New Consultant Contract"),$B10&lt;&gt;""),INDEX(Points_Lookup!$N:$N,MATCH($B10,Points_Lookup!$M:$M,0)),IF(AND(OR($B$4="Clinical Lecturer / Medical Research Fellow",$B$4="Clinical Consultant - Old Contract (GP)"),$B10&lt;&gt;""),INDEX(Points_Lookup!$K:$K,MATCH($B10,Points_Lookup!$J:$J,0)),IF(AND(OR($B$4="APM Level 7",$B$4="R&amp;T Level 7",$B$4="APM Level 8"),B10&lt;&gt;""),INDEX(Points_Lookup!$E:$E,MATCH($Z10,Points_Lookup!$AH:$AH,0)),IF($B$4="R&amp;T Level 5 - Clinical Lecturers (Vet School)",SUMIF(Points_Lookup!$P:$P,$B10,Points_Lookup!$S:$S),IF($B$4="R&amp;T Level 6 - Clinical Associate Professors and Clinical Readers (Vet School)",SUMIF(Points_Lookup!$W:$W,$B10,Points_Lookup!$Z:$Z),IF($B$4="CLDOCIT (Clinical Academic Doctors in Training",SUMIF(Points_Lookup!$G:$G,$B10,Points_Lookup!$H:$H),IFERROR(INDEX(Points_Lookup!$B:$B,MATCH($Z10,Points_Lookup!$AH:$AH,0)),"")))))))))</f>
        <v>16035</v>
      </c>
      <c r="D10" s="40"/>
      <c r="E10" s="25" t="str">
        <f ca="1">IF($B10="","",IF(AND($B$4="Salary Points 3 to 57",B10&lt;Thresholds_Rates!$C$16),"-",IF(SUMIF(Grades!$A:$A,$B$4,Grades!$BO:$BO)=0,"-",IF(AND($B$4="Salary Points 3 to 57",B10&gt;=Thresholds_Rates!$C$16),$C10*Thresholds_Rates!$F$15,IF(AND(OR($B$4="New Consultant Contract"),$B10&lt;&gt;""),$C10*Thresholds_Rates!$F$15,IF(AND(OR($B$4="Clinical Lecturer / Medical Research Fellow",$B$4="Clinical Consultant - Old Contract (GP)"),$B10&lt;&gt;""),$C10*Thresholds_Rates!$F$15,IF(OR($B$4="APM Level 7",$B$4="R&amp;T Level 7"),$C10*Thresholds_Rates!$F$15,IF(SUMIF(Grades!$A:$A,$B$4,Grades!$BO:$BO)=1,$C10*Thresholds_Rates!$F$15,""))))))))</f>
        <v>-</v>
      </c>
      <c r="F10" s="25" t="str">
        <f ca="1">IF(B10="","",IF($B$4="Salary Points 3 to 57","-",IF(SUMIF(Grades!$A:$A,$B$4,Grades!$BP:$BP)=0,"-",IF(AND(OR($B$4="New Consultant Contract"),$B10&lt;&gt;""),$C10*Thresholds_Rates!$F$16,IF(AND(OR($B$4="Clinical Lecturer / Medical Research Fellow",$B$4="Clinical Consultant - Old Contract (GP)"),$B10&lt;&gt;""),$C10*Thresholds_Rates!$F$16,IF(AND(OR($B$4="APM Level 7",$B$4="R&amp;T Level 7"),E10&lt;&gt;""),$C10*Thresholds_Rates!$F$16,IF(SUMIF(Grades!$A:$A,$B$4,Grades!$BP:$BP)=1,$C10*Thresholds_Rates!$F$16,"")))))))</f>
        <v>-</v>
      </c>
      <c r="G10" s="25">
        <f ca="1">IF($B$4="Apprenticeship","-",IF(B10="","",IF(SUMIF(Grades!$A:$A,$B$4,Grades!$BQ:$BQ)=0,"-",IF(AND($B$4="Salary Points 3 to 57",B10&gt;Thresholds_Rates!$C$17),"-",IF(AND($B$4="Salary Points 3 to 57",B10&lt;=Thresholds_Rates!$C$17),$C10*Thresholds_Rates!$F$17,IF(AND(OR($B$4="New Consultant Contract"),$B10&lt;&gt;""),$C10*Thresholds_Rates!$F$17,IF(AND(OR($B$4="Clinical Lecturer / Medical Research Fellow",$B$4="Clinical Consultant - Old Contract (GP)"),$B10&lt;&gt;""),$C10*Thresholds_Rates!$F$17,IF(AND(OR($B$4="APM Level 7",$B$4="R&amp;T Level 7"),F10&lt;&gt;""),$C10*Thresholds_Rates!$F$17,IF(SUMIF(Grades!$A:$A,$B$4,Grades!$BQ:$BQ)=1,$C10*Thresholds_Rates!$F$17,"")))))))))</f>
        <v>6253.6500000000005</v>
      </c>
      <c r="H10" s="25">
        <f ca="1">IF($B10="","",ROUND(($C10-(Thresholds_Rates!$C$5*12))*Thresholds_Rates!$C$10,0))</f>
        <v>1087</v>
      </c>
      <c r="I10" s="25">
        <f ca="1">IF(B10="","",(C10*Thresholds_Rates!$C$12))</f>
        <v>80.174999999999997</v>
      </c>
      <c r="J10" s="25">
        <f ca="1">IF(B10="","",IF(AND($B$4="Salary Points 3 to 57",B10&gt;Thresholds_Rates!$C$17),"-",IF(SUMIF(Grades!$A:$A,$B$4,Grades!$BR:$BR)=0,"-",IF(AND($B$4="Salary Points 3 to 57",B10&lt;=Thresholds_Rates!$C$17),$C10*Thresholds_Rates!$F$18,IF(AND(OR($B$4="New Consultant Contract"),$B10&lt;&gt;""),$C10*Thresholds_Rates!$F$18,IF(AND(OR($B$4="Clinical Lecturer / Medical Research Fellow",$B$4="Clinical Consultant - Old Contract (GP)"),$B10&lt;&gt;""),$C10*Thresholds_Rates!$F$18,IF(AND(OR($B$4="APM Level 7",$B$4="R&amp;T Level 7"),H10&lt;&gt;""),$C10*Thresholds_Rates!$F$18,IF(SUMIF(Grades!$A:$A,$B$4,Grades!$BQ:$BQ)=1,$C10*Thresholds_Rates!$F$18,""))))))))</f>
        <v>1603.5</v>
      </c>
      <c r="K10" s="4"/>
      <c r="L10" s="25" t="str">
        <f t="shared" ca="1" si="0"/>
        <v>-</v>
      </c>
      <c r="M10" s="25" t="str">
        <f t="shared" ca="1" si="1"/>
        <v>-</v>
      </c>
      <c r="N10" s="25">
        <f t="shared" ca="1" si="2"/>
        <v>23455.825000000001</v>
      </c>
      <c r="O10" s="25">
        <f t="shared" ca="1" si="3"/>
        <v>18805.674999999999</v>
      </c>
      <c r="P10" s="25">
        <f t="shared" ca="1" si="4"/>
        <v>17202.174999999999</v>
      </c>
      <c r="Q10" s="4"/>
      <c r="R10" s="28" t="str">
        <f ca="1">IF(B10="","",IF($B$4="R&amp;T Level 5 - Clinical Lecturers (Vet School)",SUMIF(Points_Lookup!$P:$P,$B10,Points_Lookup!$Q:$Q),IF($B$4="R&amp;T Level 6 - Clinical Associate Professors and Clinical Readers (Vet School)",SUMIF(Points_Lookup!$W:$W,$B10,Points_Lookup!$X:$X),"")))</f>
        <v/>
      </c>
      <c r="S10" s="29" t="str">
        <f ca="1">IF(B10="","",IF($B$4="R&amp;T Level 5 - Clinical Lecturers (Vet School)",$C10-SUMIF(Points_Lookup!$P:$P,$B10,Points_Lookup!$R:$R),IF($B$4="R&amp;T Level 6 - Clinical Associate Professors and Clinical Readers (Vet School)",$C10-SUMIF(Points_Lookup!$W:$W,$B10,Points_Lookup!$Y:$Y),"")))</f>
        <v/>
      </c>
      <c r="T10" s="28" t="str">
        <f ca="1">IF(B10="","",IF($B$4="R&amp;T Level 5 - Clinical Lecturers (Vet School)",SUMIF(Points_Lookup!$P:$P,$B10,Points_Lookup!$T:$T),IF($B$4="R&amp;T Level 6 - Clinical Associate Professors and Clinical Readers (Vet School)",SUMIF(Points_Lookup!$W:$W,$B10,Points_Lookup!$AA:$AA),"")))</f>
        <v/>
      </c>
      <c r="U10" s="29" t="str">
        <f t="shared" ca="1" si="5"/>
        <v/>
      </c>
      <c r="W10" s="26"/>
      <c r="Z10" s="26">
        <v>2</v>
      </c>
    </row>
    <row r="11" spans="2:54" x14ac:dyDescent="0.25">
      <c r="B11" s="4">
        <f ca="1">IFERROR(INDEX(Points_Lookup!$A:$A,MATCH($Z11,Points_Lookup!$AH:$AH,0)),"")</f>
        <v>5</v>
      </c>
      <c r="C11" s="25">
        <f ca="1">IF(B11="","",IF($B$4="Apprenticeship",SUMIF(Points_Lookup!$AD:$AD,B11,Points_Lookup!$AF:$AF),IF(AND(OR($B$4="New Consultant Contract"),$B11&lt;&gt;""),INDEX(Points_Lookup!$N:$N,MATCH($B11,Points_Lookup!$M:$M,0)),IF(AND(OR($B$4="Clinical Lecturer / Medical Research Fellow",$B$4="Clinical Consultant - Old Contract (GP)"),$B11&lt;&gt;""),INDEX(Points_Lookup!$K:$K,MATCH($B11,Points_Lookup!$J:$J,0)),IF(AND(OR($B$4="APM Level 7",$B$4="R&amp;T Level 7",$B$4="APM Level 8"),B11&lt;&gt;""),INDEX(Points_Lookup!$E:$E,MATCH($Z11,Points_Lookup!$AH:$AH,0)),IF($B$4="R&amp;T Level 5 - Clinical Lecturers (Vet School)",SUMIF(Points_Lookup!$P:$P,$B11,Points_Lookup!$S:$S),IF($B$4="R&amp;T Level 6 - Clinical Associate Professors and Clinical Readers (Vet School)",SUMIF(Points_Lookup!$W:$W,$B11,Points_Lookup!$Z:$Z),IF($B$4="CLDOCIT (Clinical Academic Doctors in Training",SUMIF(Points_Lookup!$G:$G,$B11,Points_Lookup!$H:$H),IFERROR(INDEX(Points_Lookup!$B:$B,MATCH($Z11,Points_Lookup!$AH:$AH,0)),"")))))))))</f>
        <v>16341</v>
      </c>
      <c r="D11" s="40"/>
      <c r="E11" s="25" t="str">
        <f ca="1">IF($B11="","",IF(AND($B$4="Salary Points 3 to 57",B11&lt;Thresholds_Rates!$C$16),"-",IF(SUMIF(Grades!$A:$A,$B$4,Grades!$BO:$BO)=0,"-",IF(AND($B$4="Salary Points 3 to 57",B11&gt;=Thresholds_Rates!$C$16),$C11*Thresholds_Rates!$F$15,IF(AND(OR($B$4="New Consultant Contract"),$B11&lt;&gt;""),$C11*Thresholds_Rates!$F$15,IF(AND(OR($B$4="Clinical Lecturer / Medical Research Fellow",$B$4="Clinical Consultant - Old Contract (GP)"),$B11&lt;&gt;""),$C11*Thresholds_Rates!$F$15,IF(OR($B$4="APM Level 7",$B$4="R&amp;T Level 7"),$C11*Thresholds_Rates!$F$15,IF(SUMIF(Grades!$A:$A,$B$4,Grades!$BO:$BO)=1,$C11*Thresholds_Rates!$F$15,""))))))))</f>
        <v>-</v>
      </c>
      <c r="F11" s="25" t="str">
        <f ca="1">IF(B11="","",IF($B$4="Salary Points 3 to 57","-",IF(SUMIF(Grades!$A:$A,$B$4,Grades!$BP:$BP)=0,"-",IF(AND(OR($B$4="New Consultant Contract"),$B11&lt;&gt;""),$C11*Thresholds_Rates!$F$16,IF(AND(OR($B$4="Clinical Lecturer / Medical Research Fellow",$B$4="Clinical Consultant - Old Contract (GP)"),$B11&lt;&gt;""),$C11*Thresholds_Rates!$F$16,IF(AND(OR($B$4="APM Level 7",$B$4="R&amp;T Level 7"),E11&lt;&gt;""),$C11*Thresholds_Rates!$F$16,IF(SUMIF(Grades!$A:$A,$B$4,Grades!$BP:$BP)=1,$C11*Thresholds_Rates!$F$16,"")))))))</f>
        <v>-</v>
      </c>
      <c r="G11" s="25">
        <f ca="1">IF($B$4="Apprenticeship","-",IF(B11="","",IF(SUMIF(Grades!$A:$A,$B$4,Grades!$BQ:$BQ)=0,"-",IF(AND($B$4="Salary Points 3 to 57",B11&gt;Thresholds_Rates!$C$17),"-",IF(AND($B$4="Salary Points 3 to 57",B11&lt;=Thresholds_Rates!$C$17),$C11*Thresholds_Rates!$F$17,IF(AND(OR($B$4="New Consultant Contract"),$B11&lt;&gt;""),$C11*Thresholds_Rates!$F$17,IF(AND(OR($B$4="Clinical Lecturer / Medical Research Fellow",$B$4="Clinical Consultant - Old Contract (GP)"),$B11&lt;&gt;""),$C11*Thresholds_Rates!$F$17,IF(AND(OR($B$4="APM Level 7",$B$4="R&amp;T Level 7"),F11&lt;&gt;""),$C11*Thresholds_Rates!$F$17,IF(SUMIF(Grades!$A:$A,$B$4,Grades!$BQ:$BQ)=1,$C11*Thresholds_Rates!$F$17,"")))))))))</f>
        <v>6372.99</v>
      </c>
      <c r="H11" s="25">
        <f ca="1">IF($B11="","",ROUND(($C11-(Thresholds_Rates!$C$5*12))*Thresholds_Rates!$C$10,0))</f>
        <v>1129</v>
      </c>
      <c r="I11" s="25">
        <f ca="1">IF(B11="","",(C11*Thresholds_Rates!$C$12))</f>
        <v>81.704999999999998</v>
      </c>
      <c r="J11" s="25">
        <f ca="1">IF(B11="","",IF(AND($B$4="Salary Points 3 to 57",B11&gt;Thresholds_Rates!$C$17),"-",IF(SUMIF(Grades!$A:$A,$B$4,Grades!$BR:$BR)=0,"-",IF(AND($B$4="Salary Points 3 to 57",B11&lt;=Thresholds_Rates!$C$17),$C11*Thresholds_Rates!$F$18,IF(AND(OR($B$4="New Consultant Contract"),$B11&lt;&gt;""),$C11*Thresholds_Rates!$F$18,IF(AND(OR($B$4="Clinical Lecturer / Medical Research Fellow",$B$4="Clinical Consultant - Old Contract (GP)"),$B11&lt;&gt;""),$C11*Thresholds_Rates!$F$18,IF(AND(OR($B$4="APM Level 7",$B$4="R&amp;T Level 7"),H11&lt;&gt;""),$C11*Thresholds_Rates!$F$18,IF(SUMIF(Grades!$A:$A,$B$4,Grades!$BQ:$BQ)=1,$C11*Thresholds_Rates!$F$18,""))))))))</f>
        <v>1634.1000000000001</v>
      </c>
      <c r="K11" s="4"/>
      <c r="L11" s="25" t="str">
        <f t="shared" ca="1" si="0"/>
        <v>-</v>
      </c>
      <c r="M11" s="25" t="str">
        <f t="shared" ca="1" si="1"/>
        <v>-</v>
      </c>
      <c r="N11" s="25">
        <f t="shared" ca="1" si="2"/>
        <v>23924.695</v>
      </c>
      <c r="O11" s="25">
        <f t="shared" ca="1" si="3"/>
        <v>19185.805</v>
      </c>
      <c r="P11" s="25">
        <f t="shared" ca="1" si="4"/>
        <v>17551.705000000002</v>
      </c>
      <c r="R11" s="28" t="str">
        <f ca="1">IF(B11="","",IF($B$4="R&amp;T Level 5 - Clinical Lecturers (Vet School)",SUMIF(Points_Lookup!$P:$P,$B11,Points_Lookup!$Q:$Q),IF($B$4="R&amp;T Level 6 - Clinical Associate Professors and Clinical Readers (Vet School)",SUMIF(Points_Lookup!$W:$W,$B11,Points_Lookup!$X:$X),"")))</f>
        <v/>
      </c>
      <c r="S11" s="29" t="str">
        <f ca="1">IF(B11="","",IF($B$4="R&amp;T Level 5 - Clinical Lecturers (Vet School)",$C11-SUMIF(Points_Lookup!$P:$P,$B11,Points_Lookup!$R:$R),IF($B$4="R&amp;T Level 6 - Clinical Associate Professors and Clinical Readers (Vet School)",$C11-SUMIF(Points_Lookup!$W:$W,$B11,Points_Lookup!$Y:$Y),"")))</f>
        <v/>
      </c>
      <c r="T11" s="28" t="str">
        <f ca="1">IF(B11="","",IF($B$4="R&amp;T Level 5 - Clinical Lecturers (Vet School)",SUMIF(Points_Lookup!$P:$P,$B11,Points_Lookup!$T:$T),IF($B$4="R&amp;T Level 6 - Clinical Associate Professors and Clinical Readers (Vet School)",SUMIF(Points_Lookup!$W:$W,$B11,Points_Lookup!$AA:$AA),"")))</f>
        <v/>
      </c>
      <c r="U11" s="29" t="str">
        <f t="shared" ca="1" si="5"/>
        <v/>
      </c>
      <c r="W11" s="26"/>
      <c r="Z11" s="26">
        <v>3</v>
      </c>
    </row>
    <row r="12" spans="2:54" x14ac:dyDescent="0.25">
      <c r="B12" s="4">
        <f ca="1">IFERROR(INDEX(Points_Lookup!$A:$A,MATCH($Z12,Points_Lookup!$AH:$AH,0)),"")</f>
        <v>6</v>
      </c>
      <c r="C12" s="25">
        <f ca="1">IF(B12="","",IF($B$4="Apprenticeship",SUMIF(Points_Lookup!$AD:$AD,B12,Points_Lookup!$AF:$AF),IF(AND(OR($B$4="New Consultant Contract"),$B12&lt;&gt;""),INDEX(Points_Lookup!$N:$N,MATCH($B12,Points_Lookup!$M:$M,0)),IF(AND(OR($B$4="Clinical Lecturer / Medical Research Fellow",$B$4="Clinical Consultant - Old Contract (GP)"),$B12&lt;&gt;""),INDEX(Points_Lookup!$K:$K,MATCH($B12,Points_Lookup!$J:$J,0)),IF(AND(OR($B$4="APM Level 7",$B$4="R&amp;T Level 7",$B$4="APM Level 8"),B12&lt;&gt;""),INDEX(Points_Lookup!$E:$E,MATCH($Z12,Points_Lookup!$AH:$AH,0)),IF($B$4="R&amp;T Level 5 - Clinical Lecturers (Vet School)",SUMIF(Points_Lookup!$P:$P,$B12,Points_Lookup!$S:$S),IF($B$4="R&amp;T Level 6 - Clinical Associate Professors and Clinical Readers (Vet School)",SUMIF(Points_Lookup!$W:$W,$B12,Points_Lookup!$Z:$Z),IF($B$4="CLDOCIT (Clinical Academic Doctors in Training",SUMIF(Points_Lookup!$G:$G,$B12,Points_Lookup!$H:$H),IFERROR(INDEX(Points_Lookup!$B:$B,MATCH($Z12,Points_Lookup!$AH:$AH,0)),"")))))))))</f>
        <v>16654</v>
      </c>
      <c r="D12" s="40"/>
      <c r="E12" s="25" t="str">
        <f ca="1">IF($B12="","",IF(AND($B$4="Salary Points 3 to 57",B12&lt;Thresholds_Rates!$C$16),"-",IF(SUMIF(Grades!$A:$A,$B$4,Grades!$BO:$BO)=0,"-",IF(AND($B$4="Salary Points 3 to 57",B12&gt;=Thresholds_Rates!$C$16),$C12*Thresholds_Rates!$F$15,IF(AND(OR($B$4="New Consultant Contract"),$B12&lt;&gt;""),$C12*Thresholds_Rates!$F$15,IF(AND(OR($B$4="Clinical Lecturer / Medical Research Fellow",$B$4="Clinical Consultant - Old Contract (GP)"),$B12&lt;&gt;""),$C12*Thresholds_Rates!$F$15,IF(OR($B$4="APM Level 7",$B$4="R&amp;T Level 7"),$C12*Thresholds_Rates!$F$15,IF(SUMIF(Grades!$A:$A,$B$4,Grades!$BO:$BO)=1,$C12*Thresholds_Rates!$F$15,""))))))))</f>
        <v>-</v>
      </c>
      <c r="F12" s="25" t="str">
        <f ca="1">IF(B12="","",IF($B$4="Salary Points 3 to 57","-",IF(SUMIF(Grades!$A:$A,$B$4,Grades!$BP:$BP)=0,"-",IF(AND(OR($B$4="New Consultant Contract"),$B12&lt;&gt;""),$C12*Thresholds_Rates!$F$16,IF(AND(OR($B$4="Clinical Lecturer / Medical Research Fellow",$B$4="Clinical Consultant - Old Contract (GP)"),$B12&lt;&gt;""),$C12*Thresholds_Rates!$F$16,IF(AND(OR($B$4="APM Level 7",$B$4="R&amp;T Level 7"),E12&lt;&gt;""),$C12*Thresholds_Rates!$F$16,IF(SUMIF(Grades!$A:$A,$B$4,Grades!$BP:$BP)=1,$C12*Thresholds_Rates!$F$16,"")))))))</f>
        <v>-</v>
      </c>
      <c r="G12" s="25">
        <f ca="1">IF($B$4="Apprenticeship","-",IF(B12="","",IF(SUMIF(Grades!$A:$A,$B$4,Grades!$BQ:$BQ)=0,"-",IF(AND($B$4="Salary Points 3 to 57",B12&gt;Thresholds_Rates!$C$17),"-",IF(AND($B$4="Salary Points 3 to 57",B12&lt;=Thresholds_Rates!$C$17),$C12*Thresholds_Rates!$F$17,IF(AND(OR($B$4="New Consultant Contract"),$B12&lt;&gt;""),$C12*Thresholds_Rates!$F$17,IF(AND(OR($B$4="Clinical Lecturer / Medical Research Fellow",$B$4="Clinical Consultant - Old Contract (GP)"),$B12&lt;&gt;""),$C12*Thresholds_Rates!$F$17,IF(AND(OR($B$4="APM Level 7",$B$4="R&amp;T Level 7"),F12&lt;&gt;""),$C12*Thresholds_Rates!$F$17,IF(SUMIF(Grades!$A:$A,$B$4,Grades!$BQ:$BQ)=1,$C12*Thresholds_Rates!$F$17,"")))))))))</f>
        <v>6495.06</v>
      </c>
      <c r="H12" s="25">
        <f ca="1">IF($B12="","",ROUND(($C12-(Thresholds_Rates!$C$5*12))*Thresholds_Rates!$C$10,0))</f>
        <v>1172</v>
      </c>
      <c r="I12" s="25">
        <f ca="1">IF(B12="","",(C12*Thresholds_Rates!$C$12))</f>
        <v>83.27</v>
      </c>
      <c r="J12" s="25">
        <f ca="1">IF(B12="","",IF(AND($B$4="Salary Points 3 to 57",B12&gt;Thresholds_Rates!$C$17),"-",IF(SUMIF(Grades!$A:$A,$B$4,Grades!$BR:$BR)=0,"-",IF(AND($B$4="Salary Points 3 to 57",B12&lt;=Thresholds_Rates!$C$17),$C12*Thresholds_Rates!$F$18,IF(AND(OR($B$4="New Consultant Contract"),$B12&lt;&gt;""),$C12*Thresholds_Rates!$F$18,IF(AND(OR($B$4="Clinical Lecturer / Medical Research Fellow",$B$4="Clinical Consultant - Old Contract (GP)"),$B12&lt;&gt;""),$C12*Thresholds_Rates!$F$18,IF(AND(OR($B$4="APM Level 7",$B$4="R&amp;T Level 7"),H12&lt;&gt;""),$C12*Thresholds_Rates!$F$18,IF(SUMIF(Grades!$A:$A,$B$4,Grades!$BQ:$BQ)=1,$C12*Thresholds_Rates!$F$18,""))))))))</f>
        <v>1665.4</v>
      </c>
      <c r="K12" s="4"/>
      <c r="L12" s="25" t="str">
        <f t="shared" ca="1" si="0"/>
        <v>-</v>
      </c>
      <c r="M12" s="25" t="str">
        <f t="shared" ca="1" si="1"/>
        <v>-</v>
      </c>
      <c r="N12" s="25">
        <f t="shared" ca="1" si="2"/>
        <v>24404.33</v>
      </c>
      <c r="O12" s="25">
        <f t="shared" ca="1" si="3"/>
        <v>19574.670000000002</v>
      </c>
      <c r="P12" s="25">
        <f t="shared" ca="1" si="4"/>
        <v>17909.27</v>
      </c>
      <c r="R12" s="28" t="str">
        <f ca="1">IF(B12="","",IF($B$4="R&amp;T Level 5 - Clinical Lecturers (Vet School)",SUMIF(Points_Lookup!$P:$P,$B12,Points_Lookup!$Q:$Q),IF($B$4="R&amp;T Level 6 - Clinical Associate Professors and Clinical Readers (Vet School)",SUMIF(Points_Lookup!$W:$W,$B12,Points_Lookup!$X:$X),"")))</f>
        <v/>
      </c>
      <c r="S12" s="29" t="str">
        <f ca="1">IF(B12="","",IF($B$4="R&amp;T Level 5 - Clinical Lecturers (Vet School)",$C12-SUMIF(Points_Lookup!$P:$P,$B12,Points_Lookup!$R:$R),IF($B$4="R&amp;T Level 6 - Clinical Associate Professors and Clinical Readers (Vet School)",$C12-SUMIF(Points_Lookup!$W:$W,$B12,Points_Lookup!$Y:$Y),"")))</f>
        <v/>
      </c>
      <c r="T12" s="28" t="str">
        <f ca="1">IF(B12="","",IF($B$4="R&amp;T Level 5 - Clinical Lecturers (Vet School)",SUMIF(Points_Lookup!$P:$P,$B12,Points_Lookup!$T:$T),IF($B$4="R&amp;T Level 6 - Clinical Associate Professors and Clinical Readers (Vet School)",SUMIF(Points_Lookup!$W:$W,$B12,Points_Lookup!$AA:$AA),"")))</f>
        <v/>
      </c>
      <c r="U12" s="29" t="str">
        <f t="shared" ca="1" si="5"/>
        <v/>
      </c>
      <c r="W12" s="26"/>
      <c r="Z12" s="26">
        <v>4</v>
      </c>
    </row>
    <row r="13" spans="2:54" x14ac:dyDescent="0.25">
      <c r="B13" s="4">
        <f ca="1">IFERROR(INDEX(Points_Lookup!$A:$A,MATCH($Z13,Points_Lookup!$AH:$AH,0)),"")</f>
        <v>7</v>
      </c>
      <c r="C13" s="25">
        <f ca="1">IF(B13="","",IF($B$4="Apprenticeship",SUMIF(Points_Lookup!$AD:$AD,B13,Points_Lookup!$AF:$AF),IF(AND(OR($B$4="New Consultant Contract"),$B13&lt;&gt;""),INDEX(Points_Lookup!$N:$N,MATCH($B13,Points_Lookup!$M:$M,0)),IF(AND(OR($B$4="Clinical Lecturer / Medical Research Fellow",$B$4="Clinical Consultant - Old Contract (GP)"),$B13&lt;&gt;""),INDEX(Points_Lookup!$K:$K,MATCH($B13,Points_Lookup!$J:$J,0)),IF(AND(OR($B$4="APM Level 7",$B$4="R&amp;T Level 7",$B$4="APM Level 8"),B13&lt;&gt;""),INDEX(Points_Lookup!$E:$E,MATCH($Z13,Points_Lookup!$AH:$AH,0)),IF($B$4="R&amp;T Level 5 - Clinical Lecturers (Vet School)",SUMIF(Points_Lookup!$P:$P,$B13,Points_Lookup!$S:$S),IF($B$4="R&amp;T Level 6 - Clinical Associate Professors and Clinical Readers (Vet School)",SUMIF(Points_Lookup!$W:$W,$B13,Points_Lookup!$Z:$Z),IFERROR(INDEX(Points_Lookup!$B:$B,MATCH($Z13,Points_Lookup!$AH:$AH,0)),""))))))))</f>
        <v>16983</v>
      </c>
      <c r="D13" s="40"/>
      <c r="E13" s="25" t="str">
        <f ca="1">IF($B13="","",IF(AND($B$4="Salary Points 3 to 57",B13&lt;Thresholds_Rates!$C$16),"-",IF(SUMIF(Grades!$A:$A,$B$4,Grades!$BO:$BO)=0,"-",IF(AND($B$4="Salary Points 3 to 57",B13&gt;=Thresholds_Rates!$C$16),$C13*Thresholds_Rates!$F$15,IF(AND(OR($B$4="New Consultant Contract"),$B13&lt;&gt;""),$C13*Thresholds_Rates!$F$15,IF(AND(OR($B$4="Clinical Lecturer / Medical Research Fellow",$B$4="Clinical Consultant - Old Contract (GP)"),$B13&lt;&gt;""),$C13*Thresholds_Rates!$F$15,IF(OR($B$4="APM Level 7",$B$4="R&amp;T Level 7"),$C13*Thresholds_Rates!$F$15,IF(SUMIF(Grades!$A:$A,$B$4,Grades!$BO:$BO)=1,$C13*Thresholds_Rates!$F$15,""))))))))</f>
        <v>-</v>
      </c>
      <c r="F13" s="25" t="str">
        <f ca="1">IF(B13="","",IF($B$4="Salary Points 3 to 57","-",IF(SUMIF(Grades!$A:$A,$B$4,Grades!$BP:$BP)=0,"-",IF(AND(OR($B$4="New Consultant Contract"),$B13&lt;&gt;""),$C13*Thresholds_Rates!$F$16,IF(AND(OR($B$4="Clinical Lecturer / Medical Research Fellow",$B$4="Clinical Consultant - Old Contract (GP)"),$B13&lt;&gt;""),$C13*Thresholds_Rates!$F$16,IF(AND(OR($B$4="APM Level 7",$B$4="R&amp;T Level 7"),E13&lt;&gt;""),$C13*Thresholds_Rates!$F$16,IF(SUMIF(Grades!$A:$A,$B$4,Grades!$BP:$BP)=1,$C13*Thresholds_Rates!$F$16,"")))))))</f>
        <v>-</v>
      </c>
      <c r="G13" s="25">
        <f ca="1">IF($B$4="Apprenticeship","-",IF(B13="","",IF(SUMIF(Grades!$A:$A,$B$4,Grades!$BQ:$BQ)=0,"-",IF(AND($B$4="Salary Points 3 to 57",B13&gt;Thresholds_Rates!$C$17),"-",IF(AND($B$4="Salary Points 3 to 57",B13&lt;=Thresholds_Rates!$C$17),$C13*Thresholds_Rates!$F$17,IF(AND(OR($B$4="New Consultant Contract"),$B13&lt;&gt;""),$C13*Thresholds_Rates!$F$17,IF(AND(OR($B$4="Clinical Lecturer / Medical Research Fellow",$B$4="Clinical Consultant - Old Contract (GP)"),$B13&lt;&gt;""),$C13*Thresholds_Rates!$F$17,IF(AND(OR($B$4="APM Level 7",$B$4="R&amp;T Level 7"),F13&lt;&gt;""),$C13*Thresholds_Rates!$F$17,IF(SUMIF(Grades!$A:$A,$B$4,Grades!$BQ:$BQ)=1,$C13*Thresholds_Rates!$F$17,"")))))))))</f>
        <v>6623.37</v>
      </c>
      <c r="H13" s="25">
        <f ca="1">IF($B13="","",ROUND(($C13-(Thresholds_Rates!$C$5*12))*Thresholds_Rates!$C$10,0))</f>
        <v>1218</v>
      </c>
      <c r="I13" s="25">
        <f ca="1">IF(B13="","",(C13*Thresholds_Rates!$C$12))</f>
        <v>84.915000000000006</v>
      </c>
      <c r="J13" s="25">
        <f ca="1">IF(B13="","",IF(AND($B$4="Salary Points 3 to 57",B13&gt;Thresholds_Rates!$C$17),"-",IF(SUMIF(Grades!$A:$A,$B$4,Grades!$BR:$BR)=0,"-",IF(AND($B$4="Salary Points 3 to 57",B13&lt;=Thresholds_Rates!$C$17),$C13*Thresholds_Rates!$F$18,IF(AND(OR($B$4="New Consultant Contract"),$B13&lt;&gt;""),$C13*Thresholds_Rates!$F$18,IF(AND(OR($B$4="Clinical Lecturer / Medical Research Fellow",$B$4="Clinical Consultant - Old Contract (GP)"),$B13&lt;&gt;""),$C13*Thresholds_Rates!$F$18,IF(AND(OR($B$4="APM Level 7",$B$4="R&amp;T Level 7"),H13&lt;&gt;""),$C13*Thresholds_Rates!$F$18,IF(SUMIF(Grades!$A:$A,$B$4,Grades!$BQ:$BQ)=1,$C13*Thresholds_Rates!$F$18,""))))))))</f>
        <v>1698.3000000000002</v>
      </c>
      <c r="K13" s="4"/>
      <c r="L13" s="25" t="str">
        <f t="shared" ca="1" si="0"/>
        <v>-</v>
      </c>
      <c r="M13" s="25" t="str">
        <f t="shared" ca="1" si="1"/>
        <v>-</v>
      </c>
      <c r="N13" s="25">
        <f t="shared" ca="1" si="2"/>
        <v>24909.285</v>
      </c>
      <c r="O13" s="25">
        <f t="shared" ca="1" si="3"/>
        <v>19984.215</v>
      </c>
      <c r="P13" s="25">
        <f t="shared" ca="1" si="4"/>
        <v>18285.915000000001</v>
      </c>
      <c r="R13" s="28" t="str">
        <f ca="1">IF(B13="","",IF($B$4="R&amp;T Level 5 - Clinical Lecturers (Vet School)",SUMIF(Points_Lookup!$P:$P,$B13,Points_Lookup!$Q:$Q),IF($B$4="R&amp;T Level 6 - Clinical Associate Professors and Clinical Readers (Vet School)",SUMIF(Points_Lookup!$W:$W,$B13,Points_Lookup!$X:$X),"")))</f>
        <v/>
      </c>
      <c r="S13" s="29" t="str">
        <f ca="1">IF(B13="","",IF($B$4="R&amp;T Level 5 - Clinical Lecturers (Vet School)",$C13-SUMIF(Points_Lookup!$P:$P,$B13,Points_Lookup!$R:$R),IF($B$4="R&amp;T Level 6 - Clinical Associate Professors and Clinical Readers (Vet School)",$C13-SUMIF(Points_Lookup!$W:$W,$B13,Points_Lookup!$Y:$Y),"")))</f>
        <v/>
      </c>
      <c r="T13" s="28" t="str">
        <f ca="1">IF(B13="","",IF($B$4="R&amp;T Level 5 - Clinical Lecturers (Vet School)",SUMIF(Points_Lookup!$P:$P,$B13,Points_Lookup!$T:$T),IF($B$4="R&amp;T Level 6 - Clinical Associate Professors and Clinical Readers (Vet School)",SUMIF(Points_Lookup!$W:$W,$B13,Points_Lookup!$AA:$AA),"")))</f>
        <v/>
      </c>
      <c r="U13" s="29" t="str">
        <f t="shared" ca="1" si="5"/>
        <v/>
      </c>
      <c r="W13" s="26"/>
      <c r="Z13" s="26">
        <v>5</v>
      </c>
    </row>
    <row r="14" spans="2:54" x14ac:dyDescent="0.25">
      <c r="B14" s="4">
        <f ca="1">IFERROR(INDEX(Points_Lookup!$A:$A,MATCH($Z14,Points_Lookup!$AH:$AH,0)),"")</f>
        <v>8</v>
      </c>
      <c r="C14" s="25">
        <f ca="1">IF(B14="","",IF($B$4="Apprenticeship",SUMIF(Points_Lookup!$AD:$AD,B14,Points_Lookup!$AF:$AF),IF(AND(OR($B$4="New Consultant Contract"),$B14&lt;&gt;""),INDEX(Points_Lookup!$N:$N,MATCH($B14,Points_Lookup!$M:$M,0)),IF(AND(OR($B$4="Clinical Lecturer / Medical Research Fellow",$B$4="Clinical Consultant - Old Contract (GP)"),$B14&lt;&gt;""),INDEX(Points_Lookup!$K:$K,MATCH($B14,Points_Lookup!$J:$J,0)),IF(AND(OR($B$4="APM Level 7",$B$4="R&amp;T Level 7",$B$4="APM Level 8"),B14&lt;&gt;""),INDEX(Points_Lookup!$E:$E,MATCH($Z14,Points_Lookup!$AH:$AH,0)),IF($B$4="R&amp;T Level 5 - Clinical Lecturers (Vet School)",SUMIF(Points_Lookup!$P:$P,$B14,Points_Lookup!$S:$S),IF($B$4="R&amp;T Level 6 - Clinical Associate Professors and Clinical Readers (Vet School)",SUMIF(Points_Lookup!$W:$W,$B14,Points_Lookup!$Z:$Z),IFERROR(INDEX(Points_Lookup!$B:$B,MATCH($Z14,Points_Lookup!$AH:$AH,0)),""))))))))</f>
        <v>17326</v>
      </c>
      <c r="D14" s="40"/>
      <c r="E14" s="25" t="str">
        <f ca="1">IF($B14="","",IF(AND($B$4="Salary Points 3 to 57",B14&lt;Thresholds_Rates!$C$16),"-",IF(SUMIF(Grades!$A:$A,$B$4,Grades!$BO:$BO)=0,"-",IF(AND($B$4="Salary Points 3 to 57",B14&gt;=Thresholds_Rates!$C$16),$C14*Thresholds_Rates!$F$15,IF(AND(OR($B$4="New Consultant Contract"),$B14&lt;&gt;""),$C14*Thresholds_Rates!$F$15,IF(AND(OR($B$4="Clinical Lecturer / Medical Research Fellow",$B$4="Clinical Consultant - Old Contract (GP)"),$B14&lt;&gt;""),$C14*Thresholds_Rates!$F$15,IF(OR($B$4="APM Level 7",$B$4="R&amp;T Level 7"),$C14*Thresholds_Rates!$F$15,IF(SUMIF(Grades!$A:$A,$B$4,Grades!$BO:$BO)=1,$C14*Thresholds_Rates!$F$15,""))))))))</f>
        <v>-</v>
      </c>
      <c r="F14" s="25" t="str">
        <f ca="1">IF(B14="","",IF($B$4="Salary Points 3 to 57","-",IF(SUMIF(Grades!$A:$A,$B$4,Grades!$BP:$BP)=0,"-",IF(AND(OR($B$4="New Consultant Contract"),$B14&lt;&gt;""),$C14*Thresholds_Rates!$F$16,IF(AND(OR($B$4="Clinical Lecturer / Medical Research Fellow",$B$4="Clinical Consultant - Old Contract (GP)"),$B14&lt;&gt;""),$C14*Thresholds_Rates!$F$16,IF(AND(OR($B$4="APM Level 7",$B$4="R&amp;T Level 7"),E14&lt;&gt;""),$C14*Thresholds_Rates!$F$16,IF(SUMIF(Grades!$A:$A,$B$4,Grades!$BP:$BP)=1,$C14*Thresholds_Rates!$F$16,"")))))))</f>
        <v>-</v>
      </c>
      <c r="G14" s="25">
        <f ca="1">IF($B$4="Apprenticeship","-",IF(B14="","",IF(SUMIF(Grades!$A:$A,$B$4,Grades!$BQ:$BQ)=0,"-",IF(AND($B$4="Salary Points 3 to 57",B14&gt;Thresholds_Rates!$C$17),"-",IF(AND($B$4="Salary Points 3 to 57",B14&lt;=Thresholds_Rates!$C$17),$C14*Thresholds_Rates!$F$17,IF(AND(OR($B$4="New Consultant Contract"),$B14&lt;&gt;""),$C14*Thresholds_Rates!$F$17,IF(AND(OR($B$4="Clinical Lecturer / Medical Research Fellow",$B$4="Clinical Consultant - Old Contract (GP)"),$B14&lt;&gt;""),$C14*Thresholds_Rates!$F$17,IF(AND(OR($B$4="APM Level 7",$B$4="R&amp;T Level 7"),F14&lt;&gt;""),$C14*Thresholds_Rates!$F$17,IF(SUMIF(Grades!$A:$A,$B$4,Grades!$BQ:$BQ)=1,$C14*Thresholds_Rates!$F$17,"")))))))))</f>
        <v>6757.14</v>
      </c>
      <c r="H14" s="25">
        <f ca="1">IF($B14="","",ROUND(($C14-(Thresholds_Rates!$C$5*12))*Thresholds_Rates!$C$10,0))</f>
        <v>1265</v>
      </c>
      <c r="I14" s="25">
        <f ca="1">IF(B14="","",(C14*Thresholds_Rates!$C$12))</f>
        <v>86.63</v>
      </c>
      <c r="J14" s="25">
        <f ca="1">IF(B14="","",IF(AND($B$4="Salary Points 3 to 57",B14&gt;Thresholds_Rates!$C$17),"-",IF(SUMIF(Grades!$A:$A,$B$4,Grades!$BR:$BR)=0,"-",IF(AND($B$4="Salary Points 3 to 57",B14&lt;=Thresholds_Rates!$C$17),$C14*Thresholds_Rates!$F$18,IF(AND(OR($B$4="New Consultant Contract"),$B14&lt;&gt;""),$C14*Thresholds_Rates!$F$18,IF(AND(OR($B$4="Clinical Lecturer / Medical Research Fellow",$B$4="Clinical Consultant - Old Contract (GP)"),$B14&lt;&gt;""),$C14*Thresholds_Rates!$F$18,IF(AND(OR($B$4="APM Level 7",$B$4="R&amp;T Level 7"),H14&lt;&gt;""),$C14*Thresholds_Rates!$F$18,IF(SUMIF(Grades!$A:$A,$B$4,Grades!$BQ:$BQ)=1,$C14*Thresholds_Rates!$F$18,""))))))))</f>
        <v>1732.6000000000001</v>
      </c>
      <c r="K14" s="4"/>
      <c r="L14" s="25" t="str">
        <f t="shared" ca="1" si="0"/>
        <v>-</v>
      </c>
      <c r="M14" s="25" t="str">
        <f t="shared" ca="1" si="1"/>
        <v>-</v>
      </c>
      <c r="N14" s="25">
        <f t="shared" ca="1" si="2"/>
        <v>25434.77</v>
      </c>
      <c r="O14" s="25">
        <f t="shared" ca="1" si="3"/>
        <v>20410.23</v>
      </c>
      <c r="P14" s="25">
        <f t="shared" ca="1" si="4"/>
        <v>18677.63</v>
      </c>
      <c r="R14" s="28" t="str">
        <f ca="1">IF(B14="","",IF($B$4="R&amp;T Level 5 - Clinical Lecturers (Vet School)",SUMIF(Points_Lookup!$P:$P,$B14,Points_Lookup!$Q:$Q),IF($B$4="R&amp;T Level 6 - Clinical Associate Professors and Clinical Readers (Vet School)",SUMIF(Points_Lookup!$W:$W,$B14,Points_Lookup!$X:$X),"")))</f>
        <v/>
      </c>
      <c r="S14" s="29" t="str">
        <f ca="1">IF(B14="","",IF($B$4="R&amp;T Level 5 - Clinical Lecturers (Vet School)",$C14-SUMIF(Points_Lookup!$P:$P,$B14,Points_Lookup!$R:$R),IF($B$4="R&amp;T Level 6 - Clinical Associate Professors and Clinical Readers (Vet School)",$C14-SUMIF(Points_Lookup!$W:$W,$B14,Points_Lookup!$Y:$Y),"")))</f>
        <v/>
      </c>
      <c r="T14" s="28" t="str">
        <f ca="1">IF(B14="","",IF($B$4="R&amp;T Level 5 - Clinical Lecturers (Vet School)",SUMIF(Points_Lookup!$P:$P,$B14,Points_Lookup!$T:$T),IF($B$4="R&amp;T Level 6 - Clinical Associate Professors and Clinical Readers (Vet School)",SUMIF(Points_Lookup!$W:$W,$B14,Points_Lookup!$AA:$AA),"")))</f>
        <v/>
      </c>
      <c r="U14" s="29" t="str">
        <f t="shared" ca="1" si="5"/>
        <v/>
      </c>
      <c r="W14" s="26"/>
      <c r="Z14" s="26">
        <v>6</v>
      </c>
    </row>
    <row r="15" spans="2:54" x14ac:dyDescent="0.25">
      <c r="B15" s="4">
        <f ca="1">IFERROR(INDEX(Points_Lookup!$A:$A,MATCH($Z15,Points_Lookup!$AH:$AH,0)),"")</f>
        <v>9</v>
      </c>
      <c r="C15" s="25">
        <f ca="1">IF(B15="","",IF($B$4="Apprenticeship",SUMIF(Points_Lookup!$AD:$AD,B15,Points_Lookup!$AF:$AF),IF(AND(OR($B$4="New Consultant Contract"),$B15&lt;&gt;""),INDEX(Points_Lookup!$N:$N,MATCH($B15,Points_Lookup!$M:$M,0)),IF(AND(OR($B$4="Clinical Lecturer / Medical Research Fellow",$B$4="Clinical Consultant - Old Contract (GP)"),$B15&lt;&gt;""),INDEX(Points_Lookup!$K:$K,MATCH($B15,Points_Lookup!$J:$J,0)),IF(AND(OR($B$4="APM Level 7",$B$4="R&amp;T Level 7",$B$4="APM Level 8"),B15&lt;&gt;""),INDEX(Points_Lookup!$E:$E,MATCH($Z15,Points_Lookup!$AH:$AH,0)),IF($B$4="R&amp;T Level 5 - Clinical Lecturers (Vet School)",SUMIF(Points_Lookup!$P:$P,$B15,Points_Lookup!$S:$S),IF($B$4="R&amp;T Level 6 - Clinical Associate Professors and Clinical Readers (Vet School)",SUMIF(Points_Lookup!$W:$W,$B15,Points_Lookup!$Z:$Z),IFERROR(INDEX(Points_Lookup!$B:$B,MATCH($Z15,Points_Lookup!$AH:$AH,0)),""))))))))</f>
        <v>17764</v>
      </c>
      <c r="D15" s="40"/>
      <c r="E15" s="25" t="str">
        <f ca="1">IF($B15="","",IF(AND($B$4="Salary Points 3 to 57",B15&lt;Thresholds_Rates!$C$16),"-",IF(SUMIF(Grades!$A:$A,$B$4,Grades!$BO:$BO)=0,"-",IF(AND($B$4="Salary Points 3 to 57",B15&gt;=Thresholds_Rates!$C$16),$C15*Thresholds_Rates!$F$15,IF(AND(OR($B$4="New Consultant Contract"),$B15&lt;&gt;""),$C15*Thresholds_Rates!$F$15,IF(AND(OR($B$4="Clinical Lecturer / Medical Research Fellow",$B$4="Clinical Consultant - Old Contract (GP)"),$B15&lt;&gt;""),$C15*Thresholds_Rates!$F$15,IF(OR($B$4="APM Level 7",$B$4="R&amp;T Level 7"),$C15*Thresholds_Rates!$F$15,IF(SUMIF(Grades!$A:$A,$B$4,Grades!$BO:$BO)=1,$C15*Thresholds_Rates!$F$15,""))))))))</f>
        <v>-</v>
      </c>
      <c r="F15" s="25" t="str">
        <f ca="1">IF(B15="","",IF($B$4="Salary Points 3 to 57","-",IF(SUMIF(Grades!$A:$A,$B$4,Grades!$BP:$BP)=0,"-",IF(AND(OR($B$4="New Consultant Contract"),$B15&lt;&gt;""),$C15*Thresholds_Rates!$F$16,IF(AND(OR($B$4="Clinical Lecturer / Medical Research Fellow",$B$4="Clinical Consultant - Old Contract (GP)"),$B15&lt;&gt;""),$C15*Thresholds_Rates!$F$16,IF(AND(OR($B$4="APM Level 7",$B$4="R&amp;T Level 7"),E15&lt;&gt;""),$C15*Thresholds_Rates!$F$16,IF(SUMIF(Grades!$A:$A,$B$4,Grades!$BP:$BP)=1,$C15*Thresholds_Rates!$F$16,"")))))))</f>
        <v>-</v>
      </c>
      <c r="G15" s="25">
        <f ca="1">IF($B$4="Apprenticeship","-",IF(B15="","",IF(SUMIF(Grades!$A:$A,$B$4,Grades!$BQ:$BQ)=0,"-",IF(AND($B$4="Salary Points 3 to 57",B15&gt;Thresholds_Rates!$C$17),"-",IF(AND($B$4="Salary Points 3 to 57",B15&lt;=Thresholds_Rates!$C$17),$C15*Thresholds_Rates!$F$17,IF(AND(OR($B$4="New Consultant Contract"),$B15&lt;&gt;""),$C15*Thresholds_Rates!$F$17,IF(AND(OR($B$4="Clinical Lecturer / Medical Research Fellow",$B$4="Clinical Consultant - Old Contract (GP)"),$B15&lt;&gt;""),$C15*Thresholds_Rates!$F$17,IF(AND(OR($B$4="APM Level 7",$B$4="R&amp;T Level 7"),F15&lt;&gt;""),$C15*Thresholds_Rates!$F$17,IF(SUMIF(Grades!$A:$A,$B$4,Grades!$BQ:$BQ)=1,$C15*Thresholds_Rates!$F$17,"")))))))))</f>
        <v>6927.96</v>
      </c>
      <c r="H15" s="25">
        <f ca="1">IF($B15="","",ROUND(($C15-(Thresholds_Rates!$C$5*12))*Thresholds_Rates!$C$10,0))</f>
        <v>1325</v>
      </c>
      <c r="I15" s="25">
        <f ca="1">IF(B15="","",(C15*Thresholds_Rates!$C$12))</f>
        <v>88.820000000000007</v>
      </c>
      <c r="J15" s="25">
        <f ca="1">IF(B15="","",IF(AND($B$4="Salary Points 3 to 57",B15&gt;Thresholds_Rates!$C$17),"-",IF(SUMIF(Grades!$A:$A,$B$4,Grades!$BR:$BR)=0,"-",IF(AND($B$4="Salary Points 3 to 57",B15&lt;=Thresholds_Rates!$C$17),$C15*Thresholds_Rates!$F$18,IF(AND(OR($B$4="New Consultant Contract"),$B15&lt;&gt;""),$C15*Thresholds_Rates!$F$18,IF(AND(OR($B$4="Clinical Lecturer / Medical Research Fellow",$B$4="Clinical Consultant - Old Contract (GP)"),$B15&lt;&gt;""),$C15*Thresholds_Rates!$F$18,IF(AND(OR($B$4="APM Level 7",$B$4="R&amp;T Level 7"),H15&lt;&gt;""),$C15*Thresholds_Rates!$F$18,IF(SUMIF(Grades!$A:$A,$B$4,Grades!$BQ:$BQ)=1,$C15*Thresholds_Rates!$F$18,""))))))))</f>
        <v>1776.4</v>
      </c>
      <c r="K15" s="4"/>
      <c r="L15" s="25" t="str">
        <f t="shared" ca="1" si="0"/>
        <v>-</v>
      </c>
      <c r="M15" s="25" t="str">
        <f t="shared" ca="1" si="1"/>
        <v>-</v>
      </c>
      <c r="N15" s="25">
        <f t="shared" ca="1" si="2"/>
        <v>26105.78</v>
      </c>
      <c r="O15" s="25">
        <f t="shared" ca="1" si="3"/>
        <v>20954.22</v>
      </c>
      <c r="P15" s="25">
        <f t="shared" ca="1" si="4"/>
        <v>19177.82</v>
      </c>
      <c r="R15" s="28" t="str">
        <f ca="1">IF(B15="","",IF($B$4="R&amp;T Level 5 - Clinical Lecturers (Vet School)",SUMIF(Points_Lookup!$P:$P,$B15,Points_Lookup!$Q:$Q),IF($B$4="R&amp;T Level 6 - Clinical Associate Professors and Clinical Readers (Vet School)",SUMIF(Points_Lookup!$W:$W,$B15,Points_Lookup!$X:$X),"")))</f>
        <v/>
      </c>
      <c r="S15" s="29" t="str">
        <f ca="1">IF(B15="","",IF($B$4="R&amp;T Level 5 - Clinical Lecturers (Vet School)",$C15-SUMIF(Points_Lookup!$P:$P,$B15,Points_Lookup!$R:$R),IF($B$4="R&amp;T Level 6 - Clinical Associate Professors and Clinical Readers (Vet School)",$C15-SUMIF(Points_Lookup!$W:$W,$B15,Points_Lookup!$Y:$Y),"")))</f>
        <v/>
      </c>
      <c r="T15" s="28" t="str">
        <f ca="1">IF(B15="","",IF($B$4="R&amp;T Level 5 - Clinical Lecturers (Vet School)",SUMIF(Points_Lookup!$P:$P,$B15,Points_Lookup!$T:$T),IF($B$4="R&amp;T Level 6 - Clinical Associate Professors and Clinical Readers (Vet School)",SUMIF(Points_Lookup!$W:$W,$B15,Points_Lookup!$AA:$AA),"")))</f>
        <v/>
      </c>
      <c r="U15" s="29" t="str">
        <f t="shared" ca="1" si="5"/>
        <v/>
      </c>
      <c r="W15" s="26"/>
      <c r="Z15" s="26">
        <v>7</v>
      </c>
    </row>
    <row r="16" spans="2:54" x14ac:dyDescent="0.25">
      <c r="B16" s="4">
        <f ca="1">IFERROR(INDEX(Points_Lookup!$A:$A,MATCH($Z16,Points_Lookup!$AH:$AH,0)),"")</f>
        <v>10</v>
      </c>
      <c r="C16" s="25">
        <f ca="1">IF(B16="","",IF($B$4="Apprenticeship",SUMIF(Points_Lookup!$AD:$AD,B16,Points_Lookup!$AF:$AF),IF(AND(OR($B$4="New Consultant Contract"),$B16&lt;&gt;""),INDEX(Points_Lookup!$N:$N,MATCH($B16,Points_Lookup!$M:$M,0)),IF(AND(OR($B$4="Clinical Lecturer / Medical Research Fellow",$B$4="Clinical Consultant - Old Contract (GP)"),$B16&lt;&gt;""),INDEX(Points_Lookup!$K:$K,MATCH($B16,Points_Lookup!$J:$J,0)),IF(AND(OR($B$4="APM Level 7",$B$4="R&amp;T Level 7",$B$4="APM Level 8"),B16&lt;&gt;""),INDEX(Points_Lookup!$E:$E,MATCH($Z16,Points_Lookup!$AH:$AH,0)),IF($B$4="R&amp;T Level 5 - Clinical Lecturers (Vet School)",SUMIF(Points_Lookup!$P:$P,$B16,Points_Lookup!$S:$S),IF($B$4="R&amp;T Level 6 - Clinical Associate Professors and Clinical Readers (Vet School)",SUMIF(Points_Lookup!$W:$W,$B16,Points_Lookup!$Z:$Z),IFERROR(INDEX(Points_Lookup!$B:$B,MATCH($Z16,Points_Lookup!$AH:$AH,0)),""))))))))</f>
        <v>18263</v>
      </c>
      <c r="D16" s="40"/>
      <c r="E16" s="25" t="str">
        <f ca="1">IF($B16="","",IF(AND($B$4="Salary Points 3 to 57",B16&lt;Thresholds_Rates!$C$16),"-",IF(SUMIF(Grades!$A:$A,$B$4,Grades!$BO:$BO)=0,"-",IF(AND($B$4="Salary Points 3 to 57",B16&gt;=Thresholds_Rates!$C$16),$C16*Thresholds_Rates!$F$15,IF(AND(OR($B$4="New Consultant Contract"),$B16&lt;&gt;""),$C16*Thresholds_Rates!$F$15,IF(AND(OR($B$4="Clinical Lecturer / Medical Research Fellow",$B$4="Clinical Consultant - Old Contract (GP)"),$B16&lt;&gt;""),$C16*Thresholds_Rates!$F$15,IF(OR($B$4="APM Level 7",$B$4="R&amp;T Level 7"),$C16*Thresholds_Rates!$F$15,IF(SUMIF(Grades!$A:$A,$B$4,Grades!$BO:$BO)=1,$C16*Thresholds_Rates!$F$15,""))))))))</f>
        <v>-</v>
      </c>
      <c r="F16" s="25" t="str">
        <f ca="1">IF(B16="","",IF($B$4="Salary Points 3 to 57","-",IF(SUMIF(Grades!$A:$A,$B$4,Grades!$BP:$BP)=0,"-",IF(AND(OR($B$4="New Consultant Contract"),$B16&lt;&gt;""),$C16*Thresholds_Rates!$F$16,IF(AND(OR($B$4="Clinical Lecturer / Medical Research Fellow",$B$4="Clinical Consultant - Old Contract (GP)"),$B16&lt;&gt;""),$C16*Thresholds_Rates!$F$16,IF(AND(OR($B$4="APM Level 7",$B$4="R&amp;T Level 7"),E16&lt;&gt;""),$C16*Thresholds_Rates!$F$16,IF(SUMIF(Grades!$A:$A,$B$4,Grades!$BP:$BP)=1,$C16*Thresholds_Rates!$F$16,"")))))))</f>
        <v>-</v>
      </c>
      <c r="G16" s="25">
        <f ca="1">IF($B$4="Apprenticeship","-",IF(B16="","",IF(SUMIF(Grades!$A:$A,$B$4,Grades!$BQ:$BQ)=0,"-",IF(AND($B$4="Salary Points 3 to 57",B16&gt;Thresholds_Rates!$C$17),"-",IF(AND($B$4="Salary Points 3 to 57",B16&lt;=Thresholds_Rates!$C$17),$C16*Thresholds_Rates!$F$17,IF(AND(OR($B$4="New Consultant Contract"),$B16&lt;&gt;""),$C16*Thresholds_Rates!$F$17,IF(AND(OR($B$4="Clinical Lecturer / Medical Research Fellow",$B$4="Clinical Consultant - Old Contract (GP)"),$B16&lt;&gt;""),$C16*Thresholds_Rates!$F$17,IF(AND(OR($B$4="APM Level 7",$B$4="R&amp;T Level 7"),F16&lt;&gt;""),$C16*Thresholds_Rates!$F$17,IF(SUMIF(Grades!$A:$A,$B$4,Grades!$BQ:$BQ)=1,$C16*Thresholds_Rates!$F$17,"")))))))))</f>
        <v>7122.5700000000006</v>
      </c>
      <c r="H16" s="25">
        <f ca="1">IF($B16="","",ROUND(($C16-(Thresholds_Rates!$C$5*12))*Thresholds_Rates!$C$10,0))</f>
        <v>1394</v>
      </c>
      <c r="I16" s="25">
        <f ca="1">IF(B16="","",(C16*Thresholds_Rates!$C$12))</f>
        <v>91.314999999999998</v>
      </c>
      <c r="J16" s="25">
        <f ca="1">IF(B16="","",IF(AND($B$4="Salary Points 3 to 57",B16&gt;Thresholds_Rates!$C$17),"-",IF(SUMIF(Grades!$A:$A,$B$4,Grades!$BR:$BR)=0,"-",IF(AND($B$4="Salary Points 3 to 57",B16&lt;=Thresholds_Rates!$C$17),$C16*Thresholds_Rates!$F$18,IF(AND(OR($B$4="New Consultant Contract"),$B16&lt;&gt;""),$C16*Thresholds_Rates!$F$18,IF(AND(OR($B$4="Clinical Lecturer / Medical Research Fellow",$B$4="Clinical Consultant - Old Contract (GP)"),$B16&lt;&gt;""),$C16*Thresholds_Rates!$F$18,IF(AND(OR($B$4="APM Level 7",$B$4="R&amp;T Level 7"),H16&lt;&gt;""),$C16*Thresholds_Rates!$F$18,IF(SUMIF(Grades!$A:$A,$B$4,Grades!$BQ:$BQ)=1,$C16*Thresholds_Rates!$F$18,""))))))))</f>
        <v>1826.3000000000002</v>
      </c>
      <c r="K16" s="4"/>
      <c r="L16" s="25" t="str">
        <f t="shared" ca="1" si="0"/>
        <v>-</v>
      </c>
      <c r="M16" s="25" t="str">
        <f t="shared" ca="1" si="1"/>
        <v>-</v>
      </c>
      <c r="N16" s="25">
        <f t="shared" ca="1" si="2"/>
        <v>26870.884999999998</v>
      </c>
      <c r="O16" s="25">
        <f t="shared" ca="1" si="3"/>
        <v>21574.614999999998</v>
      </c>
      <c r="P16" s="25">
        <f t="shared" ca="1" si="4"/>
        <v>19748.314999999999</v>
      </c>
      <c r="R16" s="28" t="str">
        <f ca="1">IF(B16="","",IF($B$4="R&amp;T Level 5 - Clinical Lecturers (Vet School)",SUMIF(Points_Lookup!$P:$P,$B16,Points_Lookup!$Q:$Q),IF($B$4="R&amp;T Level 6 - Clinical Associate Professors and Clinical Readers (Vet School)",SUMIF(Points_Lookup!$W:$W,$B16,Points_Lookup!$X:$X),"")))</f>
        <v/>
      </c>
      <c r="S16" s="29" t="str">
        <f ca="1">IF(B16="","",IF($B$4="R&amp;T Level 5 - Clinical Lecturers (Vet School)",$C16-SUMIF(Points_Lookup!$P:$P,$B16,Points_Lookup!$R:$R),IF($B$4="R&amp;T Level 6 - Clinical Associate Professors and Clinical Readers (Vet School)",$C16-SUMIF(Points_Lookup!$W:$W,$B16,Points_Lookup!$Y:$Y),"")))</f>
        <v/>
      </c>
      <c r="T16" s="28" t="str">
        <f ca="1">IF(B16="","",IF($B$4="R&amp;T Level 5 - Clinical Lecturers (Vet School)",SUMIF(Points_Lookup!$P:$P,$B16,Points_Lookup!$T:$T),IF($B$4="R&amp;T Level 6 - Clinical Associate Professors and Clinical Readers (Vet School)",SUMIF(Points_Lookup!$W:$W,$B16,Points_Lookup!$AA:$AA),"")))</f>
        <v/>
      </c>
      <c r="U16" s="29" t="str">
        <f t="shared" ca="1" si="5"/>
        <v/>
      </c>
      <c r="W16" s="26"/>
      <c r="Z16" s="26">
        <v>8</v>
      </c>
    </row>
    <row r="17" spans="2:26" x14ac:dyDescent="0.25">
      <c r="B17" s="4">
        <f ca="1">IFERROR(INDEX(Points_Lookup!$A:$A,MATCH($Z17,Points_Lookup!$AH:$AH,0)),"")</f>
        <v>11</v>
      </c>
      <c r="C17" s="25">
        <f ca="1">IF(B17="","",IF($B$4="Apprenticeship",SUMIF(Points_Lookup!$AD:$AD,B17,Points_Lookup!$AF:$AF),IF(AND(OR($B$4="New Consultant Contract"),$B17&lt;&gt;""),INDEX(Points_Lookup!$N:$N,MATCH($B17,Points_Lookup!$M:$M,0)),IF(AND(OR($B$4="Clinical Lecturer / Medical Research Fellow",$B$4="Clinical Consultant - Old Contract (GP)"),$B17&lt;&gt;""),INDEX(Points_Lookup!$K:$K,MATCH($B17,Points_Lookup!$J:$J,0)),IF(AND(OR($B$4="APM Level 7",$B$4="R&amp;T Level 7",$B$4="APM Level 8"),B17&lt;&gt;""),INDEX(Points_Lookup!$E:$E,MATCH($Z17,Points_Lookup!$AH:$AH,0)),IF($B$4="R&amp;T Level 5 - Clinical Lecturers (Vet School)",SUMIF(Points_Lookup!$P:$P,$B17,Points_Lookup!$S:$S),IF($B$4="R&amp;T Level 6 - Clinical Associate Professors and Clinical Readers (Vet School)",SUMIF(Points_Lookup!$W:$W,$B17,Points_Lookup!$Z:$Z),IFERROR(INDEX(Points_Lookup!$B:$B,MATCH($Z17,Points_Lookup!$AH:$AH,0)),""))))))))</f>
        <v>18777</v>
      </c>
      <c r="D17" s="40"/>
      <c r="E17" s="25" t="str">
        <f ca="1">IF($B17="","",IF(AND($B$4="Salary Points 3 to 57",B17&lt;Thresholds_Rates!$C$16),"-",IF(SUMIF(Grades!$A:$A,$B$4,Grades!$BO:$BO)=0,"-",IF(AND($B$4="Salary Points 3 to 57",B17&gt;=Thresholds_Rates!$C$16),$C17*Thresholds_Rates!$F$15,IF(AND(OR($B$4="New Consultant Contract"),$B17&lt;&gt;""),$C17*Thresholds_Rates!$F$15,IF(AND(OR($B$4="Clinical Lecturer / Medical Research Fellow",$B$4="Clinical Consultant - Old Contract (GP)"),$B17&lt;&gt;""),$C17*Thresholds_Rates!$F$15,IF(OR($B$4="APM Level 7",$B$4="R&amp;T Level 7"),$C17*Thresholds_Rates!$F$15,IF(SUMIF(Grades!$A:$A,$B$4,Grades!$BO:$BO)=1,$C17*Thresholds_Rates!$F$15,""))))))))</f>
        <v>-</v>
      </c>
      <c r="F17" s="25" t="str">
        <f ca="1">IF(B17="","",IF($B$4="Salary Points 3 to 57","-",IF(SUMIF(Grades!$A:$A,$B$4,Grades!$BP:$BP)=0,"-",IF(AND(OR($B$4="New Consultant Contract"),$B17&lt;&gt;""),$C17*Thresholds_Rates!$F$16,IF(AND(OR($B$4="Clinical Lecturer / Medical Research Fellow",$B$4="Clinical Consultant - Old Contract (GP)"),$B17&lt;&gt;""),$C17*Thresholds_Rates!$F$16,IF(AND(OR($B$4="APM Level 7",$B$4="R&amp;T Level 7"),E17&lt;&gt;""),$C17*Thresholds_Rates!$F$16,IF(SUMIF(Grades!$A:$A,$B$4,Grades!$BP:$BP)=1,$C17*Thresholds_Rates!$F$16,"")))))))</f>
        <v>-</v>
      </c>
      <c r="G17" s="25">
        <f ca="1">IF($B$4="Apprenticeship","-",IF(B17="","",IF(SUMIF(Grades!$A:$A,$B$4,Grades!$BQ:$BQ)=0,"-",IF(AND($B$4="Salary Points 3 to 57",B17&gt;Thresholds_Rates!$C$17),"-",IF(AND($B$4="Salary Points 3 to 57",B17&lt;=Thresholds_Rates!$C$17),$C17*Thresholds_Rates!$F$17,IF(AND(OR($B$4="New Consultant Contract"),$B17&lt;&gt;""),$C17*Thresholds_Rates!$F$17,IF(AND(OR($B$4="Clinical Lecturer / Medical Research Fellow",$B$4="Clinical Consultant - Old Contract (GP)"),$B17&lt;&gt;""),$C17*Thresholds_Rates!$F$17,IF(AND(OR($B$4="APM Level 7",$B$4="R&amp;T Level 7"),F17&lt;&gt;""),$C17*Thresholds_Rates!$F$17,IF(SUMIF(Grades!$A:$A,$B$4,Grades!$BQ:$BQ)=1,$C17*Thresholds_Rates!$F$17,"")))))))))</f>
        <v>7323.0300000000007</v>
      </c>
      <c r="H17" s="25">
        <f ca="1">IF($B17="","",ROUND(($C17-(Thresholds_Rates!$C$5*12))*Thresholds_Rates!$C$10,0))</f>
        <v>1465</v>
      </c>
      <c r="I17" s="25">
        <f ca="1">IF(B17="","",(C17*Thresholds_Rates!$C$12))</f>
        <v>93.885000000000005</v>
      </c>
      <c r="J17" s="25">
        <f ca="1">IF(B17="","",IF(AND($B$4="Salary Points 3 to 57",B17&gt;Thresholds_Rates!$C$17),"-",IF(SUMIF(Grades!$A:$A,$B$4,Grades!$BR:$BR)=0,"-",IF(AND($B$4="Salary Points 3 to 57",B17&lt;=Thresholds_Rates!$C$17),$C17*Thresholds_Rates!$F$18,IF(AND(OR($B$4="New Consultant Contract"),$B17&lt;&gt;""),$C17*Thresholds_Rates!$F$18,IF(AND(OR($B$4="Clinical Lecturer / Medical Research Fellow",$B$4="Clinical Consultant - Old Contract (GP)"),$B17&lt;&gt;""),$C17*Thresholds_Rates!$F$18,IF(AND(OR($B$4="APM Level 7",$B$4="R&amp;T Level 7"),H17&lt;&gt;""),$C17*Thresholds_Rates!$F$18,IF(SUMIF(Grades!$A:$A,$B$4,Grades!$BQ:$BQ)=1,$C17*Thresholds_Rates!$F$18,""))))))))</f>
        <v>1877.7</v>
      </c>
      <c r="K17" s="4"/>
      <c r="L17" s="25" t="str">
        <f t="shared" ca="1" si="0"/>
        <v>-</v>
      </c>
      <c r="M17" s="25" t="str">
        <f t="shared" ca="1" si="1"/>
        <v>-</v>
      </c>
      <c r="N17" s="25">
        <f t="shared" ca="1" si="2"/>
        <v>27658.914999999997</v>
      </c>
      <c r="O17" s="25">
        <f t="shared" ca="1" si="3"/>
        <v>22213.584999999999</v>
      </c>
      <c r="P17" s="25">
        <f t="shared" ca="1" si="4"/>
        <v>20335.884999999998</v>
      </c>
      <c r="R17" s="28" t="str">
        <f ca="1">IF(B17="","",IF($B$4="R&amp;T Level 5 - Clinical Lecturers (Vet School)",SUMIF(Points_Lookup!$P:$P,$B17,Points_Lookup!$Q:$Q),IF($B$4="R&amp;T Level 6 - Clinical Associate Professors and Clinical Readers (Vet School)",SUMIF(Points_Lookup!$W:$W,$B17,Points_Lookup!$X:$X),"")))</f>
        <v/>
      </c>
      <c r="S17" s="29" t="str">
        <f ca="1">IF(B17="","",IF($B$4="R&amp;T Level 5 - Clinical Lecturers (Vet School)",$C17-SUMIF(Points_Lookup!$P:$P,$B17,Points_Lookup!$R:$R),IF($B$4="R&amp;T Level 6 - Clinical Associate Professors and Clinical Readers (Vet School)",$C17-SUMIF(Points_Lookup!$W:$W,$B17,Points_Lookup!$Y:$Y),"")))</f>
        <v/>
      </c>
      <c r="T17" s="28" t="str">
        <f ca="1">IF(B17="","",IF($B$4="R&amp;T Level 5 - Clinical Lecturers (Vet School)",SUMIF(Points_Lookup!$P:$P,$B17,Points_Lookup!$T:$T),IF($B$4="R&amp;T Level 6 - Clinical Associate Professors and Clinical Readers (Vet School)",SUMIF(Points_Lookup!$W:$W,$B17,Points_Lookup!$AA:$AA),"")))</f>
        <v/>
      </c>
      <c r="U17" s="29" t="str">
        <f t="shared" ca="1" si="5"/>
        <v/>
      </c>
      <c r="W17" s="26"/>
      <c r="Z17" s="26">
        <v>9</v>
      </c>
    </row>
    <row r="18" spans="2:26" x14ac:dyDescent="0.25">
      <c r="B18" s="4">
        <f ca="1">IFERROR(INDEX(Points_Lookup!$A:$A,MATCH($Z18,Points_Lookup!$AH:$AH,0)),"")</f>
        <v>12</v>
      </c>
      <c r="C18" s="25">
        <f ca="1">IF(B18="","",IF($B$4="Apprenticeship",SUMIF(Points_Lookup!$AD:$AD,B18,Points_Lookup!$AF:$AF),IF(AND(OR($B$4="New Consultant Contract"),$B18&lt;&gt;""),INDEX(Points_Lookup!$N:$N,MATCH($B18,Points_Lookup!$M:$M,0)),IF(AND(OR($B$4="Clinical Lecturer / Medical Research Fellow",$B$4="Clinical Consultant - Old Contract (GP)"),$B18&lt;&gt;""),INDEX(Points_Lookup!$K:$K,MATCH($B18,Points_Lookup!$J:$J,0)),IF(AND(OR($B$4="APM Level 7",$B$4="R&amp;T Level 7",$B$4="APM Level 8"),B18&lt;&gt;""),INDEX(Points_Lookup!$E:$E,MATCH($Z18,Points_Lookup!$AH:$AH,0)),IF($B$4="R&amp;T Level 5 - Clinical Lecturers (Vet School)",SUMIF(Points_Lookup!$P:$P,$B18,Points_Lookup!$S:$S),IF($B$4="R&amp;T Level 6 - Clinical Associate Professors and Clinical Readers (Vet School)",SUMIF(Points_Lookup!$W:$W,$B18,Points_Lookup!$Z:$Z),IFERROR(INDEX(Points_Lookup!$B:$B,MATCH($Z18,Points_Lookup!$AH:$AH,0)),""))))))))</f>
        <v>19305</v>
      </c>
      <c r="D18" s="40"/>
      <c r="E18" s="25" t="str">
        <f ca="1">IF($B18="","",IF(AND($B$4="Salary Points 3 to 57",B18&lt;Thresholds_Rates!$C$16),"-",IF(SUMIF(Grades!$A:$A,$B$4,Grades!$BO:$BO)=0,"-",IF(AND($B$4="Salary Points 3 to 57",B18&gt;=Thresholds_Rates!$C$16),$C18*Thresholds_Rates!$F$15,IF(AND(OR($B$4="New Consultant Contract"),$B18&lt;&gt;""),$C18*Thresholds_Rates!$F$15,IF(AND(OR($B$4="Clinical Lecturer / Medical Research Fellow",$B$4="Clinical Consultant - Old Contract (GP)"),$B18&lt;&gt;""),$C18*Thresholds_Rates!$F$15,IF(OR($B$4="APM Level 7",$B$4="R&amp;T Level 7"),$C18*Thresholds_Rates!$F$15,IF(SUMIF(Grades!$A:$A,$B$4,Grades!$BO:$BO)=1,$C18*Thresholds_Rates!$F$15,""))))))))</f>
        <v>-</v>
      </c>
      <c r="F18" s="25" t="str">
        <f ca="1">IF(B18="","",IF($B$4="Salary Points 3 to 57","-",IF(SUMIF(Grades!$A:$A,$B$4,Grades!$BP:$BP)=0,"-",IF(AND(OR($B$4="New Consultant Contract"),$B18&lt;&gt;""),$C18*Thresholds_Rates!$F$16,IF(AND(OR($B$4="Clinical Lecturer / Medical Research Fellow",$B$4="Clinical Consultant - Old Contract (GP)"),$B18&lt;&gt;""),$C18*Thresholds_Rates!$F$16,IF(AND(OR($B$4="APM Level 7",$B$4="R&amp;T Level 7"),E18&lt;&gt;""),$C18*Thresholds_Rates!$F$16,IF(SUMIF(Grades!$A:$A,$B$4,Grades!$BP:$BP)=1,$C18*Thresholds_Rates!$F$16,"")))))))</f>
        <v>-</v>
      </c>
      <c r="G18" s="25">
        <f ca="1">IF($B$4="Apprenticeship","-",IF(B18="","",IF(SUMIF(Grades!$A:$A,$B$4,Grades!$BQ:$BQ)=0,"-",IF(AND($B$4="Salary Points 3 to 57",B18&gt;Thresholds_Rates!$C$17),"-",IF(AND($B$4="Salary Points 3 to 57",B18&lt;=Thresholds_Rates!$C$17),$C18*Thresholds_Rates!$F$17,IF(AND(OR($B$4="New Consultant Contract"),$B18&lt;&gt;""),$C18*Thresholds_Rates!$F$17,IF(AND(OR($B$4="Clinical Lecturer / Medical Research Fellow",$B$4="Clinical Consultant - Old Contract (GP)"),$B18&lt;&gt;""),$C18*Thresholds_Rates!$F$17,IF(AND(OR($B$4="APM Level 7",$B$4="R&amp;T Level 7"),F18&lt;&gt;""),$C18*Thresholds_Rates!$F$17,IF(SUMIF(Grades!$A:$A,$B$4,Grades!$BQ:$BQ)=1,$C18*Thresholds_Rates!$F$17,"")))))))))</f>
        <v>7528.95</v>
      </c>
      <c r="H18" s="25">
        <f ca="1">IF($B18="","",ROUND(($C18-(Thresholds_Rates!$C$5*12))*Thresholds_Rates!$C$10,0))</f>
        <v>1538</v>
      </c>
      <c r="I18" s="25">
        <f ca="1">IF(B18="","",(C18*Thresholds_Rates!$C$12))</f>
        <v>96.525000000000006</v>
      </c>
      <c r="J18" s="25">
        <f ca="1">IF(B18="","",IF(AND($B$4="Salary Points 3 to 57",B18&gt;Thresholds_Rates!$C$17),"-",IF(SUMIF(Grades!$A:$A,$B$4,Grades!$BR:$BR)=0,"-",IF(AND($B$4="Salary Points 3 to 57",B18&lt;=Thresholds_Rates!$C$17),$C18*Thresholds_Rates!$F$18,IF(AND(OR($B$4="New Consultant Contract"),$B18&lt;&gt;""),$C18*Thresholds_Rates!$F$18,IF(AND(OR($B$4="Clinical Lecturer / Medical Research Fellow",$B$4="Clinical Consultant - Old Contract (GP)"),$B18&lt;&gt;""),$C18*Thresholds_Rates!$F$18,IF(AND(OR($B$4="APM Level 7",$B$4="R&amp;T Level 7"),H18&lt;&gt;""),$C18*Thresholds_Rates!$F$18,IF(SUMIF(Grades!$A:$A,$B$4,Grades!$BQ:$BQ)=1,$C18*Thresholds_Rates!$F$18,""))))))))</f>
        <v>1930.5</v>
      </c>
      <c r="K18" s="4"/>
      <c r="L18" s="25" t="str">
        <f t="shared" ca="1" si="0"/>
        <v>-</v>
      </c>
      <c r="M18" s="25" t="str">
        <f t="shared" ca="1" si="1"/>
        <v>-</v>
      </c>
      <c r="N18" s="25">
        <f t="shared" ca="1" si="2"/>
        <v>28468.475000000002</v>
      </c>
      <c r="O18" s="25">
        <f t="shared" ca="1" si="3"/>
        <v>22870.025000000001</v>
      </c>
      <c r="P18" s="25">
        <f t="shared" ca="1" si="4"/>
        <v>20939.525000000001</v>
      </c>
      <c r="R18" s="28" t="str">
        <f ca="1">IF(B18="","",IF($B$4="R&amp;T Level 5 - Clinical Lecturers (Vet School)",SUMIF(Points_Lookup!$P:$P,$B18,Points_Lookup!$Q:$Q),IF($B$4="R&amp;T Level 6 - Clinical Associate Professors and Clinical Readers (Vet School)",SUMIF(Points_Lookup!$W:$W,$B18,Points_Lookup!$X:$X),"")))</f>
        <v/>
      </c>
      <c r="S18" s="29" t="str">
        <f ca="1">IF(B18="","",IF($B$4="R&amp;T Level 5 - Clinical Lecturers (Vet School)",$C18-SUMIF(Points_Lookup!$P:$P,$B18,Points_Lookup!$R:$R),IF($B$4="R&amp;T Level 6 - Clinical Associate Professors and Clinical Readers (Vet School)",$C18-SUMIF(Points_Lookup!$W:$W,$B18,Points_Lookup!$Y:$Y),"")))</f>
        <v/>
      </c>
      <c r="T18" s="28" t="str">
        <f ca="1">IF(B18="","",IF($B$4="R&amp;T Level 5 - Clinical Lecturers (Vet School)",SUMIF(Points_Lookup!$P:$P,$B18,Points_Lookup!$T:$T),IF($B$4="R&amp;T Level 6 - Clinical Associate Professors and Clinical Readers (Vet School)",SUMIF(Points_Lookup!$W:$W,$B18,Points_Lookup!$AA:$AA),"")))</f>
        <v/>
      </c>
      <c r="U18" s="29" t="str">
        <f t="shared" ca="1" si="5"/>
        <v/>
      </c>
      <c r="W18" s="26"/>
      <c r="Z18" s="26">
        <v>10</v>
      </c>
    </row>
    <row r="19" spans="2:26" x14ac:dyDescent="0.25">
      <c r="B19" s="4">
        <f ca="1">IFERROR(INDEX(Points_Lookup!$A:$A,MATCH($Z19,Points_Lookup!$AH:$AH,0)),"")</f>
        <v>13</v>
      </c>
      <c r="C19" s="25">
        <f ca="1">IF(B19="","",IF($B$4="Apprenticeship",SUMIF(Points_Lookup!$AD:$AD,B19,Points_Lookup!$AF:$AF),IF(AND(OR($B$4="New Consultant Contract"),$B19&lt;&gt;""),INDEX(Points_Lookup!$N:$N,MATCH($B19,Points_Lookup!$M:$M,0)),IF(AND(OR($B$4="Clinical Lecturer / Medical Research Fellow",$B$4="Clinical Consultant - Old Contract (GP)"),$B19&lt;&gt;""),INDEX(Points_Lookup!$K:$K,MATCH($B19,Points_Lookup!$J:$J,0)),IF(AND(OR($B$4="APM Level 7",$B$4="R&amp;T Level 7",$B$4="APM Level 8"),B19&lt;&gt;""),INDEX(Points_Lookup!$E:$E,MATCH($Z19,Points_Lookup!$AH:$AH,0)),IF($B$4="R&amp;T Level 5 - Clinical Lecturers (Vet School)",SUMIF(Points_Lookup!$P:$P,$B19,Points_Lookup!$S:$S),IF($B$4="R&amp;T Level 6 - Clinical Associate Professors and Clinical Readers (Vet School)",SUMIF(Points_Lookup!$W:$W,$B19,Points_Lookup!$Z:$Z),IFERROR(INDEX(Points_Lookup!$B:$B,MATCH($Z19,Points_Lookup!$AH:$AH,0)),""))))))))</f>
        <v>19850</v>
      </c>
      <c r="D19" s="40"/>
      <c r="E19" s="25" t="str">
        <f ca="1">IF($B19="","",IF(AND($B$4="Salary Points 3 to 57",B19&lt;Thresholds_Rates!$C$16),"-",IF(SUMIF(Grades!$A:$A,$B$4,Grades!$BO:$BO)=0,"-",IF(AND($B$4="Salary Points 3 to 57",B19&gt;=Thresholds_Rates!$C$16),$C19*Thresholds_Rates!$F$15,IF(AND(OR($B$4="New Consultant Contract"),$B19&lt;&gt;""),$C19*Thresholds_Rates!$F$15,IF(AND(OR($B$4="Clinical Lecturer / Medical Research Fellow",$B$4="Clinical Consultant - Old Contract (GP)"),$B19&lt;&gt;""),$C19*Thresholds_Rates!$F$15,IF(OR($B$4="APM Level 7",$B$4="R&amp;T Level 7"),$C19*Thresholds_Rates!$F$15,IF(SUMIF(Grades!$A:$A,$B$4,Grades!$BO:$BO)=1,$C19*Thresholds_Rates!$F$15,""))))))))</f>
        <v>-</v>
      </c>
      <c r="F19" s="25" t="str">
        <f ca="1">IF(B19="","",IF($B$4="Salary Points 3 to 57","-",IF(SUMIF(Grades!$A:$A,$B$4,Grades!$BP:$BP)=0,"-",IF(AND(OR($B$4="New Consultant Contract"),$B19&lt;&gt;""),$C19*Thresholds_Rates!$F$16,IF(AND(OR($B$4="Clinical Lecturer / Medical Research Fellow",$B$4="Clinical Consultant - Old Contract (GP)"),$B19&lt;&gt;""),$C19*Thresholds_Rates!$F$16,IF(AND(OR($B$4="APM Level 7",$B$4="R&amp;T Level 7"),E19&lt;&gt;""),$C19*Thresholds_Rates!$F$16,IF(SUMIF(Grades!$A:$A,$B$4,Grades!$BP:$BP)=1,$C19*Thresholds_Rates!$F$16,"")))))))</f>
        <v>-</v>
      </c>
      <c r="G19" s="25">
        <f ca="1">IF($B$4="Apprenticeship","-",IF(B19="","",IF(SUMIF(Grades!$A:$A,$B$4,Grades!$BQ:$BQ)=0,"-",IF(AND($B$4="Salary Points 3 to 57",B19&gt;Thresholds_Rates!$C$17),"-",IF(AND($B$4="Salary Points 3 to 57",B19&lt;=Thresholds_Rates!$C$17),$C19*Thresholds_Rates!$F$17,IF(AND(OR($B$4="New Consultant Contract"),$B19&lt;&gt;""),$C19*Thresholds_Rates!$F$17,IF(AND(OR($B$4="Clinical Lecturer / Medical Research Fellow",$B$4="Clinical Consultant - Old Contract (GP)"),$B19&lt;&gt;""),$C19*Thresholds_Rates!$F$17,IF(AND(OR($B$4="APM Level 7",$B$4="R&amp;T Level 7"),F19&lt;&gt;""),$C19*Thresholds_Rates!$F$17,IF(SUMIF(Grades!$A:$A,$B$4,Grades!$BQ:$BQ)=1,$C19*Thresholds_Rates!$F$17,"")))))))))</f>
        <v>7741.5</v>
      </c>
      <c r="H19" s="25">
        <f ca="1">IF($B19="","",ROUND(($C19-(Thresholds_Rates!$C$5*12))*Thresholds_Rates!$C$10,0))</f>
        <v>1613</v>
      </c>
      <c r="I19" s="25">
        <f ca="1">IF(B19="","",(C19*Thresholds_Rates!$C$12))</f>
        <v>99.25</v>
      </c>
      <c r="J19" s="25">
        <f ca="1">IF(B19="","",IF(AND($B$4="Salary Points 3 to 57",B19&gt;Thresholds_Rates!$C$17),"-",IF(SUMIF(Grades!$A:$A,$B$4,Grades!$BR:$BR)=0,"-",IF(AND($B$4="Salary Points 3 to 57",B19&lt;=Thresholds_Rates!$C$17),$C19*Thresholds_Rates!$F$18,IF(AND(OR($B$4="New Consultant Contract"),$B19&lt;&gt;""),$C19*Thresholds_Rates!$F$18,IF(AND(OR($B$4="Clinical Lecturer / Medical Research Fellow",$B$4="Clinical Consultant - Old Contract (GP)"),$B19&lt;&gt;""),$C19*Thresholds_Rates!$F$18,IF(AND(OR($B$4="APM Level 7",$B$4="R&amp;T Level 7"),H19&lt;&gt;""),$C19*Thresholds_Rates!$F$18,IF(SUMIF(Grades!$A:$A,$B$4,Grades!$BQ:$BQ)=1,$C19*Thresholds_Rates!$F$18,""))))))))</f>
        <v>1985</v>
      </c>
      <c r="K19" s="4"/>
      <c r="L19" s="25" t="str">
        <f t="shared" ca="1" si="0"/>
        <v>-</v>
      </c>
      <c r="M19" s="25" t="str">
        <f t="shared" ca="1" si="1"/>
        <v>-</v>
      </c>
      <c r="N19" s="25">
        <f t="shared" ca="1" si="2"/>
        <v>29303.75</v>
      </c>
      <c r="O19" s="25">
        <f t="shared" ca="1" si="3"/>
        <v>23547.25</v>
      </c>
      <c r="P19" s="25">
        <f t="shared" ca="1" si="4"/>
        <v>21562.25</v>
      </c>
      <c r="R19" s="28" t="str">
        <f ca="1">IF(B19="","",IF($B$4="R&amp;T Level 5 - Clinical Lecturers (Vet School)",SUMIF(Points_Lookup!$P:$P,$B19,Points_Lookup!$Q:$Q),IF($B$4="R&amp;T Level 6 - Clinical Associate Professors and Clinical Readers (Vet School)",SUMIF(Points_Lookup!$W:$W,$B19,Points_Lookup!$X:$X),"")))</f>
        <v/>
      </c>
      <c r="S19" s="29" t="str">
        <f ca="1">IF(B19="","",IF($B$4="R&amp;T Level 5 - Clinical Lecturers (Vet School)",$C19-SUMIF(Points_Lookup!$P:$P,$B19,Points_Lookup!$R:$R),IF($B$4="R&amp;T Level 6 - Clinical Associate Professors and Clinical Readers (Vet School)",$C19-SUMIF(Points_Lookup!$W:$W,$B19,Points_Lookup!$Y:$Y),"")))</f>
        <v/>
      </c>
      <c r="T19" s="28" t="str">
        <f ca="1">IF(B19="","",IF($B$4="R&amp;T Level 5 - Clinical Lecturers (Vet School)",SUMIF(Points_Lookup!$P:$P,$B19,Points_Lookup!$T:$T),IF($B$4="R&amp;T Level 6 - Clinical Associate Professors and Clinical Readers (Vet School)",SUMIF(Points_Lookup!$W:$W,$B19,Points_Lookup!$AA:$AA),"")))</f>
        <v/>
      </c>
      <c r="U19" s="29" t="str">
        <f t="shared" ca="1" si="5"/>
        <v/>
      </c>
      <c r="Z19" s="26">
        <v>11</v>
      </c>
    </row>
    <row r="20" spans="2:26" x14ac:dyDescent="0.25">
      <c r="B20" s="4">
        <f ca="1">IFERROR(INDEX(Points_Lookup!$A:$A,MATCH($Z20,Points_Lookup!$AH:$AH,0)),"")</f>
        <v>14</v>
      </c>
      <c r="C20" s="25">
        <f ca="1">IF(B20="","",IF($B$4="Apprenticeship",SUMIF(Points_Lookup!$AD:$AD,B20,Points_Lookup!$AF:$AF),IF(AND(OR($B$4="New Consultant Contract"),$B20&lt;&gt;""),INDEX(Points_Lookup!$N:$N,MATCH($B20,Points_Lookup!$M:$M,0)),IF(AND(OR($B$4="Clinical Lecturer / Medical Research Fellow",$B$4="Clinical Consultant - Old Contract (GP)"),$B20&lt;&gt;""),INDEX(Points_Lookup!$K:$K,MATCH($B20,Points_Lookup!$J:$J,0)),IF(AND(OR($B$4="APM Level 7",$B$4="R&amp;T Level 7",$B$4="APM Level 8"),B20&lt;&gt;""),INDEX(Points_Lookup!$E:$E,MATCH($Z20,Points_Lookup!$AH:$AH,0)),IF($B$4="R&amp;T Level 5 - Clinical Lecturers (Vet School)",SUMIF(Points_Lookup!$P:$P,$B20,Points_Lookup!$S:$S),IF($B$4="R&amp;T Level 6 - Clinical Associate Professors and Clinical Readers (Vet School)",SUMIF(Points_Lookup!$W:$W,$B20,Points_Lookup!$Z:$Z),IFERROR(INDEX(Points_Lookup!$B:$B,MATCH($Z20,Points_Lookup!$AH:$AH,0)),""))))))))</f>
        <v>20411</v>
      </c>
      <c r="D20" s="40"/>
      <c r="E20" s="25" t="str">
        <f ca="1">IF($B20="","",IF(AND($B$4="Salary Points 3 to 57",B20&lt;Thresholds_Rates!$C$16),"-",IF(SUMIF(Grades!$A:$A,$B$4,Grades!$BO:$BO)=0,"-",IF(AND($B$4="Salary Points 3 to 57",B20&gt;=Thresholds_Rates!$C$16),$C20*Thresholds_Rates!$F$15,IF(AND(OR($B$4="New Consultant Contract"),$B20&lt;&gt;""),$C20*Thresholds_Rates!$F$15,IF(AND(OR($B$4="Clinical Lecturer / Medical Research Fellow",$B$4="Clinical Consultant - Old Contract (GP)"),$B20&lt;&gt;""),$C20*Thresholds_Rates!$F$15,IF(OR($B$4="APM Level 7",$B$4="R&amp;T Level 7"),$C20*Thresholds_Rates!$F$15,IF(SUMIF(Grades!$A:$A,$B$4,Grades!$BO:$BO)=1,$C20*Thresholds_Rates!$F$15,""))))))))</f>
        <v>-</v>
      </c>
      <c r="F20" s="25" t="str">
        <f ca="1">IF(B20="","",IF($B$4="Salary Points 3 to 57","-",IF(SUMIF(Grades!$A:$A,$B$4,Grades!$BP:$BP)=0,"-",IF(AND(OR($B$4="New Consultant Contract"),$B20&lt;&gt;""),$C20*Thresholds_Rates!$F$16,IF(AND(OR($B$4="Clinical Lecturer / Medical Research Fellow",$B$4="Clinical Consultant - Old Contract (GP)"),$B20&lt;&gt;""),$C20*Thresholds_Rates!$F$16,IF(AND(OR($B$4="APM Level 7",$B$4="R&amp;T Level 7"),E20&lt;&gt;""),$C20*Thresholds_Rates!$F$16,IF(SUMIF(Grades!$A:$A,$B$4,Grades!$BP:$BP)=1,$C20*Thresholds_Rates!$F$16,"")))))))</f>
        <v>-</v>
      </c>
      <c r="G20" s="25">
        <f ca="1">IF($B$4="Apprenticeship","-",IF(B20="","",IF(SUMIF(Grades!$A:$A,$B$4,Grades!$BQ:$BQ)=0,"-",IF(AND($B$4="Salary Points 3 to 57",B20&gt;Thresholds_Rates!$C$17),"-",IF(AND($B$4="Salary Points 3 to 57",B20&lt;=Thresholds_Rates!$C$17),$C20*Thresholds_Rates!$F$17,IF(AND(OR($B$4="New Consultant Contract"),$B20&lt;&gt;""),$C20*Thresholds_Rates!$F$17,IF(AND(OR($B$4="Clinical Lecturer / Medical Research Fellow",$B$4="Clinical Consultant - Old Contract (GP)"),$B20&lt;&gt;""),$C20*Thresholds_Rates!$F$17,IF(AND(OR($B$4="APM Level 7",$B$4="R&amp;T Level 7"),F20&lt;&gt;""),$C20*Thresholds_Rates!$F$17,IF(SUMIF(Grades!$A:$A,$B$4,Grades!$BQ:$BQ)=1,$C20*Thresholds_Rates!$F$17,"")))))))))</f>
        <v>7960.29</v>
      </c>
      <c r="H20" s="25">
        <f ca="1">IF($B20="","",ROUND(($C20-(Thresholds_Rates!$C$5*12))*Thresholds_Rates!$C$10,0))</f>
        <v>1691</v>
      </c>
      <c r="I20" s="25">
        <f ca="1">IF(B20="","",(C20*Thresholds_Rates!$C$12))</f>
        <v>102.05500000000001</v>
      </c>
      <c r="J20" s="25">
        <f ca="1">IF(B20="","",IF(AND($B$4="Salary Points 3 to 57",B20&gt;Thresholds_Rates!$C$17),"-",IF(SUMIF(Grades!$A:$A,$B$4,Grades!$BR:$BR)=0,"-",IF(AND($B$4="Salary Points 3 to 57",B20&lt;=Thresholds_Rates!$C$17),$C20*Thresholds_Rates!$F$18,IF(AND(OR($B$4="New Consultant Contract"),$B20&lt;&gt;""),$C20*Thresholds_Rates!$F$18,IF(AND(OR($B$4="Clinical Lecturer / Medical Research Fellow",$B$4="Clinical Consultant - Old Contract (GP)"),$B20&lt;&gt;""),$C20*Thresholds_Rates!$F$18,IF(AND(OR($B$4="APM Level 7",$B$4="R&amp;T Level 7"),H20&lt;&gt;""),$C20*Thresholds_Rates!$F$18,IF(SUMIF(Grades!$A:$A,$B$4,Grades!$BQ:$BQ)=1,$C20*Thresholds_Rates!$F$18,""))))))))</f>
        <v>2041.1000000000001</v>
      </c>
      <c r="K20" s="4"/>
      <c r="L20" s="25" t="str">
        <f t="shared" ca="1" si="0"/>
        <v>-</v>
      </c>
      <c r="M20" s="25" t="str">
        <f t="shared" ca="1" si="1"/>
        <v>-</v>
      </c>
      <c r="N20" s="25">
        <f t="shared" ca="1" si="2"/>
        <v>30164.345000000001</v>
      </c>
      <c r="O20" s="25">
        <f t="shared" ca="1" si="3"/>
        <v>24245.154999999999</v>
      </c>
      <c r="P20" s="25">
        <f t="shared" ca="1" si="4"/>
        <v>22204.055</v>
      </c>
      <c r="R20" s="28" t="str">
        <f ca="1">IF(B20="","",IF($B$4="R&amp;T Level 5 - Clinical Lecturers (Vet School)",SUMIF(Points_Lookup!$P:$P,$B20,Points_Lookup!$Q:$Q),IF($B$4="R&amp;T Level 6 - Clinical Associate Professors and Clinical Readers (Vet School)",SUMIF(Points_Lookup!$W:$W,$B20,Points_Lookup!$X:$X),"")))</f>
        <v/>
      </c>
      <c r="S20" s="29" t="str">
        <f ca="1">IF(B20="","",IF($B$4="R&amp;T Level 5 - Clinical Lecturers (Vet School)",$C20-SUMIF(Points_Lookup!$P:$P,$B20,Points_Lookup!$R:$R),IF($B$4="R&amp;T Level 6 - Clinical Associate Professors and Clinical Readers (Vet School)",$C20-SUMIF(Points_Lookup!$W:$W,$B20,Points_Lookup!$Y:$Y),"")))</f>
        <v/>
      </c>
      <c r="T20" s="28" t="str">
        <f ca="1">IF(B20="","",IF($B$4="R&amp;T Level 5 - Clinical Lecturers (Vet School)",SUMIF(Points_Lookup!$P:$P,$B20,Points_Lookup!$T:$T),IF($B$4="R&amp;T Level 6 - Clinical Associate Professors and Clinical Readers (Vet School)",SUMIF(Points_Lookup!$W:$W,$B20,Points_Lookup!$AA:$AA),"")))</f>
        <v/>
      </c>
      <c r="U20" s="29" t="str">
        <f t="shared" ca="1" si="5"/>
        <v/>
      </c>
      <c r="Z20" s="26">
        <v>12</v>
      </c>
    </row>
    <row r="21" spans="2:26" x14ac:dyDescent="0.25">
      <c r="B21" s="4">
        <f ca="1">IFERROR(INDEX(Points_Lookup!$A:$A,MATCH($Z21,Points_Lookup!$AH:$AH,0)),"")</f>
        <v>15</v>
      </c>
      <c r="C21" s="25">
        <f ca="1">IF(B21="","",IF($B$4="Apprenticeship",SUMIF(Points_Lookup!$AD:$AD,B21,Points_Lookup!$AF:$AF),IF(AND(OR($B$4="New Consultant Contract"),$B21&lt;&gt;""),INDEX(Points_Lookup!$N:$N,MATCH($B21,Points_Lookup!$M:$M,0)),IF(AND(OR($B$4="Clinical Lecturer / Medical Research Fellow",$B$4="Clinical Consultant - Old Contract (GP)"),$B21&lt;&gt;""),INDEX(Points_Lookup!$K:$K,MATCH($B21,Points_Lookup!$J:$J,0)),IF(AND(OR($B$4="APM Level 7",$B$4="R&amp;T Level 7",$B$4="APM Level 8"),B21&lt;&gt;""),INDEX(Points_Lookup!$E:$E,MATCH($Z21,Points_Lookup!$AH:$AH,0)),IF($B$4="R&amp;T Level 5 - Clinical Lecturers (Vet School)",SUMIF(Points_Lookup!$P:$P,$B21,Points_Lookup!$S:$S),IF($B$4="R&amp;T Level 6 - Clinical Associate Professors and Clinical Readers (Vet School)",SUMIF(Points_Lookup!$W:$W,$B21,Points_Lookup!$Z:$Z),IFERROR(INDEX(Points_Lookup!$B:$B,MATCH($Z21,Points_Lookup!$AH:$AH,0)),""))))))))</f>
        <v>20989</v>
      </c>
      <c r="D21" s="40"/>
      <c r="E21" s="25" t="str">
        <f ca="1">IF($B21="","",IF(AND($B$4="Salary Points 3 to 57",B21&lt;Thresholds_Rates!$C$16),"-",IF(SUMIF(Grades!$A:$A,$B$4,Grades!$BO:$BO)=0,"-",IF(AND($B$4="Salary Points 3 to 57",B21&gt;=Thresholds_Rates!$C$16),$C21*Thresholds_Rates!$F$15,IF(AND(OR($B$4="New Consultant Contract"),$B21&lt;&gt;""),$C21*Thresholds_Rates!$F$15,IF(AND(OR($B$4="Clinical Lecturer / Medical Research Fellow",$B$4="Clinical Consultant - Old Contract (GP)"),$B21&lt;&gt;""),$C21*Thresholds_Rates!$F$15,IF(OR($B$4="APM Level 7",$B$4="R&amp;T Level 7"),$C21*Thresholds_Rates!$F$15,IF(SUMIF(Grades!$A:$A,$B$4,Grades!$BO:$BO)=1,$C21*Thresholds_Rates!$F$15,""))))))))</f>
        <v>-</v>
      </c>
      <c r="F21" s="25" t="str">
        <f ca="1">IF(B21="","",IF($B$4="Salary Points 3 to 57","-",IF(SUMIF(Grades!$A:$A,$B$4,Grades!$BP:$BP)=0,"-",IF(AND(OR($B$4="New Consultant Contract"),$B21&lt;&gt;""),$C21*Thresholds_Rates!$F$16,IF(AND(OR($B$4="Clinical Lecturer / Medical Research Fellow",$B$4="Clinical Consultant - Old Contract (GP)"),$B21&lt;&gt;""),$C21*Thresholds_Rates!$F$16,IF(AND(OR($B$4="APM Level 7",$B$4="R&amp;T Level 7"),E21&lt;&gt;""),$C21*Thresholds_Rates!$F$16,IF(SUMIF(Grades!$A:$A,$B$4,Grades!$BP:$BP)=1,$C21*Thresholds_Rates!$F$16,"")))))))</f>
        <v>-</v>
      </c>
      <c r="G21" s="25">
        <f ca="1">IF($B$4="Apprenticeship","-",IF(B21="","",IF(SUMIF(Grades!$A:$A,$B$4,Grades!$BQ:$BQ)=0,"-",IF(AND($B$4="Salary Points 3 to 57",B21&gt;Thresholds_Rates!$C$17),"-",IF(AND($B$4="Salary Points 3 to 57",B21&lt;=Thresholds_Rates!$C$17),$C21*Thresholds_Rates!$F$17,IF(AND(OR($B$4="New Consultant Contract"),$B21&lt;&gt;""),$C21*Thresholds_Rates!$F$17,IF(AND(OR($B$4="Clinical Lecturer / Medical Research Fellow",$B$4="Clinical Consultant - Old Contract (GP)"),$B21&lt;&gt;""),$C21*Thresholds_Rates!$F$17,IF(AND(OR($B$4="APM Level 7",$B$4="R&amp;T Level 7"),F21&lt;&gt;""),$C21*Thresholds_Rates!$F$17,IF(SUMIF(Grades!$A:$A,$B$4,Grades!$BQ:$BQ)=1,$C21*Thresholds_Rates!$F$17,"")))))))))</f>
        <v>8185.71</v>
      </c>
      <c r="H21" s="25">
        <f ca="1">IF($B21="","",ROUND(($C21-(Thresholds_Rates!$C$5*12))*Thresholds_Rates!$C$10,0))</f>
        <v>1770</v>
      </c>
      <c r="I21" s="25">
        <f ca="1">IF(B21="","",(C21*Thresholds_Rates!$C$12))</f>
        <v>104.94500000000001</v>
      </c>
      <c r="J21" s="25">
        <f ca="1">IF(B21="","",IF(AND($B$4="Salary Points 3 to 57",B21&gt;Thresholds_Rates!$C$17),"-",IF(SUMIF(Grades!$A:$A,$B$4,Grades!$BR:$BR)=0,"-",IF(AND($B$4="Salary Points 3 to 57",B21&lt;=Thresholds_Rates!$C$17),$C21*Thresholds_Rates!$F$18,IF(AND(OR($B$4="New Consultant Contract"),$B21&lt;&gt;""),$C21*Thresholds_Rates!$F$18,IF(AND(OR($B$4="Clinical Lecturer / Medical Research Fellow",$B$4="Clinical Consultant - Old Contract (GP)"),$B21&lt;&gt;""),$C21*Thresholds_Rates!$F$18,IF(AND(OR($B$4="APM Level 7",$B$4="R&amp;T Level 7"),H21&lt;&gt;""),$C21*Thresholds_Rates!$F$18,IF(SUMIF(Grades!$A:$A,$B$4,Grades!$BQ:$BQ)=1,$C21*Thresholds_Rates!$F$18,""))))))))</f>
        <v>2098.9</v>
      </c>
      <c r="K21" s="4"/>
      <c r="L21" s="25" t="str">
        <f t="shared" ca="1" si="0"/>
        <v>-</v>
      </c>
      <c r="M21" s="25" t="str">
        <f t="shared" ca="1" si="1"/>
        <v>-</v>
      </c>
      <c r="N21" s="25">
        <f t="shared" ca="1" si="2"/>
        <v>31049.654999999999</v>
      </c>
      <c r="O21" s="25">
        <f t="shared" ca="1" si="3"/>
        <v>24962.845000000001</v>
      </c>
      <c r="P21" s="25">
        <f t="shared" ca="1" si="4"/>
        <v>22863.945</v>
      </c>
      <c r="R21" s="28" t="str">
        <f ca="1">IF(B21="","",IF($B$4="R&amp;T Level 5 - Clinical Lecturers (Vet School)",SUMIF(Points_Lookup!$P:$P,$B21,Points_Lookup!$Q:$Q),IF($B$4="R&amp;T Level 6 - Clinical Associate Professors and Clinical Readers (Vet School)",SUMIF(Points_Lookup!$W:$W,$B21,Points_Lookup!$X:$X),"")))</f>
        <v/>
      </c>
      <c r="S21" s="29" t="str">
        <f ca="1">IF(B21="","",IF($B$4="R&amp;T Level 5 - Clinical Lecturers (Vet School)",$C21-SUMIF(Points_Lookup!$P:$P,$B21,Points_Lookup!$R:$R),IF($B$4="R&amp;T Level 6 - Clinical Associate Professors and Clinical Readers (Vet School)",$C21-SUMIF(Points_Lookup!$W:$W,$B21,Points_Lookup!$Y:$Y),"")))</f>
        <v/>
      </c>
      <c r="T21" s="28" t="str">
        <f ca="1">IF(B21="","",IF($B$4="R&amp;T Level 5 - Clinical Lecturers (Vet School)",SUMIF(Points_Lookup!$P:$P,$B21,Points_Lookup!$T:$T),IF($B$4="R&amp;T Level 6 - Clinical Associate Professors and Clinical Readers (Vet School)",SUMIF(Points_Lookup!$W:$W,$B21,Points_Lookup!$AA:$AA),"")))</f>
        <v/>
      </c>
      <c r="U21" s="29" t="str">
        <f t="shared" ca="1" si="5"/>
        <v/>
      </c>
      <c r="Z21" s="26">
        <v>13</v>
      </c>
    </row>
    <row r="22" spans="2:26" x14ac:dyDescent="0.25">
      <c r="B22" s="4">
        <f ca="1">IFERROR(INDEX(Points_Lookup!$A:$A,MATCH($Z22,Points_Lookup!$AH:$AH,0)),"")</f>
        <v>16</v>
      </c>
      <c r="C22" s="25">
        <f ca="1">IF(B22="","",IF($B$4="Apprenticeship",SUMIF(Points_Lookup!$AD:$AD,B22,Points_Lookup!$AF:$AF),IF(AND(OR($B$4="New Consultant Contract"),$B22&lt;&gt;""),INDEX(Points_Lookup!$N:$N,MATCH($B22,Points_Lookup!$M:$M,0)),IF(AND(OR($B$4="Clinical Lecturer / Medical Research Fellow",$B$4="Clinical Consultant - Old Contract (GP)"),$B22&lt;&gt;""),INDEX(Points_Lookup!$K:$K,MATCH($B22,Points_Lookup!$J:$J,0)),IF(AND(OR($B$4="APM Level 7",$B$4="R&amp;T Level 7",$B$4="APM Level 8"),B22&lt;&gt;""),INDEX(Points_Lookup!$E:$E,MATCH($Z22,Points_Lookup!$AH:$AH,0)),IF($B$4="R&amp;T Level 5 - Clinical Lecturers (Vet School)",SUMIF(Points_Lookup!$P:$P,$B22,Points_Lookup!$S:$S),IF($B$4="R&amp;T Level 6 - Clinical Associate Professors and Clinical Readers (Vet School)",SUMIF(Points_Lookup!$W:$W,$B22,Points_Lookup!$Z:$Z),IFERROR(INDEX(Points_Lookup!$B:$B,MATCH($Z22,Points_Lookup!$AH:$AH,0)),""))))))))</f>
        <v>21585</v>
      </c>
      <c r="D22" s="40"/>
      <c r="E22" s="25" t="str">
        <f ca="1">IF($B22="","",IF(AND($B$4="Salary Points 3 to 57",B22&lt;Thresholds_Rates!$C$16),"-",IF(SUMIF(Grades!$A:$A,$B$4,Grades!$BO:$BO)=0,"-",IF(AND($B$4="Salary Points 3 to 57",B22&gt;=Thresholds_Rates!$C$16),$C22*Thresholds_Rates!$F$15,IF(AND(OR($B$4="New Consultant Contract"),$B22&lt;&gt;""),$C22*Thresholds_Rates!$F$15,IF(AND(OR($B$4="Clinical Lecturer / Medical Research Fellow",$B$4="Clinical Consultant - Old Contract (GP)"),$B22&lt;&gt;""),$C22*Thresholds_Rates!$F$15,IF(OR($B$4="APM Level 7",$B$4="R&amp;T Level 7"),$C22*Thresholds_Rates!$F$15,IF(SUMIF(Grades!$A:$A,$B$4,Grades!$BO:$BO)=1,$C22*Thresholds_Rates!$F$15,""))))))))</f>
        <v>-</v>
      </c>
      <c r="F22" s="25" t="str">
        <f ca="1">IF(B22="","",IF($B$4="Salary Points 3 to 57","-",IF(SUMIF(Grades!$A:$A,$B$4,Grades!$BP:$BP)=0,"-",IF(AND(OR($B$4="New Consultant Contract"),$B22&lt;&gt;""),$C22*Thresholds_Rates!$F$16,IF(AND(OR($B$4="Clinical Lecturer / Medical Research Fellow",$B$4="Clinical Consultant - Old Contract (GP)"),$B22&lt;&gt;""),$C22*Thresholds_Rates!$F$16,IF(AND(OR($B$4="APM Level 7",$B$4="R&amp;T Level 7"),E22&lt;&gt;""),$C22*Thresholds_Rates!$F$16,IF(SUMIF(Grades!$A:$A,$B$4,Grades!$BP:$BP)=1,$C22*Thresholds_Rates!$F$16,"")))))))</f>
        <v>-</v>
      </c>
      <c r="G22" s="25">
        <f ca="1">IF($B$4="Apprenticeship","-",IF(B22="","",IF(SUMIF(Grades!$A:$A,$B$4,Grades!$BQ:$BQ)=0,"-",IF(AND($B$4="Salary Points 3 to 57",B22&gt;Thresholds_Rates!$C$17),"-",IF(AND($B$4="Salary Points 3 to 57",B22&lt;=Thresholds_Rates!$C$17),$C22*Thresholds_Rates!$F$17,IF(AND(OR($B$4="New Consultant Contract"),$B22&lt;&gt;""),$C22*Thresholds_Rates!$F$17,IF(AND(OR($B$4="Clinical Lecturer / Medical Research Fellow",$B$4="Clinical Consultant - Old Contract (GP)"),$B22&lt;&gt;""),$C22*Thresholds_Rates!$F$17,IF(AND(OR($B$4="APM Level 7",$B$4="R&amp;T Level 7"),F22&lt;&gt;""),$C22*Thresholds_Rates!$F$17,IF(SUMIF(Grades!$A:$A,$B$4,Grades!$BQ:$BQ)=1,$C22*Thresholds_Rates!$F$17,"")))))))))</f>
        <v>8418.15</v>
      </c>
      <c r="H22" s="25">
        <f ca="1">IF($B22="","",ROUND(($C22-(Thresholds_Rates!$C$5*12))*Thresholds_Rates!$C$10,0))</f>
        <v>1853</v>
      </c>
      <c r="I22" s="25">
        <f ca="1">IF(B22="","",(C22*Thresholds_Rates!$C$12))</f>
        <v>107.925</v>
      </c>
      <c r="J22" s="25">
        <f ca="1">IF(B22="","",IF(AND($B$4="Salary Points 3 to 57",B22&gt;Thresholds_Rates!$C$17),"-",IF(SUMIF(Grades!$A:$A,$B$4,Grades!$BR:$BR)=0,"-",IF(AND($B$4="Salary Points 3 to 57",B22&lt;=Thresholds_Rates!$C$17),$C22*Thresholds_Rates!$F$18,IF(AND(OR($B$4="New Consultant Contract"),$B22&lt;&gt;""),$C22*Thresholds_Rates!$F$18,IF(AND(OR($B$4="Clinical Lecturer / Medical Research Fellow",$B$4="Clinical Consultant - Old Contract (GP)"),$B22&lt;&gt;""),$C22*Thresholds_Rates!$F$18,IF(AND(OR($B$4="APM Level 7",$B$4="R&amp;T Level 7"),H22&lt;&gt;""),$C22*Thresholds_Rates!$F$18,IF(SUMIF(Grades!$A:$A,$B$4,Grades!$BQ:$BQ)=1,$C22*Thresholds_Rates!$F$18,""))))))))</f>
        <v>2158.5</v>
      </c>
      <c r="K22" s="4"/>
      <c r="L22" s="25" t="str">
        <f t="shared" ca="1" si="0"/>
        <v>-</v>
      </c>
      <c r="M22" s="25" t="str">
        <f t="shared" ca="1" si="1"/>
        <v>-</v>
      </c>
      <c r="N22" s="25">
        <f t="shared" ca="1" si="2"/>
        <v>31964.075000000001</v>
      </c>
      <c r="O22" s="25">
        <f t="shared" ca="1" si="3"/>
        <v>25704.424999999999</v>
      </c>
      <c r="P22" s="25">
        <f t="shared" ca="1" si="4"/>
        <v>23545.924999999999</v>
      </c>
      <c r="R22" s="28" t="str">
        <f ca="1">IF(B22="","",IF($B$4="R&amp;T Level 5 - Clinical Lecturers (Vet School)",SUMIF(Points_Lookup!$P:$P,$B22,Points_Lookup!$Q:$Q),IF($B$4="R&amp;T Level 6 - Clinical Associate Professors and Clinical Readers (Vet School)",SUMIF(Points_Lookup!$W:$W,$B22,Points_Lookup!$X:$X),"")))</f>
        <v/>
      </c>
      <c r="S22" s="29" t="str">
        <f ca="1">IF(B22="","",IF($B$4="R&amp;T Level 5 - Clinical Lecturers (Vet School)",$C22-SUMIF(Points_Lookup!$P:$P,$B22,Points_Lookup!$R:$R),IF($B$4="R&amp;T Level 6 - Clinical Associate Professors and Clinical Readers (Vet School)",$C22-SUMIF(Points_Lookup!$W:$W,$B22,Points_Lookup!$Y:$Y),"")))</f>
        <v/>
      </c>
      <c r="T22" s="28" t="str">
        <f ca="1">IF(B22="","",IF($B$4="R&amp;T Level 5 - Clinical Lecturers (Vet School)",SUMIF(Points_Lookup!$P:$P,$B22,Points_Lookup!$T:$T),IF($B$4="R&amp;T Level 6 - Clinical Associate Professors and Clinical Readers (Vet School)",SUMIF(Points_Lookup!$W:$W,$B22,Points_Lookup!$AA:$AA),"")))</f>
        <v/>
      </c>
      <c r="U22" s="29" t="str">
        <f t="shared" ca="1" si="5"/>
        <v/>
      </c>
      <c r="Z22" s="26">
        <v>14</v>
      </c>
    </row>
    <row r="23" spans="2:26" x14ac:dyDescent="0.25">
      <c r="B23" s="4">
        <f ca="1">IFERROR(INDEX(Points_Lookup!$A:$A,MATCH($Z23,Points_Lookup!$AH:$AH,0)),"")</f>
        <v>17</v>
      </c>
      <c r="C23" s="25">
        <f ca="1">IF(B23="","",IF($B$4="Apprenticeship",SUMIF(Points_Lookup!$AD:$AD,B23,Points_Lookup!$AF:$AF),IF(AND(OR($B$4="New Consultant Contract"),$B23&lt;&gt;""),INDEX(Points_Lookup!$N:$N,MATCH($B23,Points_Lookup!$M:$M,0)),IF(AND(OR($B$4="Clinical Lecturer / Medical Research Fellow",$B$4="Clinical Consultant - Old Contract (GP)"),$B23&lt;&gt;""),INDEX(Points_Lookup!$K:$K,MATCH($B23,Points_Lookup!$J:$J,0)),IF(AND(OR($B$4="APM Level 7",$B$4="R&amp;T Level 7",$B$4="APM Level 8"),B23&lt;&gt;""),INDEX(Points_Lookup!$E:$E,MATCH($Z23,Points_Lookup!$AH:$AH,0)),IF($B$4="R&amp;T Level 5 - Clinical Lecturers (Vet School)",SUMIF(Points_Lookup!$P:$P,$B23,Points_Lookup!$S:$S),IF($B$4="R&amp;T Level 6 - Clinical Associate Professors and Clinical Readers (Vet School)",SUMIF(Points_Lookup!$W:$W,$B23,Points_Lookup!$Z:$Z),IFERROR(INDEX(Points_Lookup!$B:$B,MATCH($Z23,Points_Lookup!$AH:$AH,0)),""))))))))</f>
        <v>22214</v>
      </c>
      <c r="D23" s="40"/>
      <c r="E23" s="25" t="str">
        <f ca="1">IF($B23="","",IF(AND($B$4="Salary Points 3 to 57",B23&lt;Thresholds_Rates!$C$16),"-",IF(SUMIF(Grades!$A:$A,$B$4,Grades!$BO:$BO)=0,"-",IF(AND($B$4="Salary Points 3 to 57",B23&gt;=Thresholds_Rates!$C$16),$C23*Thresholds_Rates!$F$15,IF(AND(OR($B$4="New Consultant Contract"),$B23&lt;&gt;""),$C23*Thresholds_Rates!$F$15,IF(AND(OR($B$4="Clinical Lecturer / Medical Research Fellow",$B$4="Clinical Consultant - Old Contract (GP)"),$B23&lt;&gt;""),$C23*Thresholds_Rates!$F$15,IF(OR($B$4="APM Level 7",$B$4="R&amp;T Level 7"),$C23*Thresholds_Rates!$F$15,IF(SUMIF(Grades!$A:$A,$B$4,Grades!$BO:$BO)=1,$C23*Thresholds_Rates!$F$15,""))))))))</f>
        <v>-</v>
      </c>
      <c r="F23" s="25" t="str">
        <f ca="1">IF(B23="","",IF($B$4="Salary Points 3 to 57","-",IF(SUMIF(Grades!$A:$A,$B$4,Grades!$BP:$BP)=0,"-",IF(AND(OR($B$4="New Consultant Contract"),$B23&lt;&gt;""),$C23*Thresholds_Rates!$F$16,IF(AND(OR($B$4="Clinical Lecturer / Medical Research Fellow",$B$4="Clinical Consultant - Old Contract (GP)"),$B23&lt;&gt;""),$C23*Thresholds_Rates!$F$16,IF(AND(OR($B$4="APM Level 7",$B$4="R&amp;T Level 7"),E23&lt;&gt;""),$C23*Thresholds_Rates!$F$16,IF(SUMIF(Grades!$A:$A,$B$4,Grades!$BP:$BP)=1,$C23*Thresholds_Rates!$F$16,"")))))))</f>
        <v>-</v>
      </c>
      <c r="G23" s="25">
        <f ca="1">IF($B$4="Apprenticeship","-",IF(B23="","",IF(SUMIF(Grades!$A:$A,$B$4,Grades!$BQ:$BQ)=0,"-",IF(AND($B$4="Salary Points 3 to 57",B23&gt;Thresholds_Rates!$C$17),"-",IF(AND($B$4="Salary Points 3 to 57",B23&lt;=Thresholds_Rates!$C$17),$C23*Thresholds_Rates!$F$17,IF(AND(OR($B$4="New Consultant Contract"),$B23&lt;&gt;""),$C23*Thresholds_Rates!$F$17,IF(AND(OR($B$4="Clinical Lecturer / Medical Research Fellow",$B$4="Clinical Consultant - Old Contract (GP)"),$B23&lt;&gt;""),$C23*Thresholds_Rates!$F$17,IF(AND(OR($B$4="APM Level 7",$B$4="R&amp;T Level 7"),F23&lt;&gt;""),$C23*Thresholds_Rates!$F$17,IF(SUMIF(Grades!$A:$A,$B$4,Grades!$BQ:$BQ)=1,$C23*Thresholds_Rates!$F$17,"")))))))))</f>
        <v>8663.4600000000009</v>
      </c>
      <c r="H23" s="25">
        <f ca="1">IF($B23="","",ROUND(($C23-(Thresholds_Rates!$C$5*12))*Thresholds_Rates!$C$10,0))</f>
        <v>1939</v>
      </c>
      <c r="I23" s="25">
        <f ca="1">IF(B23="","",(C23*Thresholds_Rates!$C$12))</f>
        <v>111.07000000000001</v>
      </c>
      <c r="J23" s="25">
        <f ca="1">IF(B23="","",IF(AND($B$4="Salary Points 3 to 57",B23&gt;Thresholds_Rates!$C$17),"-",IF(SUMIF(Grades!$A:$A,$B$4,Grades!$BR:$BR)=0,"-",IF(AND($B$4="Salary Points 3 to 57",B23&lt;=Thresholds_Rates!$C$17),$C23*Thresholds_Rates!$F$18,IF(AND(OR($B$4="New Consultant Contract"),$B23&lt;&gt;""),$C23*Thresholds_Rates!$F$18,IF(AND(OR($B$4="Clinical Lecturer / Medical Research Fellow",$B$4="Clinical Consultant - Old Contract (GP)"),$B23&lt;&gt;""),$C23*Thresholds_Rates!$F$18,IF(AND(OR($B$4="APM Level 7",$B$4="R&amp;T Level 7"),H23&lt;&gt;""),$C23*Thresholds_Rates!$F$18,IF(SUMIF(Grades!$A:$A,$B$4,Grades!$BQ:$BQ)=1,$C23*Thresholds_Rates!$F$18,""))))))))</f>
        <v>2221.4</v>
      </c>
      <c r="K23" s="4"/>
      <c r="L23" s="25" t="str">
        <f t="shared" ca="1" si="0"/>
        <v>-</v>
      </c>
      <c r="M23" s="25" t="str">
        <f t="shared" ca="1" si="1"/>
        <v>-</v>
      </c>
      <c r="N23" s="25">
        <f t="shared" ca="1" si="2"/>
        <v>32927.53</v>
      </c>
      <c r="O23" s="25">
        <f t="shared" ca="1" si="3"/>
        <v>26485.47</v>
      </c>
      <c r="P23" s="25">
        <f t="shared" ca="1" si="4"/>
        <v>24264.07</v>
      </c>
      <c r="R23" s="28" t="str">
        <f ca="1">IF(B23="","",IF($B$4="R&amp;T Level 5 - Clinical Lecturers (Vet School)",SUMIF(Points_Lookup!$P:$P,$B23,Points_Lookup!$Q:$Q),IF($B$4="R&amp;T Level 6 - Clinical Associate Professors and Clinical Readers (Vet School)",SUMIF(Points_Lookup!$W:$W,$B23,Points_Lookup!$X:$X),"")))</f>
        <v/>
      </c>
      <c r="S23" s="29" t="str">
        <f ca="1">IF(B23="","",IF($B$4="R&amp;T Level 5 - Clinical Lecturers (Vet School)",$C23-SUMIF(Points_Lookup!$P:$P,$B23,Points_Lookup!$R:$R),IF($B$4="R&amp;T Level 6 - Clinical Associate Professors and Clinical Readers (Vet School)",$C23-SUMIF(Points_Lookup!$W:$W,$B23,Points_Lookup!$Y:$Y),"")))</f>
        <v/>
      </c>
      <c r="T23" s="28" t="str">
        <f ca="1">IF(B23="","",IF($B$4="R&amp;T Level 5 - Clinical Lecturers (Vet School)",SUMIF(Points_Lookup!$P:$P,$B23,Points_Lookup!$T:$T),IF($B$4="R&amp;T Level 6 - Clinical Associate Professors and Clinical Readers (Vet School)",SUMIF(Points_Lookup!$W:$W,$B23,Points_Lookup!$AA:$AA),"")))</f>
        <v/>
      </c>
      <c r="U23" s="29" t="str">
        <f t="shared" ca="1" si="5"/>
        <v/>
      </c>
      <c r="Z23" s="26">
        <v>15</v>
      </c>
    </row>
    <row r="24" spans="2:26" x14ac:dyDescent="0.25">
      <c r="B24" s="4">
        <f ca="1">IFERROR(INDEX(Points_Lookup!$A:$A,MATCH($Z24,Points_Lookup!$AH:$AH,0)),"")</f>
        <v>18</v>
      </c>
      <c r="C24" s="25">
        <f ca="1">IF(B24="","",IF($B$4="Apprenticeship",SUMIF(Points_Lookup!$AD:$AD,B24,Points_Lookup!$AF:$AF),IF(AND(OR($B$4="New Consultant Contract"),$B24&lt;&gt;""),INDEX(Points_Lookup!$N:$N,MATCH($B24,Points_Lookup!$M:$M,0)),IF(AND(OR($B$4="Clinical Lecturer / Medical Research Fellow",$B$4="Clinical Consultant - Old Contract (GP)"),$B24&lt;&gt;""),INDEX(Points_Lookup!$K:$K,MATCH($B24,Points_Lookup!$J:$J,0)),IF(AND(OR($B$4="APM Level 7",$B$4="R&amp;T Level 7",$B$4="APM Level 8"),B24&lt;&gt;""),INDEX(Points_Lookup!$E:$E,MATCH($Z24,Points_Lookup!$AH:$AH,0)),IF($B$4="R&amp;T Level 5 - Clinical Lecturers (Vet School)",SUMIF(Points_Lookup!$P:$P,$B24,Points_Lookup!$S:$S),IF($B$4="R&amp;T Level 6 - Clinical Associate Professors and Clinical Readers (Vet School)",SUMIF(Points_Lookup!$W:$W,$B24,Points_Lookup!$Z:$Z),IFERROR(INDEX(Points_Lookup!$B:$B,MATCH($Z24,Points_Lookup!$AH:$AH,0)),""))))))))</f>
        <v>22876</v>
      </c>
      <c r="D24" s="40"/>
      <c r="E24" s="25" t="str">
        <f ca="1">IF($B24="","",IF(AND($B$4="Salary Points 3 to 57",B24&lt;Thresholds_Rates!$C$16),"-",IF(SUMIF(Grades!$A:$A,$B$4,Grades!$BO:$BO)=0,"-",IF(AND($B$4="Salary Points 3 to 57",B24&gt;=Thresholds_Rates!$C$16),$C24*Thresholds_Rates!$F$15,IF(AND(OR($B$4="New Consultant Contract"),$B24&lt;&gt;""),$C24*Thresholds_Rates!$F$15,IF(AND(OR($B$4="Clinical Lecturer / Medical Research Fellow",$B$4="Clinical Consultant - Old Contract (GP)"),$B24&lt;&gt;""),$C24*Thresholds_Rates!$F$15,IF(OR($B$4="APM Level 7",$B$4="R&amp;T Level 7"),$C24*Thresholds_Rates!$F$15,IF(SUMIF(Grades!$A:$A,$B$4,Grades!$BO:$BO)=1,$C24*Thresholds_Rates!$F$15,""))))))))</f>
        <v>-</v>
      </c>
      <c r="F24" s="25" t="str">
        <f ca="1">IF(B24="","",IF($B$4="Salary Points 3 to 57","-",IF(SUMIF(Grades!$A:$A,$B$4,Grades!$BP:$BP)=0,"-",IF(AND(OR($B$4="New Consultant Contract"),$B24&lt;&gt;""),$C24*Thresholds_Rates!$F$16,IF(AND(OR($B$4="Clinical Lecturer / Medical Research Fellow",$B$4="Clinical Consultant - Old Contract (GP)"),$B24&lt;&gt;""),$C24*Thresholds_Rates!$F$16,IF(AND(OR($B$4="APM Level 7",$B$4="R&amp;T Level 7"),E24&lt;&gt;""),$C24*Thresholds_Rates!$F$16,IF(SUMIF(Grades!$A:$A,$B$4,Grades!$BP:$BP)=1,$C24*Thresholds_Rates!$F$16,"")))))))</f>
        <v>-</v>
      </c>
      <c r="G24" s="25">
        <f ca="1">IF($B$4="Apprenticeship","-",IF(B24="","",IF(SUMIF(Grades!$A:$A,$B$4,Grades!$BQ:$BQ)=0,"-",IF(AND($B$4="Salary Points 3 to 57",B24&gt;Thresholds_Rates!$C$17),"-",IF(AND($B$4="Salary Points 3 to 57",B24&lt;=Thresholds_Rates!$C$17),$C24*Thresholds_Rates!$F$17,IF(AND(OR($B$4="New Consultant Contract"),$B24&lt;&gt;""),$C24*Thresholds_Rates!$F$17,IF(AND(OR($B$4="Clinical Lecturer / Medical Research Fellow",$B$4="Clinical Consultant - Old Contract (GP)"),$B24&lt;&gt;""),$C24*Thresholds_Rates!$F$17,IF(AND(OR($B$4="APM Level 7",$B$4="R&amp;T Level 7"),F24&lt;&gt;""),$C24*Thresholds_Rates!$F$17,IF(SUMIF(Grades!$A:$A,$B$4,Grades!$BQ:$BQ)=1,$C24*Thresholds_Rates!$F$17,"")))))))))</f>
        <v>8921.64</v>
      </c>
      <c r="H24" s="25">
        <f ca="1">IF($B24="","",ROUND(($C24-(Thresholds_Rates!$C$5*12))*Thresholds_Rates!$C$10,0))</f>
        <v>2031</v>
      </c>
      <c r="I24" s="25">
        <f ca="1">IF(B24="","",(C24*Thresholds_Rates!$C$12))</f>
        <v>114.38</v>
      </c>
      <c r="J24" s="25">
        <f ca="1">IF(B24="","",IF(AND($B$4="Salary Points 3 to 57",B24&gt;Thresholds_Rates!$C$17),"-",IF(SUMIF(Grades!$A:$A,$B$4,Grades!$BR:$BR)=0,"-",IF(AND($B$4="Salary Points 3 to 57",B24&lt;=Thresholds_Rates!$C$17),$C24*Thresholds_Rates!$F$18,IF(AND(OR($B$4="New Consultant Contract"),$B24&lt;&gt;""),$C24*Thresholds_Rates!$F$18,IF(AND(OR($B$4="Clinical Lecturer / Medical Research Fellow",$B$4="Clinical Consultant - Old Contract (GP)"),$B24&lt;&gt;""),$C24*Thresholds_Rates!$F$18,IF(AND(OR($B$4="APM Level 7",$B$4="R&amp;T Level 7"),H24&lt;&gt;""),$C24*Thresholds_Rates!$F$18,IF(SUMIF(Grades!$A:$A,$B$4,Grades!$BQ:$BQ)=1,$C24*Thresholds_Rates!$F$18,""))))))))</f>
        <v>2287.6</v>
      </c>
      <c r="K24" s="4"/>
      <c r="L24" s="25" t="str">
        <f t="shared" ca="1" si="0"/>
        <v>-</v>
      </c>
      <c r="M24" s="25" t="str">
        <f t="shared" ca="1" si="1"/>
        <v>-</v>
      </c>
      <c r="N24" s="25">
        <f t="shared" ca="1" si="2"/>
        <v>33943.019999999997</v>
      </c>
      <c r="O24" s="25">
        <f t="shared" ca="1" si="3"/>
        <v>27308.98</v>
      </c>
      <c r="P24" s="25">
        <f t="shared" ca="1" si="4"/>
        <v>25021.38</v>
      </c>
      <c r="R24" s="28" t="str">
        <f ca="1">IF(B24="","",IF($B$4="R&amp;T Level 5 - Clinical Lecturers (Vet School)",SUMIF(Points_Lookup!$P:$P,$B24,Points_Lookup!$Q:$Q),IF($B$4="R&amp;T Level 6 - Clinical Associate Professors and Clinical Readers (Vet School)",SUMIF(Points_Lookup!$W:$W,$B24,Points_Lookup!$X:$X),"")))</f>
        <v/>
      </c>
      <c r="S24" s="29" t="str">
        <f ca="1">IF(B24="","",IF($B$4="R&amp;T Level 5 - Clinical Lecturers (Vet School)",$C24-SUMIF(Points_Lookup!$P:$P,$B24,Points_Lookup!$R:$R),IF($B$4="R&amp;T Level 6 - Clinical Associate Professors and Clinical Readers (Vet School)",$C24-SUMIF(Points_Lookup!$W:$W,$B24,Points_Lookup!$Y:$Y),"")))</f>
        <v/>
      </c>
      <c r="T24" s="28" t="str">
        <f ca="1">IF(B24="","",IF($B$4="R&amp;T Level 5 - Clinical Lecturers (Vet School)",SUMIF(Points_Lookup!$P:$P,$B24,Points_Lookup!$T:$T),IF($B$4="R&amp;T Level 6 - Clinical Associate Professors and Clinical Readers (Vet School)",SUMIF(Points_Lookup!$W:$W,$B24,Points_Lookup!$AA:$AA),"")))</f>
        <v/>
      </c>
      <c r="U24" s="29" t="str">
        <f t="shared" ca="1" si="5"/>
        <v/>
      </c>
      <c r="Z24" s="26">
        <v>16</v>
      </c>
    </row>
    <row r="25" spans="2:26" x14ac:dyDescent="0.25">
      <c r="B25" s="4">
        <f ca="1">IFERROR(INDEX(Points_Lookup!$A:$A,MATCH($Z25,Points_Lookup!$AH:$AH,0)),"")</f>
        <v>19</v>
      </c>
      <c r="C25" s="25">
        <f ca="1">IF(B25="","",IF($B$4="Apprenticeship",SUMIF(Points_Lookup!$AD:$AD,B25,Points_Lookup!$AF:$AF),IF(AND(OR($B$4="New Consultant Contract"),$B25&lt;&gt;""),INDEX(Points_Lookup!$N:$N,MATCH($B25,Points_Lookup!$M:$M,0)),IF(AND(OR($B$4="Clinical Lecturer / Medical Research Fellow",$B$4="Clinical Consultant - Old Contract (GP)"),$B25&lt;&gt;""),INDEX(Points_Lookup!$K:$K,MATCH($B25,Points_Lookup!$J:$J,0)),IF(AND(OR($B$4="APM Level 7",$B$4="R&amp;T Level 7",$B$4="APM Level 8"),B25&lt;&gt;""),INDEX(Points_Lookup!$E:$E,MATCH($Z25,Points_Lookup!$AH:$AH,0)),IF($B$4="R&amp;T Level 5 - Clinical Lecturers (Vet School)",SUMIF(Points_Lookup!$P:$P,$B25,Points_Lookup!$S:$S),IF($B$4="R&amp;T Level 6 - Clinical Associate Professors and Clinical Readers (Vet School)",SUMIF(Points_Lookup!$W:$W,$B25,Points_Lookup!$Z:$Z),IFERROR(INDEX(Points_Lookup!$B:$B,MATCH($Z25,Points_Lookup!$AH:$AH,0)),""))))))))</f>
        <v>23557</v>
      </c>
      <c r="D25" s="40"/>
      <c r="E25" s="25" t="str">
        <f ca="1">IF($B25="","",IF(AND($B$4="Salary Points 3 to 57",B25&lt;Thresholds_Rates!$C$16),"-",IF(SUMIF(Grades!$A:$A,$B$4,Grades!$BO:$BO)=0,"-",IF(AND($B$4="Salary Points 3 to 57",B25&gt;=Thresholds_Rates!$C$16),$C25*Thresholds_Rates!$F$15,IF(AND(OR($B$4="New Consultant Contract"),$B25&lt;&gt;""),$C25*Thresholds_Rates!$F$15,IF(AND(OR($B$4="Clinical Lecturer / Medical Research Fellow",$B$4="Clinical Consultant - Old Contract (GP)"),$B25&lt;&gt;""),$C25*Thresholds_Rates!$F$15,IF(OR($B$4="APM Level 7",$B$4="R&amp;T Level 7"),$C25*Thresholds_Rates!$F$15,IF(SUMIF(Grades!$A:$A,$B$4,Grades!$BO:$BO)=1,$C25*Thresholds_Rates!$F$15,""))))))))</f>
        <v>-</v>
      </c>
      <c r="F25" s="25" t="str">
        <f ca="1">IF(B25="","",IF($B$4="Salary Points 3 to 57","-",IF(SUMIF(Grades!$A:$A,$B$4,Grades!$BP:$BP)=0,"-",IF(AND(OR($B$4="New Consultant Contract"),$B25&lt;&gt;""),$C25*Thresholds_Rates!$F$16,IF(AND(OR($B$4="Clinical Lecturer / Medical Research Fellow",$B$4="Clinical Consultant - Old Contract (GP)"),$B25&lt;&gt;""),$C25*Thresholds_Rates!$F$16,IF(AND(OR($B$4="APM Level 7",$B$4="R&amp;T Level 7"),E25&lt;&gt;""),$C25*Thresholds_Rates!$F$16,IF(SUMIF(Grades!$A:$A,$B$4,Grades!$BP:$BP)=1,$C25*Thresholds_Rates!$F$16,"")))))))</f>
        <v>-</v>
      </c>
      <c r="G25" s="25">
        <f ca="1">IF($B$4="Apprenticeship","-",IF(B25="","",IF(SUMIF(Grades!$A:$A,$B$4,Grades!$BQ:$BQ)=0,"-",IF(AND($B$4="Salary Points 3 to 57",B25&gt;Thresholds_Rates!$C$17),"-",IF(AND($B$4="Salary Points 3 to 57",B25&lt;=Thresholds_Rates!$C$17),$C25*Thresholds_Rates!$F$17,IF(AND(OR($B$4="New Consultant Contract"),$B25&lt;&gt;""),$C25*Thresholds_Rates!$F$17,IF(AND(OR($B$4="Clinical Lecturer / Medical Research Fellow",$B$4="Clinical Consultant - Old Contract (GP)"),$B25&lt;&gt;""),$C25*Thresholds_Rates!$F$17,IF(AND(OR($B$4="APM Level 7",$B$4="R&amp;T Level 7"),F25&lt;&gt;""),$C25*Thresholds_Rates!$F$17,IF(SUMIF(Grades!$A:$A,$B$4,Grades!$BQ:$BQ)=1,$C25*Thresholds_Rates!$F$17,"")))))))))</f>
        <v>9187.23</v>
      </c>
      <c r="H25" s="25">
        <f ca="1">IF($B25="","",ROUND(($C25-(Thresholds_Rates!$C$5*12))*Thresholds_Rates!$C$10,0))</f>
        <v>2125</v>
      </c>
      <c r="I25" s="25">
        <f ca="1">IF(B25="","",(C25*Thresholds_Rates!$C$12))</f>
        <v>117.785</v>
      </c>
      <c r="J25" s="25">
        <f ca="1">IF(B25="","",IF(AND($B$4="Salary Points 3 to 57",B25&gt;Thresholds_Rates!$C$17),"-",IF(SUMIF(Grades!$A:$A,$B$4,Grades!$BR:$BR)=0,"-",IF(AND($B$4="Salary Points 3 to 57",B25&lt;=Thresholds_Rates!$C$17),$C25*Thresholds_Rates!$F$18,IF(AND(OR($B$4="New Consultant Contract"),$B25&lt;&gt;""),$C25*Thresholds_Rates!$F$18,IF(AND(OR($B$4="Clinical Lecturer / Medical Research Fellow",$B$4="Clinical Consultant - Old Contract (GP)"),$B25&lt;&gt;""),$C25*Thresholds_Rates!$F$18,IF(AND(OR($B$4="APM Level 7",$B$4="R&amp;T Level 7"),H25&lt;&gt;""),$C25*Thresholds_Rates!$F$18,IF(SUMIF(Grades!$A:$A,$B$4,Grades!$BQ:$BQ)=1,$C25*Thresholds_Rates!$F$18,""))))))))</f>
        <v>2355.7000000000003</v>
      </c>
      <c r="K25" s="4"/>
      <c r="L25" s="25" t="str">
        <f t="shared" ca="1" si="0"/>
        <v>-</v>
      </c>
      <c r="M25" s="25" t="str">
        <f t="shared" ca="1" si="1"/>
        <v>-</v>
      </c>
      <c r="N25" s="25">
        <f t="shared" ca="1" si="2"/>
        <v>34987.014999999999</v>
      </c>
      <c r="O25" s="25">
        <f t="shared" ca="1" si="3"/>
        <v>28155.485000000001</v>
      </c>
      <c r="P25" s="25">
        <f t="shared" ca="1" si="4"/>
        <v>25799.785</v>
      </c>
      <c r="R25" s="28" t="str">
        <f ca="1">IF(B25="","",IF($B$4="R&amp;T Level 5 - Clinical Lecturers (Vet School)",SUMIF(Points_Lookup!$P:$P,$B25,Points_Lookup!$Q:$Q),IF($B$4="R&amp;T Level 6 - Clinical Associate Professors and Clinical Readers (Vet School)",SUMIF(Points_Lookup!$W:$W,$B25,Points_Lookup!$X:$X),"")))</f>
        <v/>
      </c>
      <c r="S25" s="29" t="str">
        <f ca="1">IF(B25="","",IF($B$4="R&amp;T Level 5 - Clinical Lecturers (Vet School)",$C25-SUMIF(Points_Lookup!$P:$P,$B25,Points_Lookup!$R:$R),IF($B$4="R&amp;T Level 6 - Clinical Associate Professors and Clinical Readers (Vet School)",$C25-SUMIF(Points_Lookup!$W:$W,$B25,Points_Lookup!$Y:$Y),"")))</f>
        <v/>
      </c>
      <c r="T25" s="28" t="str">
        <f ca="1">IF(B25="","",IF($B$4="R&amp;T Level 5 - Clinical Lecturers (Vet School)",SUMIF(Points_Lookup!$P:$P,$B25,Points_Lookup!$T:$T),IF($B$4="R&amp;T Level 6 - Clinical Associate Professors and Clinical Readers (Vet School)",SUMIF(Points_Lookup!$W:$W,$B25,Points_Lookup!$AA:$AA),"")))</f>
        <v/>
      </c>
      <c r="U25" s="29" t="str">
        <f t="shared" ca="1" si="5"/>
        <v/>
      </c>
      <c r="Z25" s="26">
        <v>17</v>
      </c>
    </row>
    <row r="26" spans="2:26" x14ac:dyDescent="0.25">
      <c r="B26" s="4">
        <f ca="1">IFERROR(INDEX(Points_Lookup!$A:$A,MATCH($Z26,Points_Lookup!$AH:$AH,0)),"")</f>
        <v>20</v>
      </c>
      <c r="C26" s="25">
        <f ca="1">IF(B26="","",IF($B$4="Apprenticeship",SUMIF(Points_Lookup!$AD:$AD,B26,Points_Lookup!$AF:$AF),IF(AND(OR($B$4="New Consultant Contract"),$B26&lt;&gt;""),INDEX(Points_Lookup!$N:$N,MATCH($B26,Points_Lookup!$M:$M,0)),IF(AND(OR($B$4="Clinical Lecturer / Medical Research Fellow",$B$4="Clinical Consultant - Old Contract (GP)"),$B26&lt;&gt;""),INDEX(Points_Lookup!$K:$K,MATCH($B26,Points_Lookup!$J:$J,0)),IF(AND(OR($B$4="APM Level 7",$B$4="R&amp;T Level 7",$B$4="APM Level 8"),B26&lt;&gt;""),INDEX(Points_Lookup!$E:$E,MATCH($Z26,Points_Lookup!$AH:$AH,0)),IF($B$4="R&amp;T Level 5 - Clinical Lecturers (Vet School)",SUMIF(Points_Lookup!$P:$P,$B26,Points_Lookup!$S:$S),IF($B$4="R&amp;T Level 6 - Clinical Associate Professors and Clinical Readers (Vet School)",SUMIF(Points_Lookup!$W:$W,$B26,Points_Lookup!$Z:$Z),IFERROR(INDEX(Points_Lookup!$B:$B,MATCH($Z26,Points_Lookup!$AH:$AH,0)),""))))))))</f>
        <v>24285</v>
      </c>
      <c r="D26" s="40"/>
      <c r="E26" s="25" t="str">
        <f ca="1">IF($B26="","",IF(AND($B$4="Salary Points 3 to 57",B26&lt;Thresholds_Rates!$C$16),"-",IF(SUMIF(Grades!$A:$A,$B$4,Grades!$BO:$BO)=0,"-",IF(AND($B$4="Salary Points 3 to 57",B26&gt;=Thresholds_Rates!$C$16),$C26*Thresholds_Rates!$F$15,IF(AND(OR($B$4="New Consultant Contract"),$B26&lt;&gt;""),$C26*Thresholds_Rates!$F$15,IF(AND(OR($B$4="Clinical Lecturer / Medical Research Fellow",$B$4="Clinical Consultant - Old Contract (GP)"),$B26&lt;&gt;""),$C26*Thresholds_Rates!$F$15,IF(OR($B$4="APM Level 7",$B$4="R&amp;T Level 7"),$C26*Thresholds_Rates!$F$15,IF(SUMIF(Grades!$A:$A,$B$4,Grades!$BO:$BO)=1,$C26*Thresholds_Rates!$F$15,""))))))))</f>
        <v>-</v>
      </c>
      <c r="F26" s="25" t="str">
        <f ca="1">IF(B26="","",IF($B$4="Salary Points 3 to 57","-",IF(SUMIF(Grades!$A:$A,$B$4,Grades!$BP:$BP)=0,"-",IF(AND(OR($B$4="New Consultant Contract"),$B26&lt;&gt;""),$C26*Thresholds_Rates!$F$16,IF(AND(OR($B$4="Clinical Lecturer / Medical Research Fellow",$B$4="Clinical Consultant - Old Contract (GP)"),$B26&lt;&gt;""),$C26*Thresholds_Rates!$F$16,IF(AND(OR($B$4="APM Level 7",$B$4="R&amp;T Level 7"),E26&lt;&gt;""),$C26*Thresholds_Rates!$F$16,IF(SUMIF(Grades!$A:$A,$B$4,Grades!$BP:$BP)=1,$C26*Thresholds_Rates!$F$16,"")))))))</f>
        <v>-</v>
      </c>
      <c r="G26" s="25">
        <f ca="1">IF($B$4="Apprenticeship","-",IF(B26="","",IF(SUMIF(Grades!$A:$A,$B$4,Grades!$BQ:$BQ)=0,"-",IF(AND($B$4="Salary Points 3 to 57",B26&gt;Thresholds_Rates!$C$17),"-",IF(AND($B$4="Salary Points 3 to 57",B26&lt;=Thresholds_Rates!$C$17),$C26*Thresholds_Rates!$F$17,IF(AND(OR($B$4="New Consultant Contract"),$B26&lt;&gt;""),$C26*Thresholds_Rates!$F$17,IF(AND(OR($B$4="Clinical Lecturer / Medical Research Fellow",$B$4="Clinical Consultant - Old Contract (GP)"),$B26&lt;&gt;""),$C26*Thresholds_Rates!$F$17,IF(AND(OR($B$4="APM Level 7",$B$4="R&amp;T Level 7"),F26&lt;&gt;""),$C26*Thresholds_Rates!$F$17,IF(SUMIF(Grades!$A:$A,$B$4,Grades!$BQ:$BQ)=1,$C26*Thresholds_Rates!$F$17,"")))))))))</f>
        <v>9471.15</v>
      </c>
      <c r="H26" s="25">
        <f ca="1">IF($B26="","",ROUND(($C26-(Thresholds_Rates!$C$5*12))*Thresholds_Rates!$C$10,0))</f>
        <v>2225</v>
      </c>
      <c r="I26" s="25">
        <f ca="1">IF(B26="","",(C26*Thresholds_Rates!$C$12))</f>
        <v>121.425</v>
      </c>
      <c r="J26" s="25">
        <f ca="1">IF(B26="","",IF(AND($B$4="Salary Points 3 to 57",B26&gt;Thresholds_Rates!$C$17),"-",IF(SUMIF(Grades!$A:$A,$B$4,Grades!$BR:$BR)=0,"-",IF(AND($B$4="Salary Points 3 to 57",B26&lt;=Thresholds_Rates!$C$17),$C26*Thresholds_Rates!$F$18,IF(AND(OR($B$4="New Consultant Contract"),$B26&lt;&gt;""),$C26*Thresholds_Rates!$F$18,IF(AND(OR($B$4="Clinical Lecturer / Medical Research Fellow",$B$4="Clinical Consultant - Old Contract (GP)"),$B26&lt;&gt;""),$C26*Thresholds_Rates!$F$18,IF(AND(OR($B$4="APM Level 7",$B$4="R&amp;T Level 7"),H26&lt;&gt;""),$C26*Thresholds_Rates!$F$18,IF(SUMIF(Grades!$A:$A,$B$4,Grades!$BQ:$BQ)=1,$C26*Thresholds_Rates!$F$18,""))))))))</f>
        <v>2428.5</v>
      </c>
      <c r="K26" s="4"/>
      <c r="L26" s="25" t="str">
        <f t="shared" ca="1" si="0"/>
        <v>-</v>
      </c>
      <c r="M26" s="25" t="str">
        <f t="shared" ca="1" si="1"/>
        <v>-</v>
      </c>
      <c r="N26" s="25">
        <f t="shared" ca="1" si="2"/>
        <v>36102.575000000004</v>
      </c>
      <c r="O26" s="25">
        <f t="shared" ca="1" si="3"/>
        <v>29059.924999999999</v>
      </c>
      <c r="P26" s="25">
        <f t="shared" ca="1" si="4"/>
        <v>26631.424999999999</v>
      </c>
      <c r="R26" s="28" t="str">
        <f ca="1">IF(B26="","",IF($B$4="R&amp;T Level 5 - Clinical Lecturers (Vet School)",SUMIF(Points_Lookup!$P:$P,$B26,Points_Lookup!$Q:$Q),IF($B$4="R&amp;T Level 6 - Clinical Associate Professors and Clinical Readers (Vet School)",SUMIF(Points_Lookup!$W:$W,$B26,Points_Lookup!$X:$X),"")))</f>
        <v/>
      </c>
      <c r="S26" s="29" t="str">
        <f ca="1">IF(B26="","",IF($B$4="R&amp;T Level 5 - Clinical Lecturers (Vet School)",$C26-SUMIF(Points_Lookup!$P:$P,$B26,Points_Lookup!$R:$R),IF($B$4="R&amp;T Level 6 - Clinical Associate Professors and Clinical Readers (Vet School)",$C26-SUMIF(Points_Lookup!$W:$W,$B26,Points_Lookup!$Y:$Y),"")))</f>
        <v/>
      </c>
      <c r="T26" s="28" t="str">
        <f ca="1">IF(B26="","",IF($B$4="R&amp;T Level 5 - Clinical Lecturers (Vet School)",SUMIF(Points_Lookup!$P:$P,$B26,Points_Lookup!$T:$T),IF($B$4="R&amp;T Level 6 - Clinical Associate Professors and Clinical Readers (Vet School)",SUMIF(Points_Lookup!$W:$W,$B26,Points_Lookup!$AA:$AA),"")))</f>
        <v/>
      </c>
      <c r="U26" s="29" t="str">
        <f t="shared" ca="1" si="5"/>
        <v/>
      </c>
      <c r="Z26" s="26">
        <v>18</v>
      </c>
    </row>
    <row r="27" spans="2:26" x14ac:dyDescent="0.25">
      <c r="B27" s="4">
        <f ca="1">IFERROR(INDEX(Points_Lookup!$A:$A,MATCH($Z27,Points_Lookup!$AH:$AH,0)),"")</f>
        <v>21</v>
      </c>
      <c r="C27" s="25">
        <f ca="1">IF(B27="","",IF($B$4="Apprenticeship",SUMIF(Points_Lookup!$AD:$AD,B27,Points_Lookup!$AF:$AF),IF(AND(OR($B$4="New Consultant Contract"),$B27&lt;&gt;""),INDEX(Points_Lookup!$N:$N,MATCH($B27,Points_Lookup!$M:$M,0)),IF(AND(OR($B$4="Clinical Lecturer / Medical Research Fellow",$B$4="Clinical Consultant - Old Contract (GP)"),$B27&lt;&gt;""),INDEX(Points_Lookup!$K:$K,MATCH($B27,Points_Lookup!$J:$J,0)),IF(AND(OR($B$4="APM Level 7",$B$4="R&amp;T Level 7",$B$4="APM Level 8"),B27&lt;&gt;""),INDEX(Points_Lookup!$E:$E,MATCH($Z27,Points_Lookup!$AH:$AH,0)),IF($B$4="R&amp;T Level 5 - Clinical Lecturers (Vet School)",SUMIF(Points_Lookup!$P:$P,$B27,Points_Lookup!$S:$S),IF($B$4="R&amp;T Level 6 - Clinical Associate Professors and Clinical Readers (Vet School)",SUMIF(Points_Lookup!$W:$W,$B27,Points_Lookup!$Z:$Z),IFERROR(INDEX(Points_Lookup!$B:$B,MATCH($Z27,Points_Lookup!$AH:$AH,0)),""))))))))</f>
        <v>24983</v>
      </c>
      <c r="D27" s="40"/>
      <c r="E27" s="25" t="str">
        <f ca="1">IF($B27="","",IF(AND($B$4="Salary Points 3 to 57",B27&lt;Thresholds_Rates!$C$16),"-",IF(SUMIF(Grades!$A:$A,$B$4,Grades!$BO:$BO)=0,"-",IF(AND($B$4="Salary Points 3 to 57",B27&gt;=Thresholds_Rates!$C$16),$C27*Thresholds_Rates!$F$15,IF(AND(OR($B$4="New Consultant Contract"),$B27&lt;&gt;""),$C27*Thresholds_Rates!$F$15,IF(AND(OR($B$4="Clinical Lecturer / Medical Research Fellow",$B$4="Clinical Consultant - Old Contract (GP)"),$B27&lt;&gt;""),$C27*Thresholds_Rates!$F$15,IF(OR($B$4="APM Level 7",$B$4="R&amp;T Level 7"),$C27*Thresholds_Rates!$F$15,IF(SUMIF(Grades!$A:$A,$B$4,Grades!$BO:$BO)=1,$C27*Thresholds_Rates!$F$15,""))))))))</f>
        <v>-</v>
      </c>
      <c r="F27" s="25" t="str">
        <f ca="1">IF(B27="","",IF($B$4="Salary Points 3 to 57","-",IF(SUMIF(Grades!$A:$A,$B$4,Grades!$BP:$BP)=0,"-",IF(AND(OR($B$4="New Consultant Contract"),$B27&lt;&gt;""),$C27*Thresholds_Rates!$F$16,IF(AND(OR($B$4="Clinical Lecturer / Medical Research Fellow",$B$4="Clinical Consultant - Old Contract (GP)"),$B27&lt;&gt;""),$C27*Thresholds_Rates!$F$16,IF(AND(OR($B$4="APM Level 7",$B$4="R&amp;T Level 7"),E27&lt;&gt;""),$C27*Thresholds_Rates!$F$16,IF(SUMIF(Grades!$A:$A,$B$4,Grades!$BP:$BP)=1,$C27*Thresholds_Rates!$F$16,"")))))))</f>
        <v>-</v>
      </c>
      <c r="G27" s="25">
        <f ca="1">IF($B$4="Apprenticeship","-",IF(B27="","",IF(SUMIF(Grades!$A:$A,$B$4,Grades!$BQ:$BQ)=0,"-",IF(AND($B$4="Salary Points 3 to 57",B27&gt;Thresholds_Rates!$C$17),"-",IF(AND($B$4="Salary Points 3 to 57",B27&lt;=Thresholds_Rates!$C$17),$C27*Thresholds_Rates!$F$17,IF(AND(OR($B$4="New Consultant Contract"),$B27&lt;&gt;""),$C27*Thresholds_Rates!$F$17,IF(AND(OR($B$4="Clinical Lecturer / Medical Research Fellow",$B$4="Clinical Consultant - Old Contract (GP)"),$B27&lt;&gt;""),$C27*Thresholds_Rates!$F$17,IF(AND(OR($B$4="APM Level 7",$B$4="R&amp;T Level 7"),F27&lt;&gt;""),$C27*Thresholds_Rates!$F$17,IF(SUMIF(Grades!$A:$A,$B$4,Grades!$BQ:$BQ)=1,$C27*Thresholds_Rates!$F$17,"")))))))))</f>
        <v>9743.3700000000008</v>
      </c>
      <c r="H27" s="25">
        <f ca="1">IF($B27="","",ROUND(($C27-(Thresholds_Rates!$C$5*12))*Thresholds_Rates!$C$10,0))</f>
        <v>2322</v>
      </c>
      <c r="I27" s="25">
        <f ca="1">IF(B27="","",(C27*Thresholds_Rates!$C$12))</f>
        <v>124.91500000000001</v>
      </c>
      <c r="J27" s="25">
        <f ca="1">IF(B27="","",IF(AND($B$4="Salary Points 3 to 57",B27&gt;Thresholds_Rates!$C$17),"-",IF(SUMIF(Grades!$A:$A,$B$4,Grades!$BR:$BR)=0,"-",IF(AND($B$4="Salary Points 3 to 57",B27&lt;=Thresholds_Rates!$C$17),$C27*Thresholds_Rates!$F$18,IF(AND(OR($B$4="New Consultant Contract"),$B27&lt;&gt;""),$C27*Thresholds_Rates!$F$18,IF(AND(OR($B$4="Clinical Lecturer / Medical Research Fellow",$B$4="Clinical Consultant - Old Contract (GP)"),$B27&lt;&gt;""),$C27*Thresholds_Rates!$F$18,IF(AND(OR($B$4="APM Level 7",$B$4="R&amp;T Level 7"),H27&lt;&gt;""),$C27*Thresholds_Rates!$F$18,IF(SUMIF(Grades!$A:$A,$B$4,Grades!$BQ:$BQ)=1,$C27*Thresholds_Rates!$F$18,""))))))))</f>
        <v>2498.3000000000002</v>
      </c>
      <c r="K27" s="4"/>
      <c r="L27" s="25" t="str">
        <f t="shared" ca="1" si="0"/>
        <v>-</v>
      </c>
      <c r="M27" s="25" t="str">
        <f t="shared" ca="1" si="1"/>
        <v>-</v>
      </c>
      <c r="N27" s="25">
        <f t="shared" ca="1" si="2"/>
        <v>37173.285000000003</v>
      </c>
      <c r="O27" s="25">
        <f t="shared" ca="1" si="3"/>
        <v>29928.215</v>
      </c>
      <c r="P27" s="25">
        <f t="shared" ca="1" si="4"/>
        <v>27429.915000000001</v>
      </c>
      <c r="R27" s="28" t="str">
        <f ca="1">IF(B27="","",IF($B$4="R&amp;T Level 5 - Clinical Lecturers (Vet School)",SUMIF(Points_Lookup!$P:$P,$B27,Points_Lookup!$Q:$Q),IF($B$4="R&amp;T Level 6 - Clinical Associate Professors and Clinical Readers (Vet School)",SUMIF(Points_Lookup!$W:$W,$B27,Points_Lookup!$X:$X),"")))</f>
        <v/>
      </c>
      <c r="S27" s="29" t="str">
        <f ca="1">IF(B27="","",IF($B$4="R&amp;T Level 5 - Clinical Lecturers (Vet School)",$C27-SUMIF(Points_Lookup!$P:$P,$B27,Points_Lookup!$R:$R),IF($B$4="R&amp;T Level 6 - Clinical Associate Professors and Clinical Readers (Vet School)",$C27-SUMIF(Points_Lookup!$W:$W,$B27,Points_Lookup!$Y:$Y),"")))</f>
        <v/>
      </c>
      <c r="T27" s="28" t="str">
        <f ca="1">IF(B27="","",IF($B$4="R&amp;T Level 5 - Clinical Lecturers (Vet School)",SUMIF(Points_Lookup!$P:$P,$B27,Points_Lookup!$T:$T),IF($B$4="R&amp;T Level 6 - Clinical Associate Professors and Clinical Readers (Vet School)",SUMIF(Points_Lookup!$W:$W,$B27,Points_Lookup!$AA:$AA),"")))</f>
        <v/>
      </c>
      <c r="U27" s="29" t="str">
        <f t="shared" ca="1" si="5"/>
        <v/>
      </c>
      <c r="Z27" s="26">
        <v>19</v>
      </c>
    </row>
    <row r="28" spans="2:26" x14ac:dyDescent="0.25">
      <c r="B28" s="4">
        <f ca="1">IFERROR(INDEX(Points_Lookup!$A:$A,MATCH($Z28,Points_Lookup!$AH:$AH,0)),"")</f>
        <v>22</v>
      </c>
      <c r="C28" s="25">
        <f ca="1">IF(B28="","",IF($B$4="Apprenticeship",SUMIF(Points_Lookup!$AD:$AD,B28,Points_Lookup!$AF:$AF),IF(AND(OR($B$4="New Consultant Contract"),$B28&lt;&gt;""),INDEX(Points_Lookup!$N:$N,MATCH($B28,Points_Lookup!$M:$M,0)),IF(AND(OR($B$4="Clinical Lecturer / Medical Research Fellow",$B$4="Clinical Consultant - Old Contract (GP)"),$B28&lt;&gt;""),INDEX(Points_Lookup!$K:$K,MATCH($B28,Points_Lookup!$J:$J,0)),IF(AND(OR($B$4="APM Level 7",$B$4="R&amp;T Level 7",$B$4="APM Level 8"),B28&lt;&gt;""),INDEX(Points_Lookup!$E:$E,MATCH($Z28,Points_Lookup!$AH:$AH,0)),IF($B$4="R&amp;T Level 5 - Clinical Lecturers (Vet School)",SUMIF(Points_Lookup!$P:$P,$B28,Points_Lookup!$S:$S),IF($B$4="R&amp;T Level 6 - Clinical Associate Professors and Clinical Readers (Vet School)",SUMIF(Points_Lookup!$W:$W,$B28,Points_Lookup!$Z:$Z),IFERROR(INDEX(Points_Lookup!$B:$B,MATCH($Z28,Points_Lookup!$AH:$AH,0)),""))))))))</f>
        <v>25728</v>
      </c>
      <c r="D28" s="40"/>
      <c r="E28" s="25" t="str">
        <f ca="1">IF($B28="","",IF(AND($B$4="Salary Points 3 to 57",B28&lt;Thresholds_Rates!$C$16),"-",IF(SUMIF(Grades!$A:$A,$B$4,Grades!$BO:$BO)=0,"-",IF(AND($B$4="Salary Points 3 to 57",B28&gt;=Thresholds_Rates!$C$16),$C28*Thresholds_Rates!$F$15,IF(AND(OR($B$4="New Consultant Contract"),$B28&lt;&gt;""),$C28*Thresholds_Rates!$F$15,IF(AND(OR($B$4="Clinical Lecturer / Medical Research Fellow",$B$4="Clinical Consultant - Old Contract (GP)"),$B28&lt;&gt;""),$C28*Thresholds_Rates!$F$15,IF(OR($B$4="APM Level 7",$B$4="R&amp;T Level 7"),$C28*Thresholds_Rates!$F$15,IF(SUMIF(Grades!$A:$A,$B$4,Grades!$BO:$BO)=1,$C28*Thresholds_Rates!$F$15,""))))))))</f>
        <v>-</v>
      </c>
      <c r="F28" s="25" t="str">
        <f ca="1">IF(B28="","",IF($B$4="Salary Points 3 to 57","-",IF(SUMIF(Grades!$A:$A,$B$4,Grades!$BP:$BP)=0,"-",IF(AND(OR($B$4="New Consultant Contract"),$B28&lt;&gt;""),$C28*Thresholds_Rates!$F$16,IF(AND(OR($B$4="Clinical Lecturer / Medical Research Fellow",$B$4="Clinical Consultant - Old Contract (GP)"),$B28&lt;&gt;""),$C28*Thresholds_Rates!$F$16,IF(AND(OR($B$4="APM Level 7",$B$4="R&amp;T Level 7"),E28&lt;&gt;""),$C28*Thresholds_Rates!$F$16,IF(SUMIF(Grades!$A:$A,$B$4,Grades!$BP:$BP)=1,$C28*Thresholds_Rates!$F$16,"")))))))</f>
        <v>-</v>
      </c>
      <c r="G28" s="25">
        <f ca="1">IF($B$4="Apprenticeship","-",IF(B28="","",IF(SUMIF(Grades!$A:$A,$B$4,Grades!$BQ:$BQ)=0,"-",IF(AND($B$4="Salary Points 3 to 57",B28&gt;Thresholds_Rates!$C$17),"-",IF(AND($B$4="Salary Points 3 to 57",B28&lt;=Thresholds_Rates!$C$17),$C28*Thresholds_Rates!$F$17,IF(AND(OR($B$4="New Consultant Contract"),$B28&lt;&gt;""),$C28*Thresholds_Rates!$F$17,IF(AND(OR($B$4="Clinical Lecturer / Medical Research Fellow",$B$4="Clinical Consultant - Old Contract (GP)"),$B28&lt;&gt;""),$C28*Thresholds_Rates!$F$17,IF(AND(OR($B$4="APM Level 7",$B$4="R&amp;T Level 7"),F28&lt;&gt;""),$C28*Thresholds_Rates!$F$17,IF(SUMIF(Grades!$A:$A,$B$4,Grades!$BQ:$BQ)=1,$C28*Thresholds_Rates!$F$17,"")))))))))</f>
        <v>10033.92</v>
      </c>
      <c r="H28" s="25">
        <f ca="1">IF($B28="","",ROUND(($C28-(Thresholds_Rates!$C$5*12))*Thresholds_Rates!$C$10,0))</f>
        <v>2424</v>
      </c>
      <c r="I28" s="25">
        <f ca="1">IF(B28="","",(C28*Thresholds_Rates!$C$12))</f>
        <v>128.64000000000001</v>
      </c>
      <c r="J28" s="25">
        <f ca="1">IF(B28="","",IF(AND($B$4="Salary Points 3 to 57",B28&gt;Thresholds_Rates!$C$17),"-",IF(SUMIF(Grades!$A:$A,$B$4,Grades!$BR:$BR)=0,"-",IF(AND($B$4="Salary Points 3 to 57",B28&lt;=Thresholds_Rates!$C$17),$C28*Thresholds_Rates!$F$18,IF(AND(OR($B$4="New Consultant Contract"),$B28&lt;&gt;""),$C28*Thresholds_Rates!$F$18,IF(AND(OR($B$4="Clinical Lecturer / Medical Research Fellow",$B$4="Clinical Consultant - Old Contract (GP)"),$B28&lt;&gt;""),$C28*Thresholds_Rates!$F$18,IF(AND(OR($B$4="APM Level 7",$B$4="R&amp;T Level 7"),H28&lt;&gt;""),$C28*Thresholds_Rates!$F$18,IF(SUMIF(Grades!$A:$A,$B$4,Grades!$BQ:$BQ)=1,$C28*Thresholds_Rates!$F$18,""))))))))</f>
        <v>2572.8000000000002</v>
      </c>
      <c r="K28" s="4"/>
      <c r="L28" s="25" t="str">
        <f t="shared" ca="1" si="0"/>
        <v>-</v>
      </c>
      <c r="M28" s="25" t="str">
        <f t="shared" ca="1" si="1"/>
        <v>-</v>
      </c>
      <c r="N28" s="25">
        <f t="shared" ca="1" si="2"/>
        <v>38314.559999999998</v>
      </c>
      <c r="O28" s="25">
        <f t="shared" ca="1" si="3"/>
        <v>30853.439999999999</v>
      </c>
      <c r="P28" s="25">
        <f t="shared" ca="1" si="4"/>
        <v>28280.639999999999</v>
      </c>
      <c r="R28" s="28" t="str">
        <f ca="1">IF(B28="","",IF($B$4="R&amp;T Level 5 - Clinical Lecturers (Vet School)",SUMIF(Points_Lookup!$P:$P,$B28,Points_Lookup!$Q:$Q),IF($B$4="R&amp;T Level 6 - Clinical Associate Professors and Clinical Readers (Vet School)",SUMIF(Points_Lookup!$W:$W,$B28,Points_Lookup!$X:$X),"")))</f>
        <v/>
      </c>
      <c r="S28" s="29" t="str">
        <f ca="1">IF(B28="","",IF($B$4="R&amp;T Level 5 - Clinical Lecturers (Vet School)",$C28-SUMIF(Points_Lookup!$P:$P,$B28,Points_Lookup!$R:$R),IF($B$4="R&amp;T Level 6 - Clinical Associate Professors and Clinical Readers (Vet School)",$C28-SUMIF(Points_Lookup!$W:$W,$B28,Points_Lookup!$Y:$Y),"")))</f>
        <v/>
      </c>
      <c r="T28" s="28" t="str">
        <f ca="1">IF(B28="","",IF($B$4="R&amp;T Level 5 - Clinical Lecturers (Vet School)",SUMIF(Points_Lookup!$P:$P,$B28,Points_Lookup!$T:$T),IF($B$4="R&amp;T Level 6 - Clinical Associate Professors and Clinical Readers (Vet School)",SUMIF(Points_Lookup!$W:$W,$B28,Points_Lookup!$AA:$AA),"")))</f>
        <v/>
      </c>
      <c r="U28" s="29" t="str">
        <f t="shared" ca="1" si="5"/>
        <v/>
      </c>
      <c r="Z28" s="26">
        <v>20</v>
      </c>
    </row>
    <row r="29" spans="2:26" x14ac:dyDescent="0.25">
      <c r="B29" s="4">
        <f ca="1">IFERROR(INDEX(Points_Lookup!$A:$A,MATCH($Z29,Points_Lookup!$AH:$AH,0)),"")</f>
        <v>23</v>
      </c>
      <c r="C29" s="25">
        <f ca="1">IF(B29="","",IF($B$4="Apprenticeship",SUMIF(Points_Lookup!$AD:$AD,B29,Points_Lookup!$AF:$AF),IF(AND(OR($B$4="New Consultant Contract"),$B29&lt;&gt;""),INDEX(Points_Lookup!$N:$N,MATCH($B29,Points_Lookup!$M:$M,0)),IF(AND(OR($B$4="Clinical Lecturer / Medical Research Fellow",$B$4="Clinical Consultant - Old Contract (GP)"),$B29&lt;&gt;""),INDEX(Points_Lookup!$K:$K,MATCH($B29,Points_Lookup!$J:$J,0)),IF(AND(OR($B$4="APM Level 7",$B$4="R&amp;T Level 7",$B$4="APM Level 8"),B29&lt;&gt;""),INDEX(Points_Lookup!$E:$E,MATCH($Z29,Points_Lookup!$AH:$AH,0)),IF($B$4="R&amp;T Level 5 - Clinical Lecturers (Vet School)",SUMIF(Points_Lookup!$P:$P,$B29,Points_Lookup!$S:$S),IF($B$4="R&amp;T Level 6 - Clinical Associate Professors and Clinical Readers (Vet School)",SUMIF(Points_Lookup!$W:$W,$B29,Points_Lookup!$Z:$Z),IFERROR(INDEX(Points_Lookup!$B:$B,MATCH($Z29,Points_Lookup!$AH:$AH,0)),""))))))))</f>
        <v>26495</v>
      </c>
      <c r="D29" s="40"/>
      <c r="E29" s="25">
        <f ca="1">IF($B29="","",IF(AND($B$4="Salary Points 3 to 57",B29&lt;Thresholds_Rates!$C$16),"-",IF(SUMIF(Grades!$A:$A,$B$4,Grades!$BO:$BO)=0,"-",IF(AND($B$4="Salary Points 3 to 57",B29&gt;=Thresholds_Rates!$C$16),$C29*Thresholds_Rates!$F$15,IF(AND(OR($B$4="New Consultant Contract"),$B29&lt;&gt;""),$C29*Thresholds_Rates!$F$15,IF(AND(OR($B$4="Clinical Lecturer / Medical Research Fellow",$B$4="Clinical Consultant - Old Contract (GP)"),$B29&lt;&gt;""),$C29*Thresholds_Rates!$F$15,IF(OR($B$4="APM Level 7",$B$4="R&amp;T Level 7"),$C29*Thresholds_Rates!$F$15,IF(SUMIF(Grades!$A:$A,$B$4,Grades!$BO:$BO)=1,$C29*Thresholds_Rates!$F$15,""))))))))</f>
        <v>4769.0999999999995</v>
      </c>
      <c r="F29" s="25" t="str">
        <f ca="1">IF(B29="","",IF($B$4="Salary Points 3 to 57","-",IF(SUMIF(Grades!$A:$A,$B$4,Grades!$BP:$BP)=0,"-",IF(AND(OR($B$4="New Consultant Contract"),$B29&lt;&gt;""),$C29*Thresholds_Rates!$F$16,IF(AND(OR($B$4="Clinical Lecturer / Medical Research Fellow",$B$4="Clinical Consultant - Old Contract (GP)"),$B29&lt;&gt;""),$C29*Thresholds_Rates!$F$16,IF(AND(OR($B$4="APM Level 7",$B$4="R&amp;T Level 7"),E29&lt;&gt;""),$C29*Thresholds_Rates!$F$16,IF(SUMIF(Grades!$A:$A,$B$4,Grades!$BP:$BP)=1,$C29*Thresholds_Rates!$F$16,"")))))))</f>
        <v>-</v>
      </c>
      <c r="G29" s="25">
        <f ca="1">IF($B$4="Apprenticeship","-",IF(B29="","",IF(SUMIF(Grades!$A:$A,$B$4,Grades!$BQ:$BQ)=0,"-",IF(AND($B$4="Salary Points 3 to 57",B29&gt;Thresholds_Rates!$C$17),"-",IF(AND($B$4="Salary Points 3 to 57",B29&lt;=Thresholds_Rates!$C$17),$C29*Thresholds_Rates!$F$17,IF(AND(OR($B$4="New Consultant Contract"),$B29&lt;&gt;""),$C29*Thresholds_Rates!$F$17,IF(AND(OR($B$4="Clinical Lecturer / Medical Research Fellow",$B$4="Clinical Consultant - Old Contract (GP)"),$B29&lt;&gt;""),$C29*Thresholds_Rates!$F$17,IF(AND(OR($B$4="APM Level 7",$B$4="R&amp;T Level 7"),F29&lt;&gt;""),$C29*Thresholds_Rates!$F$17,IF(SUMIF(Grades!$A:$A,$B$4,Grades!$BQ:$BQ)=1,$C29*Thresholds_Rates!$F$17,"")))))))))</f>
        <v>10333.050000000001</v>
      </c>
      <c r="H29" s="25">
        <f ca="1">IF($B29="","",ROUND(($C29-(Thresholds_Rates!$C$5*12))*Thresholds_Rates!$C$10,0))</f>
        <v>2530</v>
      </c>
      <c r="I29" s="25">
        <f ca="1">IF(B29="","",(C29*Thresholds_Rates!$C$12))</f>
        <v>132.47499999999999</v>
      </c>
      <c r="J29" s="25">
        <f ca="1">IF(B29="","",IF(AND($B$4="Salary Points 3 to 57",B29&gt;Thresholds_Rates!$C$17),"-",IF(SUMIF(Grades!$A:$A,$B$4,Grades!$BR:$BR)=0,"-",IF(AND($B$4="Salary Points 3 to 57",B29&lt;=Thresholds_Rates!$C$17),$C29*Thresholds_Rates!$F$18,IF(AND(OR($B$4="New Consultant Contract"),$B29&lt;&gt;""),$C29*Thresholds_Rates!$F$18,IF(AND(OR($B$4="Clinical Lecturer / Medical Research Fellow",$B$4="Clinical Consultant - Old Contract (GP)"),$B29&lt;&gt;""),$C29*Thresholds_Rates!$F$18,IF(AND(OR($B$4="APM Level 7",$B$4="R&amp;T Level 7"),H29&lt;&gt;""),$C29*Thresholds_Rates!$F$18,IF(SUMIF(Grades!$A:$A,$B$4,Grades!$BQ:$BQ)=1,$C29*Thresholds_Rates!$F$18,""))))))))</f>
        <v>2649.5</v>
      </c>
      <c r="K29" s="4"/>
      <c r="L29" s="25">
        <f t="shared" ca="1" si="0"/>
        <v>33926.574999999997</v>
      </c>
      <c r="M29" s="25" t="str">
        <f t="shared" ca="1" si="1"/>
        <v>-</v>
      </c>
      <c r="N29" s="25">
        <f t="shared" ca="1" si="2"/>
        <v>39490.525000000001</v>
      </c>
      <c r="O29" s="25">
        <f t="shared" ca="1" si="3"/>
        <v>31806.974999999999</v>
      </c>
      <c r="P29" s="25">
        <f t="shared" ca="1" si="4"/>
        <v>29157.474999999999</v>
      </c>
      <c r="R29" s="28" t="str">
        <f ca="1">IF(B29="","",IF($B$4="R&amp;T Level 5 - Clinical Lecturers (Vet School)",SUMIF(Points_Lookup!$P:$P,$B29,Points_Lookup!$Q:$Q),IF($B$4="R&amp;T Level 6 - Clinical Associate Professors and Clinical Readers (Vet School)",SUMIF(Points_Lookup!$W:$W,$B29,Points_Lookup!$X:$X),"")))</f>
        <v/>
      </c>
      <c r="S29" s="29" t="str">
        <f ca="1">IF(B29="","",IF($B$4="R&amp;T Level 5 - Clinical Lecturers (Vet School)",$C29-SUMIF(Points_Lookup!$P:$P,$B29,Points_Lookup!$R:$R),IF($B$4="R&amp;T Level 6 - Clinical Associate Professors and Clinical Readers (Vet School)",$C29-SUMIF(Points_Lookup!$W:$W,$B29,Points_Lookup!$Y:$Y),"")))</f>
        <v/>
      </c>
      <c r="T29" s="28" t="str">
        <f ca="1">IF(B29="","",IF($B$4="R&amp;T Level 5 - Clinical Lecturers (Vet School)",SUMIF(Points_Lookup!$P:$P,$B29,Points_Lookup!$T:$T),IF($B$4="R&amp;T Level 6 - Clinical Associate Professors and Clinical Readers (Vet School)",SUMIF(Points_Lookup!$W:$W,$B29,Points_Lookup!$AA:$AA),"")))</f>
        <v/>
      </c>
      <c r="U29" s="29" t="str">
        <f t="shared" ca="1" si="5"/>
        <v/>
      </c>
      <c r="Z29" s="26">
        <v>21</v>
      </c>
    </row>
    <row r="30" spans="2:26" x14ac:dyDescent="0.25">
      <c r="B30" s="4">
        <f ca="1">IFERROR(INDEX(Points_Lookup!$A:$A,MATCH($Z30,Points_Lookup!$AH:$AH,0)),"")</f>
        <v>24</v>
      </c>
      <c r="C30" s="25">
        <f ca="1">IF(B30="","",IF($B$4="Apprenticeship",SUMIF(Points_Lookup!$AD:$AD,B30,Points_Lookup!$AF:$AF),IF(AND(OR($B$4="New Consultant Contract"),$B30&lt;&gt;""),INDEX(Points_Lookup!$N:$N,MATCH($B30,Points_Lookup!$M:$M,0)),IF(AND(OR($B$4="Clinical Lecturer / Medical Research Fellow",$B$4="Clinical Consultant - Old Contract (GP)"),$B30&lt;&gt;""),INDEX(Points_Lookup!$K:$K,MATCH($B30,Points_Lookup!$J:$J,0)),IF(AND(OR($B$4="APM Level 7",$B$4="R&amp;T Level 7",$B$4="APM Level 8"),B30&lt;&gt;""),INDEX(Points_Lookup!$E:$E,MATCH($Z30,Points_Lookup!$AH:$AH,0)),IF($B$4="R&amp;T Level 5 - Clinical Lecturers (Vet School)",SUMIF(Points_Lookup!$P:$P,$B30,Points_Lookup!$S:$S),IF($B$4="R&amp;T Level 6 - Clinical Associate Professors and Clinical Readers (Vet School)",SUMIF(Points_Lookup!$W:$W,$B30,Points_Lookup!$Z:$Z),IFERROR(INDEX(Points_Lookup!$B:$B,MATCH($Z30,Points_Lookup!$AH:$AH,0)),""))))))))</f>
        <v>27285</v>
      </c>
      <c r="D30" s="40"/>
      <c r="E30" s="25">
        <f ca="1">IF($B30="","",IF(AND($B$4="Salary Points 3 to 57",B30&lt;Thresholds_Rates!$C$16),"-",IF(SUMIF(Grades!$A:$A,$B$4,Grades!$BO:$BO)=0,"-",IF(AND($B$4="Salary Points 3 to 57",B30&gt;=Thresholds_Rates!$C$16),$C30*Thresholds_Rates!$F$15,IF(AND(OR($B$4="New Consultant Contract"),$B30&lt;&gt;""),$C30*Thresholds_Rates!$F$15,IF(AND(OR($B$4="Clinical Lecturer / Medical Research Fellow",$B$4="Clinical Consultant - Old Contract (GP)"),$B30&lt;&gt;""),$C30*Thresholds_Rates!$F$15,IF(OR($B$4="APM Level 7",$B$4="R&amp;T Level 7"),$C30*Thresholds_Rates!$F$15,IF(SUMIF(Grades!$A:$A,$B$4,Grades!$BO:$BO)=1,$C30*Thresholds_Rates!$F$15,""))))))))</f>
        <v>4911.3</v>
      </c>
      <c r="F30" s="25" t="str">
        <f ca="1">IF(B30="","",IF($B$4="Salary Points 3 to 57","-",IF(SUMIF(Grades!$A:$A,$B$4,Grades!$BP:$BP)=0,"-",IF(AND(OR($B$4="New Consultant Contract"),$B30&lt;&gt;""),$C30*Thresholds_Rates!$F$16,IF(AND(OR($B$4="Clinical Lecturer / Medical Research Fellow",$B$4="Clinical Consultant - Old Contract (GP)"),$B30&lt;&gt;""),$C30*Thresholds_Rates!$F$16,IF(AND(OR($B$4="APM Level 7",$B$4="R&amp;T Level 7"),E30&lt;&gt;""),$C30*Thresholds_Rates!$F$16,IF(SUMIF(Grades!$A:$A,$B$4,Grades!$BP:$BP)=1,$C30*Thresholds_Rates!$F$16,"")))))))</f>
        <v>-</v>
      </c>
      <c r="G30" s="25">
        <f ca="1">IF($B$4="Apprenticeship","-",IF(B30="","",IF(SUMIF(Grades!$A:$A,$B$4,Grades!$BQ:$BQ)=0,"-",IF(AND($B$4="Salary Points 3 to 57",B30&gt;Thresholds_Rates!$C$17),"-",IF(AND($B$4="Salary Points 3 to 57",B30&lt;=Thresholds_Rates!$C$17),$C30*Thresholds_Rates!$F$17,IF(AND(OR($B$4="New Consultant Contract"),$B30&lt;&gt;""),$C30*Thresholds_Rates!$F$17,IF(AND(OR($B$4="Clinical Lecturer / Medical Research Fellow",$B$4="Clinical Consultant - Old Contract (GP)"),$B30&lt;&gt;""),$C30*Thresholds_Rates!$F$17,IF(AND(OR($B$4="APM Level 7",$B$4="R&amp;T Level 7"),F30&lt;&gt;""),$C30*Thresholds_Rates!$F$17,IF(SUMIF(Grades!$A:$A,$B$4,Grades!$BQ:$BQ)=1,$C30*Thresholds_Rates!$F$17,"")))))))))</f>
        <v>10641.15</v>
      </c>
      <c r="H30" s="25">
        <f ca="1">IF($B30="","",ROUND(($C30-(Thresholds_Rates!$C$5*12))*Thresholds_Rates!$C$10,0))</f>
        <v>2639</v>
      </c>
      <c r="I30" s="25">
        <f ca="1">IF(B30="","",(C30*Thresholds_Rates!$C$12))</f>
        <v>136.42500000000001</v>
      </c>
      <c r="J30" s="25">
        <f ca="1">IF(B30="","",IF(AND($B$4="Salary Points 3 to 57",B30&gt;Thresholds_Rates!$C$17),"-",IF(SUMIF(Grades!$A:$A,$B$4,Grades!$BR:$BR)=0,"-",IF(AND($B$4="Salary Points 3 to 57",B30&lt;=Thresholds_Rates!$C$17),$C30*Thresholds_Rates!$F$18,IF(AND(OR($B$4="New Consultant Contract"),$B30&lt;&gt;""),$C30*Thresholds_Rates!$F$18,IF(AND(OR($B$4="Clinical Lecturer / Medical Research Fellow",$B$4="Clinical Consultant - Old Contract (GP)"),$B30&lt;&gt;""),$C30*Thresholds_Rates!$F$18,IF(AND(OR($B$4="APM Level 7",$B$4="R&amp;T Level 7"),H30&lt;&gt;""),$C30*Thresholds_Rates!$F$18,IF(SUMIF(Grades!$A:$A,$B$4,Grades!$BQ:$BQ)=1,$C30*Thresholds_Rates!$F$18,""))))))))</f>
        <v>2728.5</v>
      </c>
      <c r="K30" s="4"/>
      <c r="L30" s="25">
        <f t="shared" ca="1" si="0"/>
        <v>34971.725000000006</v>
      </c>
      <c r="M30" s="25" t="str">
        <f t="shared" ca="1" si="1"/>
        <v>-</v>
      </c>
      <c r="N30" s="25">
        <f t="shared" ca="1" si="2"/>
        <v>40701.575000000004</v>
      </c>
      <c r="O30" s="25">
        <f t="shared" ca="1" si="3"/>
        <v>32788.925000000003</v>
      </c>
      <c r="P30" s="25">
        <f t="shared" ca="1" si="4"/>
        <v>30060.424999999999</v>
      </c>
      <c r="R30" s="28" t="str">
        <f ca="1">IF(B30="","",IF($B$4="R&amp;T Level 5 - Clinical Lecturers (Vet School)",SUMIF(Points_Lookup!$P:$P,$B30,Points_Lookup!$Q:$Q),IF($B$4="R&amp;T Level 6 - Clinical Associate Professors and Clinical Readers (Vet School)",SUMIF(Points_Lookup!$W:$W,$B30,Points_Lookup!$X:$X),"")))</f>
        <v/>
      </c>
      <c r="S30" s="29" t="str">
        <f ca="1">IF(B30="","",IF($B$4="R&amp;T Level 5 - Clinical Lecturers (Vet School)",$C30-SUMIF(Points_Lookup!$P:$P,$B30,Points_Lookup!$R:$R),IF($B$4="R&amp;T Level 6 - Clinical Associate Professors and Clinical Readers (Vet School)",$C30-SUMIF(Points_Lookup!$W:$W,$B30,Points_Lookup!$Y:$Y),"")))</f>
        <v/>
      </c>
      <c r="T30" s="28" t="str">
        <f ca="1">IF(B30="","",IF($B$4="R&amp;T Level 5 - Clinical Lecturers (Vet School)",SUMIF(Points_Lookup!$P:$P,$B30,Points_Lookup!$T:$T),IF($B$4="R&amp;T Level 6 - Clinical Associate Professors and Clinical Readers (Vet School)",SUMIF(Points_Lookup!$W:$W,$B30,Points_Lookup!$AA:$AA),"")))</f>
        <v/>
      </c>
      <c r="U30" s="29" t="str">
        <f t="shared" ca="1" si="5"/>
        <v/>
      </c>
      <c r="Z30" s="26">
        <v>22</v>
      </c>
    </row>
    <row r="31" spans="2:26" x14ac:dyDescent="0.25">
      <c r="B31" s="4">
        <f ca="1">IFERROR(INDEX(Points_Lookup!$A:$A,MATCH($Z31,Points_Lookup!$AH:$AH,0)),"")</f>
        <v>25</v>
      </c>
      <c r="C31" s="25">
        <f ca="1">IF(B31="","",IF($B$4="Apprenticeship",SUMIF(Points_Lookup!$AD:$AD,B31,Points_Lookup!$AF:$AF),IF(AND(OR($B$4="New Consultant Contract"),$B31&lt;&gt;""),INDEX(Points_Lookup!$N:$N,MATCH($B31,Points_Lookup!$M:$M,0)),IF(AND(OR($B$4="Clinical Lecturer / Medical Research Fellow",$B$4="Clinical Consultant - Old Contract (GP)"),$B31&lt;&gt;""),INDEX(Points_Lookup!$K:$K,MATCH($B31,Points_Lookup!$J:$J,0)),IF(AND(OR($B$4="APM Level 7",$B$4="R&amp;T Level 7",$B$4="APM Level 8"),B31&lt;&gt;""),INDEX(Points_Lookup!$E:$E,MATCH($Z31,Points_Lookup!$AH:$AH,0)),IF($B$4="R&amp;T Level 5 - Clinical Lecturers (Vet School)",SUMIF(Points_Lookup!$P:$P,$B31,Points_Lookup!$S:$S),IF($B$4="R&amp;T Level 6 - Clinical Associate Professors and Clinical Readers (Vet School)",SUMIF(Points_Lookup!$W:$W,$B31,Points_Lookup!$Z:$Z),IFERROR(INDEX(Points_Lookup!$B:$B,MATCH($Z31,Points_Lookup!$AH:$AH,0)),""))))))))</f>
        <v>28098</v>
      </c>
      <c r="D31" s="40"/>
      <c r="E31" s="25">
        <f ca="1">IF($B31="","",IF(AND($B$4="Salary Points 3 to 57",B31&lt;Thresholds_Rates!$C$16),"-",IF(SUMIF(Grades!$A:$A,$B$4,Grades!$BO:$BO)=0,"-",IF(AND($B$4="Salary Points 3 to 57",B31&gt;=Thresholds_Rates!$C$16),$C31*Thresholds_Rates!$F$15,IF(AND(OR($B$4="New Consultant Contract"),$B31&lt;&gt;""),$C31*Thresholds_Rates!$F$15,IF(AND(OR($B$4="Clinical Lecturer / Medical Research Fellow",$B$4="Clinical Consultant - Old Contract (GP)"),$B31&lt;&gt;""),$C31*Thresholds_Rates!$F$15,IF(OR($B$4="APM Level 7",$B$4="R&amp;T Level 7"),$C31*Thresholds_Rates!$F$15,IF(SUMIF(Grades!$A:$A,$B$4,Grades!$BO:$BO)=1,$C31*Thresholds_Rates!$F$15,""))))))))</f>
        <v>5057.6399999999994</v>
      </c>
      <c r="F31" s="25" t="str">
        <f ca="1">IF(B31="","",IF($B$4="Salary Points 3 to 57","-",IF(SUMIF(Grades!$A:$A,$B$4,Grades!$BP:$BP)=0,"-",IF(AND(OR($B$4="New Consultant Contract"),$B31&lt;&gt;""),$C31*Thresholds_Rates!$F$16,IF(AND(OR($B$4="Clinical Lecturer / Medical Research Fellow",$B$4="Clinical Consultant - Old Contract (GP)"),$B31&lt;&gt;""),$C31*Thresholds_Rates!$F$16,IF(AND(OR($B$4="APM Level 7",$B$4="R&amp;T Level 7"),E31&lt;&gt;""),$C31*Thresholds_Rates!$F$16,IF(SUMIF(Grades!$A:$A,$B$4,Grades!$BP:$BP)=1,$C31*Thresholds_Rates!$F$16,"")))))))</f>
        <v>-</v>
      </c>
      <c r="G31" s="25">
        <f ca="1">IF($B$4="Apprenticeship","-",IF(B31="","",IF(SUMIF(Grades!$A:$A,$B$4,Grades!$BQ:$BQ)=0,"-",IF(AND($B$4="Salary Points 3 to 57",B31&gt;Thresholds_Rates!$C$17),"-",IF(AND($B$4="Salary Points 3 to 57",B31&lt;=Thresholds_Rates!$C$17),$C31*Thresholds_Rates!$F$17,IF(AND(OR($B$4="New Consultant Contract"),$B31&lt;&gt;""),$C31*Thresholds_Rates!$F$17,IF(AND(OR($B$4="Clinical Lecturer / Medical Research Fellow",$B$4="Clinical Consultant - Old Contract (GP)"),$B31&lt;&gt;""),$C31*Thresholds_Rates!$F$17,IF(AND(OR($B$4="APM Level 7",$B$4="R&amp;T Level 7"),F31&lt;&gt;""),$C31*Thresholds_Rates!$F$17,IF(SUMIF(Grades!$A:$A,$B$4,Grades!$BQ:$BQ)=1,$C31*Thresholds_Rates!$F$17,"")))))))))</f>
        <v>10958.220000000001</v>
      </c>
      <c r="H31" s="25">
        <f ca="1">IF($B31="","",ROUND(($C31-(Thresholds_Rates!$C$5*12))*Thresholds_Rates!$C$10,0))</f>
        <v>2751</v>
      </c>
      <c r="I31" s="25">
        <f ca="1">IF(B31="","",(C31*Thresholds_Rates!$C$12))</f>
        <v>140.49</v>
      </c>
      <c r="J31" s="25">
        <f ca="1">IF(B31="","",IF(AND($B$4="Salary Points 3 to 57",B31&gt;Thresholds_Rates!$C$17),"-",IF(SUMIF(Grades!$A:$A,$B$4,Grades!$BR:$BR)=0,"-",IF(AND($B$4="Salary Points 3 to 57",B31&lt;=Thresholds_Rates!$C$17),$C31*Thresholds_Rates!$F$18,IF(AND(OR($B$4="New Consultant Contract"),$B31&lt;&gt;""),$C31*Thresholds_Rates!$F$18,IF(AND(OR($B$4="Clinical Lecturer / Medical Research Fellow",$B$4="Clinical Consultant - Old Contract (GP)"),$B31&lt;&gt;""),$C31*Thresholds_Rates!$F$18,IF(AND(OR($B$4="APM Level 7",$B$4="R&amp;T Level 7"),H31&lt;&gt;""),$C31*Thresholds_Rates!$F$18,IF(SUMIF(Grades!$A:$A,$B$4,Grades!$BQ:$BQ)=1,$C31*Thresholds_Rates!$F$18,""))))))))</f>
        <v>2809.8</v>
      </c>
      <c r="K31" s="4"/>
      <c r="L31" s="25">
        <f t="shared" ca="1" si="0"/>
        <v>36047.129999999997</v>
      </c>
      <c r="M31" s="25" t="str">
        <f t="shared" ca="1" si="1"/>
        <v>-</v>
      </c>
      <c r="N31" s="25">
        <f t="shared" ca="1" si="2"/>
        <v>41947.71</v>
      </c>
      <c r="O31" s="25">
        <f t="shared" ca="1" si="3"/>
        <v>33799.29</v>
      </c>
      <c r="P31" s="25">
        <f t="shared" ca="1" si="4"/>
        <v>30989.49</v>
      </c>
      <c r="R31" s="28" t="str">
        <f ca="1">IF(B31="","",IF($B$4="R&amp;T Level 5 - Clinical Lecturers (Vet School)",SUMIF(Points_Lookup!$P:$P,$B31,Points_Lookup!$Q:$Q),IF($B$4="R&amp;T Level 6 - Clinical Associate Professors and Clinical Readers (Vet School)",SUMIF(Points_Lookup!$W:$W,$B31,Points_Lookup!$X:$X),"")))</f>
        <v/>
      </c>
      <c r="S31" s="29" t="str">
        <f ca="1">IF(B31="","",IF($B$4="R&amp;T Level 5 - Clinical Lecturers (Vet School)",$C31-SUMIF(Points_Lookup!$P:$P,$B31,Points_Lookup!$R:$R),IF($B$4="R&amp;T Level 6 - Clinical Associate Professors and Clinical Readers (Vet School)",$C31-SUMIF(Points_Lookup!$W:$W,$B31,Points_Lookup!$Y:$Y),"")))</f>
        <v/>
      </c>
      <c r="T31" s="28" t="str">
        <f ca="1">IF(B31="","",IF($B$4="R&amp;T Level 5 - Clinical Lecturers (Vet School)",SUMIF(Points_Lookup!$P:$P,$B31,Points_Lookup!$T:$T),IF($B$4="R&amp;T Level 6 - Clinical Associate Professors and Clinical Readers (Vet School)",SUMIF(Points_Lookup!$W:$W,$B31,Points_Lookup!$AA:$AA),"")))</f>
        <v/>
      </c>
      <c r="U31" s="29" t="str">
        <f t="shared" ca="1" si="5"/>
        <v/>
      </c>
      <c r="Z31" s="26">
        <v>23</v>
      </c>
    </row>
    <row r="32" spans="2:26" x14ac:dyDescent="0.25">
      <c r="B32" s="4">
        <f ca="1">IFERROR(INDEX(Points_Lookup!$A:$A,MATCH($Z32,Points_Lookup!$AH:$AH,0)),"")</f>
        <v>26</v>
      </c>
      <c r="C32" s="25">
        <f ca="1">IF(B32="","",IF($B$4="Apprenticeship",SUMIF(Points_Lookup!$AD:$AD,B32,Points_Lookup!$AF:$AF),IF(AND(OR($B$4="New Consultant Contract"),$B32&lt;&gt;""),INDEX(Points_Lookup!$N:$N,MATCH($B32,Points_Lookup!$M:$M,0)),IF(AND(OR($B$4="Clinical Lecturer / Medical Research Fellow",$B$4="Clinical Consultant - Old Contract (GP)"),$B32&lt;&gt;""),INDEX(Points_Lookup!$K:$K,MATCH($B32,Points_Lookup!$J:$J,0)),IF(AND(OR($B$4="APM Level 7",$B$4="R&amp;T Level 7",$B$4="APM Level 8"),B32&lt;&gt;""),INDEX(Points_Lookup!$E:$E,MATCH($Z32,Points_Lookup!$AH:$AH,0)),IF($B$4="R&amp;T Level 5 - Clinical Lecturers (Vet School)",SUMIF(Points_Lookup!$P:$P,$B32,Points_Lookup!$S:$S),IF($B$4="R&amp;T Level 6 - Clinical Associate Professors and Clinical Readers (Vet School)",SUMIF(Points_Lookup!$W:$W,$B32,Points_Lookup!$Z:$Z),IFERROR(INDEX(Points_Lookup!$B:$B,MATCH($Z32,Points_Lookup!$AH:$AH,0)),""))))))))</f>
        <v>28936</v>
      </c>
      <c r="D32" s="40"/>
      <c r="E32" s="25">
        <f ca="1">IF($B32="","",IF(AND($B$4="Salary Points 3 to 57",B32&lt;Thresholds_Rates!$C$16),"-",IF(SUMIF(Grades!$A:$A,$B$4,Grades!$BO:$BO)=0,"-",IF(AND($B$4="Salary Points 3 to 57",B32&gt;=Thresholds_Rates!$C$16),$C32*Thresholds_Rates!$F$15,IF(AND(OR($B$4="New Consultant Contract"),$B32&lt;&gt;""),$C32*Thresholds_Rates!$F$15,IF(AND(OR($B$4="Clinical Lecturer / Medical Research Fellow",$B$4="Clinical Consultant - Old Contract (GP)"),$B32&lt;&gt;""),$C32*Thresholds_Rates!$F$15,IF(OR($B$4="APM Level 7",$B$4="R&amp;T Level 7"),$C32*Thresholds_Rates!$F$15,IF(SUMIF(Grades!$A:$A,$B$4,Grades!$BO:$BO)=1,$C32*Thresholds_Rates!$F$15,""))))))))</f>
        <v>5208.4799999999996</v>
      </c>
      <c r="F32" s="25" t="str">
        <f ca="1">IF(B32="","",IF($B$4="Salary Points 3 to 57","-",IF(SUMIF(Grades!$A:$A,$B$4,Grades!$BP:$BP)=0,"-",IF(AND(OR($B$4="New Consultant Contract"),$B32&lt;&gt;""),$C32*Thresholds_Rates!$F$16,IF(AND(OR($B$4="Clinical Lecturer / Medical Research Fellow",$B$4="Clinical Consultant - Old Contract (GP)"),$B32&lt;&gt;""),$C32*Thresholds_Rates!$F$16,IF(AND(OR($B$4="APM Level 7",$B$4="R&amp;T Level 7"),E32&lt;&gt;""),$C32*Thresholds_Rates!$F$16,IF(SUMIF(Grades!$A:$A,$B$4,Grades!$BP:$BP)=1,$C32*Thresholds_Rates!$F$16,"")))))))</f>
        <v>-</v>
      </c>
      <c r="G32" s="25">
        <f ca="1">IF($B$4="Apprenticeship","-",IF(B32="","",IF(SUMIF(Grades!$A:$A,$B$4,Grades!$BQ:$BQ)=0,"-",IF(AND($B$4="Salary Points 3 to 57",B32&gt;Thresholds_Rates!$C$17),"-",IF(AND($B$4="Salary Points 3 to 57",B32&lt;=Thresholds_Rates!$C$17),$C32*Thresholds_Rates!$F$17,IF(AND(OR($B$4="New Consultant Contract"),$B32&lt;&gt;""),$C32*Thresholds_Rates!$F$17,IF(AND(OR($B$4="Clinical Lecturer / Medical Research Fellow",$B$4="Clinical Consultant - Old Contract (GP)"),$B32&lt;&gt;""),$C32*Thresholds_Rates!$F$17,IF(AND(OR($B$4="APM Level 7",$B$4="R&amp;T Level 7"),F32&lt;&gt;""),$C32*Thresholds_Rates!$F$17,IF(SUMIF(Grades!$A:$A,$B$4,Grades!$BQ:$BQ)=1,$C32*Thresholds_Rates!$F$17,"")))))))))</f>
        <v>11285.04</v>
      </c>
      <c r="H32" s="25">
        <f ca="1">IF($B32="","",ROUND(($C32-(Thresholds_Rates!$C$5*12))*Thresholds_Rates!$C$10,0))</f>
        <v>2867</v>
      </c>
      <c r="I32" s="25">
        <f ca="1">IF(B32="","",(C32*Thresholds_Rates!$C$12))</f>
        <v>144.68</v>
      </c>
      <c r="J32" s="25">
        <f ca="1">IF(B32="","",IF(AND($B$4="Salary Points 3 to 57",B32&gt;Thresholds_Rates!$C$17),"-",IF(SUMIF(Grades!$A:$A,$B$4,Grades!$BR:$BR)=0,"-",IF(AND($B$4="Salary Points 3 to 57",B32&lt;=Thresholds_Rates!$C$17),$C32*Thresholds_Rates!$F$18,IF(AND(OR($B$4="New Consultant Contract"),$B32&lt;&gt;""),$C32*Thresholds_Rates!$F$18,IF(AND(OR($B$4="Clinical Lecturer / Medical Research Fellow",$B$4="Clinical Consultant - Old Contract (GP)"),$B32&lt;&gt;""),$C32*Thresholds_Rates!$F$18,IF(AND(OR($B$4="APM Level 7",$B$4="R&amp;T Level 7"),H32&lt;&gt;""),$C32*Thresholds_Rates!$F$18,IF(SUMIF(Grades!$A:$A,$B$4,Grades!$BQ:$BQ)=1,$C32*Thresholds_Rates!$F$18,""))))))))</f>
        <v>2893.6000000000004</v>
      </c>
      <c r="K32" s="4"/>
      <c r="L32" s="25">
        <f t="shared" ca="1" si="0"/>
        <v>37156.159999999996</v>
      </c>
      <c r="M32" s="25" t="str">
        <f t="shared" ca="1" si="1"/>
        <v>-</v>
      </c>
      <c r="N32" s="25">
        <f t="shared" ca="1" si="2"/>
        <v>43232.72</v>
      </c>
      <c r="O32" s="25">
        <f t="shared" ca="1" si="3"/>
        <v>34841.279999999999</v>
      </c>
      <c r="P32" s="25">
        <f t="shared" ca="1" si="4"/>
        <v>31947.68</v>
      </c>
      <c r="R32" s="28" t="str">
        <f ca="1">IF(B32="","",IF($B$4="R&amp;T Level 5 - Clinical Lecturers (Vet School)",SUMIF(Points_Lookup!$P:$P,$B32,Points_Lookup!$Q:$Q),IF($B$4="R&amp;T Level 6 - Clinical Associate Professors and Clinical Readers (Vet School)",SUMIF(Points_Lookup!$W:$W,$B32,Points_Lookup!$X:$X),"")))</f>
        <v/>
      </c>
      <c r="S32" s="29" t="str">
        <f ca="1">IF(B32="","",IF($B$4="R&amp;T Level 5 - Clinical Lecturers (Vet School)",$C32-SUMIF(Points_Lookup!$P:$P,$B32,Points_Lookup!$R:$R),IF($B$4="R&amp;T Level 6 - Clinical Associate Professors and Clinical Readers (Vet School)",$C32-SUMIF(Points_Lookup!$W:$W,$B32,Points_Lookup!$Y:$Y),"")))</f>
        <v/>
      </c>
      <c r="T32" s="28" t="str">
        <f ca="1">IF(B32="","",IF($B$4="R&amp;T Level 5 - Clinical Lecturers (Vet School)",SUMIF(Points_Lookup!$P:$P,$B32,Points_Lookup!$T:$T),IF($B$4="R&amp;T Level 6 - Clinical Associate Professors and Clinical Readers (Vet School)",SUMIF(Points_Lookup!$W:$W,$B32,Points_Lookup!$AA:$AA),"")))</f>
        <v/>
      </c>
      <c r="U32" s="29" t="str">
        <f t="shared" ca="1" si="5"/>
        <v/>
      </c>
      <c r="Z32" s="26">
        <v>24</v>
      </c>
    </row>
    <row r="33" spans="2:26" x14ac:dyDescent="0.25">
      <c r="B33" s="4">
        <f ca="1">IFERROR(INDEX(Points_Lookup!$A:$A,MATCH($Z33,Points_Lookup!$AH:$AH,0)),"")</f>
        <v>27</v>
      </c>
      <c r="C33" s="25">
        <f ca="1">IF(B33="","",IF($B$4="Apprenticeship",SUMIF(Points_Lookup!$AD:$AD,B33,Points_Lookup!$AF:$AF),IF(AND(OR($B$4="New Consultant Contract"),$B33&lt;&gt;""),INDEX(Points_Lookup!$N:$N,MATCH($B33,Points_Lookup!$M:$M,0)),IF(AND(OR($B$4="Clinical Lecturer / Medical Research Fellow",$B$4="Clinical Consultant - Old Contract (GP)"),$B33&lt;&gt;""),INDEX(Points_Lookup!$K:$K,MATCH($B33,Points_Lookup!$J:$J,0)),IF(AND(OR($B$4="APM Level 7",$B$4="R&amp;T Level 7",$B$4="APM Level 8"),B33&lt;&gt;""),INDEX(Points_Lookup!$E:$E,MATCH($Z33,Points_Lookup!$AH:$AH,0)),IF($B$4="R&amp;T Level 5 - Clinical Lecturers (Vet School)",SUMIF(Points_Lookup!$P:$P,$B33,Points_Lookup!$S:$S),IF($B$4="R&amp;T Level 6 - Clinical Associate Professors and Clinical Readers (Vet School)",SUMIF(Points_Lookup!$W:$W,$B33,Points_Lookup!$Z:$Z),IFERROR(INDEX(Points_Lookup!$B:$B,MATCH($Z33,Points_Lookup!$AH:$AH,0)),""))))))))</f>
        <v>29799</v>
      </c>
      <c r="D33" s="40"/>
      <c r="E33" s="25">
        <f ca="1">IF($B33="","",IF(AND($B$4="Salary Points 3 to 57",B33&lt;Thresholds_Rates!$C$16),"-",IF(SUMIF(Grades!$A:$A,$B$4,Grades!$BO:$BO)=0,"-",IF(AND($B$4="Salary Points 3 to 57",B33&gt;=Thresholds_Rates!$C$16),$C33*Thresholds_Rates!$F$15,IF(AND(OR($B$4="New Consultant Contract"),$B33&lt;&gt;""),$C33*Thresholds_Rates!$F$15,IF(AND(OR($B$4="Clinical Lecturer / Medical Research Fellow",$B$4="Clinical Consultant - Old Contract (GP)"),$B33&lt;&gt;""),$C33*Thresholds_Rates!$F$15,IF(OR($B$4="APM Level 7",$B$4="R&amp;T Level 7"),$C33*Thresholds_Rates!$F$15,IF(SUMIF(Grades!$A:$A,$B$4,Grades!$BO:$BO)=1,$C33*Thresholds_Rates!$F$15,""))))))))</f>
        <v>5363.82</v>
      </c>
      <c r="F33" s="25" t="str">
        <f ca="1">IF(B33="","",IF($B$4="Salary Points 3 to 57","-",IF(SUMIF(Grades!$A:$A,$B$4,Grades!$BP:$BP)=0,"-",IF(AND(OR($B$4="New Consultant Contract"),$B33&lt;&gt;""),$C33*Thresholds_Rates!$F$16,IF(AND(OR($B$4="Clinical Lecturer / Medical Research Fellow",$B$4="Clinical Consultant - Old Contract (GP)"),$B33&lt;&gt;""),$C33*Thresholds_Rates!$F$16,IF(AND(OR($B$4="APM Level 7",$B$4="R&amp;T Level 7"),E33&lt;&gt;""),$C33*Thresholds_Rates!$F$16,IF(SUMIF(Grades!$A:$A,$B$4,Grades!$BP:$BP)=1,$C33*Thresholds_Rates!$F$16,"")))))))</f>
        <v>-</v>
      </c>
      <c r="G33" s="25">
        <f ca="1">IF($B$4="Apprenticeship","-",IF(B33="","",IF(SUMIF(Grades!$A:$A,$B$4,Grades!$BQ:$BQ)=0,"-",IF(AND($B$4="Salary Points 3 to 57",B33&gt;Thresholds_Rates!$C$17),"-",IF(AND($B$4="Salary Points 3 to 57",B33&lt;=Thresholds_Rates!$C$17),$C33*Thresholds_Rates!$F$17,IF(AND(OR($B$4="New Consultant Contract"),$B33&lt;&gt;""),$C33*Thresholds_Rates!$F$17,IF(AND(OR($B$4="Clinical Lecturer / Medical Research Fellow",$B$4="Clinical Consultant - Old Contract (GP)"),$B33&lt;&gt;""),$C33*Thresholds_Rates!$F$17,IF(AND(OR($B$4="APM Level 7",$B$4="R&amp;T Level 7"),F33&lt;&gt;""),$C33*Thresholds_Rates!$F$17,IF(SUMIF(Grades!$A:$A,$B$4,Grades!$BQ:$BQ)=1,$C33*Thresholds_Rates!$F$17,"")))))))))</f>
        <v>11621.61</v>
      </c>
      <c r="H33" s="25">
        <f ca="1">IF($B33="","",ROUND(($C33-(Thresholds_Rates!$C$5*12))*Thresholds_Rates!$C$10,0))</f>
        <v>2986</v>
      </c>
      <c r="I33" s="25">
        <f ca="1">IF(B33="","",(C33*Thresholds_Rates!$C$12))</f>
        <v>148.995</v>
      </c>
      <c r="J33" s="25">
        <f ca="1">IF(B33="","",IF(AND($B$4="Salary Points 3 to 57",B33&gt;Thresholds_Rates!$C$17),"-",IF(SUMIF(Grades!$A:$A,$B$4,Grades!$BR:$BR)=0,"-",IF(AND($B$4="Salary Points 3 to 57",B33&lt;=Thresholds_Rates!$C$17),$C33*Thresholds_Rates!$F$18,IF(AND(OR($B$4="New Consultant Contract"),$B33&lt;&gt;""),$C33*Thresholds_Rates!$F$18,IF(AND(OR($B$4="Clinical Lecturer / Medical Research Fellow",$B$4="Clinical Consultant - Old Contract (GP)"),$B33&lt;&gt;""),$C33*Thresholds_Rates!$F$18,IF(AND(OR($B$4="APM Level 7",$B$4="R&amp;T Level 7"),H33&lt;&gt;""),$C33*Thresholds_Rates!$F$18,IF(SUMIF(Grades!$A:$A,$B$4,Grades!$BQ:$BQ)=1,$C33*Thresholds_Rates!$F$18,""))))))))</f>
        <v>2979.9</v>
      </c>
      <c r="K33" s="4"/>
      <c r="L33" s="25">
        <f t="shared" ca="1" si="0"/>
        <v>38297.815000000002</v>
      </c>
      <c r="M33" s="25" t="str">
        <f t="shared" ca="1" si="1"/>
        <v>-</v>
      </c>
      <c r="N33" s="25">
        <f t="shared" ca="1" si="2"/>
        <v>44555.605000000003</v>
      </c>
      <c r="O33" s="25">
        <f t="shared" ca="1" si="3"/>
        <v>35913.895000000004</v>
      </c>
      <c r="P33" s="25">
        <f t="shared" ca="1" si="4"/>
        <v>32933.995000000003</v>
      </c>
      <c r="R33" s="28" t="str">
        <f ca="1">IF(B33="","",IF($B$4="R&amp;T Level 5 - Clinical Lecturers (Vet School)",SUMIF(Points_Lookup!$P:$P,$B33,Points_Lookup!$Q:$Q),IF($B$4="R&amp;T Level 6 - Clinical Associate Professors and Clinical Readers (Vet School)",SUMIF(Points_Lookup!$W:$W,$B33,Points_Lookup!$X:$X),"")))</f>
        <v/>
      </c>
      <c r="S33" s="29" t="str">
        <f ca="1">IF(B33="","",IF($B$4="R&amp;T Level 5 - Clinical Lecturers (Vet School)",$C33-SUMIF(Points_Lookup!$P:$P,$B33,Points_Lookup!$R:$R),IF($B$4="R&amp;T Level 6 - Clinical Associate Professors and Clinical Readers (Vet School)",$C33-SUMIF(Points_Lookup!$W:$W,$B33,Points_Lookup!$Y:$Y),"")))</f>
        <v/>
      </c>
      <c r="T33" s="28" t="str">
        <f ca="1">IF(B33="","",IF($B$4="R&amp;T Level 5 - Clinical Lecturers (Vet School)",SUMIF(Points_Lookup!$P:$P,$B33,Points_Lookup!$T:$T),IF($B$4="R&amp;T Level 6 - Clinical Associate Professors and Clinical Readers (Vet School)",SUMIF(Points_Lookup!$W:$W,$B33,Points_Lookup!$AA:$AA),"")))</f>
        <v/>
      </c>
      <c r="U33" s="29" t="str">
        <f t="shared" ca="1" si="5"/>
        <v/>
      </c>
      <c r="Z33" s="26">
        <v>25</v>
      </c>
    </row>
    <row r="34" spans="2:26" x14ac:dyDescent="0.25">
      <c r="B34" s="4">
        <f ca="1">IFERROR(INDEX(Points_Lookup!$A:$A,MATCH($Z34,Points_Lookup!$AH:$AH,0)),"")</f>
        <v>28</v>
      </c>
      <c r="C34" s="25">
        <f ca="1">IF(B34="","",IF($B$4="Apprenticeship",SUMIF(Points_Lookup!$AD:$AD,B34,Points_Lookup!$AF:$AF),IF(AND(OR($B$4="New Consultant Contract"),$B34&lt;&gt;""),INDEX(Points_Lookup!$N:$N,MATCH($B34,Points_Lookup!$M:$M,0)),IF(AND(OR($B$4="Clinical Lecturer / Medical Research Fellow",$B$4="Clinical Consultant - Old Contract (GP)"),$B34&lt;&gt;""),INDEX(Points_Lookup!$K:$K,MATCH($B34,Points_Lookup!$J:$J,0)),IF(AND(OR($B$4="APM Level 7",$B$4="R&amp;T Level 7",$B$4="APM Level 8"),B34&lt;&gt;""),INDEX(Points_Lookup!$E:$E,MATCH($Z34,Points_Lookup!$AH:$AH,0)),IF($B$4="R&amp;T Level 5 - Clinical Lecturers (Vet School)",SUMIF(Points_Lookup!$P:$P,$B34,Points_Lookup!$S:$S),IF($B$4="R&amp;T Level 6 - Clinical Associate Professors and Clinical Readers (Vet School)",SUMIF(Points_Lookup!$W:$W,$B34,Points_Lookup!$Z:$Z),IFERROR(INDEX(Points_Lookup!$B:$B,MATCH($Z34,Points_Lookup!$AH:$AH,0)),""))))))))</f>
        <v>30688</v>
      </c>
      <c r="D34" s="40"/>
      <c r="E34" s="25">
        <f ca="1">IF($B34="","",IF(AND($B$4="Salary Points 3 to 57",B34&lt;Thresholds_Rates!$C$16),"-",IF(SUMIF(Grades!$A:$A,$B$4,Grades!$BO:$BO)=0,"-",IF(AND($B$4="Salary Points 3 to 57",B34&gt;=Thresholds_Rates!$C$16),$C34*Thresholds_Rates!$F$15,IF(AND(OR($B$4="New Consultant Contract"),$B34&lt;&gt;""),$C34*Thresholds_Rates!$F$15,IF(AND(OR($B$4="Clinical Lecturer / Medical Research Fellow",$B$4="Clinical Consultant - Old Contract (GP)"),$B34&lt;&gt;""),$C34*Thresholds_Rates!$F$15,IF(OR($B$4="APM Level 7",$B$4="R&amp;T Level 7"),$C34*Thresholds_Rates!$F$15,IF(SUMIF(Grades!$A:$A,$B$4,Grades!$BO:$BO)=1,$C34*Thresholds_Rates!$F$15,""))))))))</f>
        <v>5523.84</v>
      </c>
      <c r="F34" s="25" t="str">
        <f ca="1">IF(B34="","",IF($B$4="Salary Points 3 to 57","-",IF(SUMIF(Grades!$A:$A,$B$4,Grades!$BP:$BP)=0,"-",IF(AND(OR($B$4="New Consultant Contract"),$B34&lt;&gt;""),$C34*Thresholds_Rates!$F$16,IF(AND(OR($B$4="Clinical Lecturer / Medical Research Fellow",$B$4="Clinical Consultant - Old Contract (GP)"),$B34&lt;&gt;""),$C34*Thresholds_Rates!$F$16,IF(AND(OR($B$4="APM Level 7",$B$4="R&amp;T Level 7"),E34&lt;&gt;""),$C34*Thresholds_Rates!$F$16,IF(SUMIF(Grades!$A:$A,$B$4,Grades!$BP:$BP)=1,$C34*Thresholds_Rates!$F$16,"")))))))</f>
        <v>-</v>
      </c>
      <c r="G34" s="25">
        <f ca="1">IF($B$4="Apprenticeship","-",IF(B34="","",IF(SUMIF(Grades!$A:$A,$B$4,Grades!$BQ:$BQ)=0,"-",IF(AND($B$4="Salary Points 3 to 57",B34&gt;Thresholds_Rates!$C$17),"-",IF(AND($B$4="Salary Points 3 to 57",B34&lt;=Thresholds_Rates!$C$17),$C34*Thresholds_Rates!$F$17,IF(AND(OR($B$4="New Consultant Contract"),$B34&lt;&gt;""),$C34*Thresholds_Rates!$F$17,IF(AND(OR($B$4="Clinical Lecturer / Medical Research Fellow",$B$4="Clinical Consultant - Old Contract (GP)"),$B34&lt;&gt;""),$C34*Thresholds_Rates!$F$17,IF(AND(OR($B$4="APM Level 7",$B$4="R&amp;T Level 7"),F34&lt;&gt;""),$C34*Thresholds_Rates!$F$17,IF(SUMIF(Grades!$A:$A,$B$4,Grades!$BQ:$BQ)=1,$C34*Thresholds_Rates!$F$17,"")))))))))</f>
        <v>11968.32</v>
      </c>
      <c r="H34" s="25">
        <f ca="1">IF($B34="","",ROUND(($C34-(Thresholds_Rates!$C$5*12))*Thresholds_Rates!$C$10,0))</f>
        <v>3109</v>
      </c>
      <c r="I34" s="25">
        <f ca="1">IF(B34="","",(C34*Thresholds_Rates!$C$12))</f>
        <v>153.44</v>
      </c>
      <c r="J34" s="25">
        <f ca="1">IF(B34="","",IF(AND($B$4="Salary Points 3 to 57",B34&gt;Thresholds_Rates!$C$17),"-",IF(SUMIF(Grades!$A:$A,$B$4,Grades!$BR:$BR)=0,"-",IF(AND($B$4="Salary Points 3 to 57",B34&lt;=Thresholds_Rates!$C$17),$C34*Thresholds_Rates!$F$18,IF(AND(OR($B$4="New Consultant Contract"),$B34&lt;&gt;""),$C34*Thresholds_Rates!$F$18,IF(AND(OR($B$4="Clinical Lecturer / Medical Research Fellow",$B$4="Clinical Consultant - Old Contract (GP)"),$B34&lt;&gt;""),$C34*Thresholds_Rates!$F$18,IF(AND(OR($B$4="APM Level 7",$B$4="R&amp;T Level 7"),H34&lt;&gt;""),$C34*Thresholds_Rates!$F$18,IF(SUMIF(Grades!$A:$A,$B$4,Grades!$BQ:$BQ)=1,$C34*Thresholds_Rates!$F$18,""))))))))</f>
        <v>3068.8</v>
      </c>
      <c r="K34" s="4"/>
      <c r="L34" s="25">
        <f t="shared" ca="1" si="0"/>
        <v>39474.28</v>
      </c>
      <c r="M34" s="25" t="str">
        <f t="shared" ca="1" si="1"/>
        <v>-</v>
      </c>
      <c r="N34" s="25">
        <f t="shared" ca="1" si="2"/>
        <v>45918.76</v>
      </c>
      <c r="O34" s="25">
        <f t="shared" ca="1" si="3"/>
        <v>37019.240000000005</v>
      </c>
      <c r="P34" s="25">
        <f t="shared" ca="1" si="4"/>
        <v>33950.44</v>
      </c>
      <c r="R34" s="28" t="str">
        <f ca="1">IF(B34="","",IF($B$4="R&amp;T Level 5 - Clinical Lecturers (Vet School)",SUMIF(Points_Lookup!$P:$P,$B34,Points_Lookup!$Q:$Q),IF($B$4="R&amp;T Level 6 - Clinical Associate Professors and Clinical Readers (Vet School)",SUMIF(Points_Lookup!$W:$W,$B34,Points_Lookup!$X:$X),"")))</f>
        <v/>
      </c>
      <c r="S34" s="29" t="str">
        <f ca="1">IF(B34="","",IF($B$4="R&amp;T Level 5 - Clinical Lecturers (Vet School)",$C34-SUMIF(Points_Lookup!$P:$P,$B34,Points_Lookup!$R:$R),IF($B$4="R&amp;T Level 6 - Clinical Associate Professors and Clinical Readers (Vet School)",$C34-SUMIF(Points_Lookup!$W:$W,$B34,Points_Lookup!$Y:$Y),"")))</f>
        <v/>
      </c>
      <c r="T34" s="28" t="str">
        <f ca="1">IF(B34="","",IF($B$4="R&amp;T Level 5 - Clinical Lecturers (Vet School)",SUMIF(Points_Lookup!$P:$P,$B34,Points_Lookup!$T:$T),IF($B$4="R&amp;T Level 6 - Clinical Associate Professors and Clinical Readers (Vet School)",SUMIF(Points_Lookup!$W:$W,$B34,Points_Lookup!$AA:$AA),"")))</f>
        <v/>
      </c>
      <c r="U34" s="29" t="str">
        <f t="shared" ca="1" si="5"/>
        <v/>
      </c>
      <c r="Z34" s="26">
        <v>26</v>
      </c>
    </row>
    <row r="35" spans="2:26" x14ac:dyDescent="0.25">
      <c r="B35" s="4">
        <f ca="1">IFERROR(INDEX(Points_Lookup!$A:$A,MATCH($Z35,Points_Lookup!$AH:$AH,0)),"")</f>
        <v>29</v>
      </c>
      <c r="C35" s="25">
        <f ca="1">IF(B35="","",IF($B$4="Apprenticeship",SUMIF(Points_Lookup!$AD:$AD,B35,Points_Lookup!$AF:$AF),IF(AND(OR($B$4="New Consultant Contract"),$B35&lt;&gt;""),INDEX(Points_Lookup!$N:$N,MATCH($B35,Points_Lookup!$M:$M,0)),IF(AND(OR($B$4="Clinical Lecturer / Medical Research Fellow",$B$4="Clinical Consultant - Old Contract (GP)"),$B35&lt;&gt;""),INDEX(Points_Lookup!$K:$K,MATCH($B35,Points_Lookup!$J:$J,0)),IF(AND(OR($B$4="APM Level 7",$B$4="R&amp;T Level 7",$B$4="APM Level 8"),B35&lt;&gt;""),INDEX(Points_Lookup!$E:$E,MATCH($Z35,Points_Lookup!$AH:$AH,0)),IF($B$4="R&amp;T Level 5 - Clinical Lecturers (Vet School)",SUMIF(Points_Lookup!$P:$P,$B35,Points_Lookup!$S:$S),IF($B$4="R&amp;T Level 6 - Clinical Associate Professors and Clinical Readers (Vet School)",SUMIF(Points_Lookup!$W:$W,$B35,Points_Lookup!$Z:$Z),IFERROR(INDEX(Points_Lookup!$B:$B,MATCH($Z35,Points_Lookup!$AH:$AH,0)),""))))))))</f>
        <v>31604</v>
      </c>
      <c r="D35" s="40"/>
      <c r="E35" s="25">
        <f ca="1">IF($B35="","",IF(AND($B$4="Salary Points 3 to 57",B35&lt;Thresholds_Rates!$C$16),"-",IF(SUMIF(Grades!$A:$A,$B$4,Grades!$BO:$BO)=0,"-",IF(AND($B$4="Salary Points 3 to 57",B35&gt;=Thresholds_Rates!$C$16),$C35*Thresholds_Rates!$F$15,IF(AND(OR($B$4="New Consultant Contract"),$B35&lt;&gt;""),$C35*Thresholds_Rates!$F$15,IF(AND(OR($B$4="Clinical Lecturer / Medical Research Fellow",$B$4="Clinical Consultant - Old Contract (GP)"),$B35&lt;&gt;""),$C35*Thresholds_Rates!$F$15,IF(OR($B$4="APM Level 7",$B$4="R&amp;T Level 7"),$C35*Thresholds_Rates!$F$15,IF(SUMIF(Grades!$A:$A,$B$4,Grades!$BO:$BO)=1,$C35*Thresholds_Rates!$F$15,""))))))))</f>
        <v>5688.7199999999993</v>
      </c>
      <c r="F35" s="25" t="str">
        <f ca="1">IF(B35="","",IF($B$4="Salary Points 3 to 57","-",IF(SUMIF(Grades!$A:$A,$B$4,Grades!$BP:$BP)=0,"-",IF(AND(OR($B$4="New Consultant Contract"),$B35&lt;&gt;""),$C35*Thresholds_Rates!$F$16,IF(AND(OR($B$4="Clinical Lecturer / Medical Research Fellow",$B$4="Clinical Consultant - Old Contract (GP)"),$B35&lt;&gt;""),$C35*Thresholds_Rates!$F$16,IF(AND(OR($B$4="APM Level 7",$B$4="R&amp;T Level 7"),E35&lt;&gt;""),$C35*Thresholds_Rates!$F$16,IF(SUMIF(Grades!$A:$A,$B$4,Grades!$BP:$BP)=1,$C35*Thresholds_Rates!$F$16,"")))))))</f>
        <v>-</v>
      </c>
      <c r="G35" s="25">
        <f ca="1">IF($B$4="Apprenticeship","-",IF(B35="","",IF(SUMIF(Grades!$A:$A,$B$4,Grades!$BQ:$BQ)=0,"-",IF(AND($B$4="Salary Points 3 to 57",B35&gt;Thresholds_Rates!$C$17),"-",IF(AND($B$4="Salary Points 3 to 57",B35&lt;=Thresholds_Rates!$C$17),$C35*Thresholds_Rates!$F$17,IF(AND(OR($B$4="New Consultant Contract"),$B35&lt;&gt;""),$C35*Thresholds_Rates!$F$17,IF(AND(OR($B$4="Clinical Lecturer / Medical Research Fellow",$B$4="Clinical Consultant - Old Contract (GP)"),$B35&lt;&gt;""),$C35*Thresholds_Rates!$F$17,IF(AND(OR($B$4="APM Level 7",$B$4="R&amp;T Level 7"),F35&lt;&gt;""),$C35*Thresholds_Rates!$F$17,IF(SUMIF(Grades!$A:$A,$B$4,Grades!$BQ:$BQ)=1,$C35*Thresholds_Rates!$F$17,"")))))))))</f>
        <v>12325.560000000001</v>
      </c>
      <c r="H35" s="25">
        <f ca="1">IF($B35="","",ROUND(($C35-(Thresholds_Rates!$C$5*12))*Thresholds_Rates!$C$10,0))</f>
        <v>3235</v>
      </c>
      <c r="I35" s="25">
        <f ca="1">IF(B35="","",(C35*Thresholds_Rates!$C$12))</f>
        <v>158.02000000000001</v>
      </c>
      <c r="J35" s="25">
        <f ca="1">IF(B35="","",IF(AND($B$4="Salary Points 3 to 57",B35&gt;Thresholds_Rates!$C$17),"-",IF(SUMIF(Grades!$A:$A,$B$4,Grades!$BR:$BR)=0,"-",IF(AND($B$4="Salary Points 3 to 57",B35&lt;=Thresholds_Rates!$C$17),$C35*Thresholds_Rates!$F$18,IF(AND(OR($B$4="New Consultant Contract"),$B35&lt;&gt;""),$C35*Thresholds_Rates!$F$18,IF(AND(OR($B$4="Clinical Lecturer / Medical Research Fellow",$B$4="Clinical Consultant - Old Contract (GP)"),$B35&lt;&gt;""),$C35*Thresholds_Rates!$F$18,IF(AND(OR($B$4="APM Level 7",$B$4="R&amp;T Level 7"),H35&lt;&gt;""),$C35*Thresholds_Rates!$F$18,IF(SUMIF(Grades!$A:$A,$B$4,Grades!$BQ:$BQ)=1,$C35*Thresholds_Rates!$F$18,""))))))))</f>
        <v>3160.4</v>
      </c>
      <c r="K35" s="4"/>
      <c r="L35" s="25">
        <f t="shared" ca="1" si="0"/>
        <v>40685.74</v>
      </c>
      <c r="M35" s="25" t="str">
        <f t="shared" ca="1" si="1"/>
        <v>-</v>
      </c>
      <c r="N35" s="25">
        <f t="shared" ca="1" si="2"/>
        <v>47322.579999999994</v>
      </c>
      <c r="O35" s="25">
        <f t="shared" ca="1" si="3"/>
        <v>38157.42</v>
      </c>
      <c r="P35" s="25">
        <f t="shared" ca="1" si="4"/>
        <v>34997.019999999997</v>
      </c>
      <c r="R35" s="28" t="str">
        <f ca="1">IF(B35="","",IF($B$4="R&amp;T Level 5 - Clinical Lecturers (Vet School)",SUMIF(Points_Lookup!$P:$P,$B35,Points_Lookup!$Q:$Q),IF($B$4="R&amp;T Level 6 - Clinical Associate Professors and Clinical Readers (Vet School)",SUMIF(Points_Lookup!$W:$W,$B35,Points_Lookup!$X:$X),"")))</f>
        <v/>
      </c>
      <c r="S35" s="29" t="str">
        <f ca="1">IF(B35="","",IF($B$4="R&amp;T Level 5 - Clinical Lecturers (Vet School)",$C35-SUMIF(Points_Lookup!$P:$P,$B35,Points_Lookup!$R:$R),IF($B$4="R&amp;T Level 6 - Clinical Associate Professors and Clinical Readers (Vet School)",$C35-SUMIF(Points_Lookup!$W:$W,$B35,Points_Lookup!$Y:$Y),"")))</f>
        <v/>
      </c>
      <c r="T35" s="28" t="str">
        <f ca="1">IF(B35="","",IF($B$4="R&amp;T Level 5 - Clinical Lecturers (Vet School)",SUMIF(Points_Lookup!$P:$P,$B35,Points_Lookup!$T:$T),IF($B$4="R&amp;T Level 6 - Clinical Associate Professors and Clinical Readers (Vet School)",SUMIF(Points_Lookup!$W:$W,$B35,Points_Lookup!$AA:$AA),"")))</f>
        <v/>
      </c>
      <c r="U35" s="29" t="str">
        <f t="shared" ca="1" si="5"/>
        <v/>
      </c>
      <c r="Z35" s="26">
        <v>27</v>
      </c>
    </row>
    <row r="36" spans="2:26" x14ac:dyDescent="0.25">
      <c r="B36" s="4">
        <f ca="1">IFERROR(INDEX(Points_Lookup!$A:$A,MATCH($Z36,Points_Lookup!$AH:$AH,0)),"")</f>
        <v>30</v>
      </c>
      <c r="C36" s="25">
        <f ca="1">IF(B36="","",IF($B$4="Apprenticeship",SUMIF(Points_Lookup!$AD:$AD,B36,Points_Lookup!$AF:$AF),IF(AND(OR($B$4="New Consultant Contract"),$B36&lt;&gt;""),INDEX(Points_Lookup!$N:$N,MATCH($B36,Points_Lookup!$M:$M,0)),IF(AND(OR($B$4="Clinical Lecturer / Medical Research Fellow",$B$4="Clinical Consultant - Old Contract (GP)"),$B36&lt;&gt;""),INDEX(Points_Lookup!$K:$K,MATCH($B36,Points_Lookup!$J:$J,0)),IF(AND(OR($B$4="APM Level 7",$B$4="R&amp;T Level 7",$B$4="APM Level 8"),B36&lt;&gt;""),INDEX(Points_Lookup!$E:$E,MATCH($Z36,Points_Lookup!$AH:$AH,0)),IF($B$4="R&amp;T Level 5 - Clinical Lecturers (Vet School)",SUMIF(Points_Lookup!$P:$P,$B36,Points_Lookup!$S:$S),IF($B$4="R&amp;T Level 6 - Clinical Associate Professors and Clinical Readers (Vet School)",SUMIF(Points_Lookup!$W:$W,$B36,Points_Lookup!$Z:$Z),IFERROR(INDEX(Points_Lookup!$B:$B,MATCH($Z36,Points_Lookup!$AH:$AH,0)),""))))))))</f>
        <v>32548</v>
      </c>
      <c r="D36" s="40"/>
      <c r="E36" s="25">
        <f ca="1">IF($B36="","",IF(AND($B$4="Salary Points 3 to 57",B36&lt;Thresholds_Rates!$C$16),"-",IF(SUMIF(Grades!$A:$A,$B$4,Grades!$BO:$BO)=0,"-",IF(AND($B$4="Salary Points 3 to 57",B36&gt;=Thresholds_Rates!$C$16),$C36*Thresholds_Rates!$F$15,IF(AND(OR($B$4="New Consultant Contract"),$B36&lt;&gt;""),$C36*Thresholds_Rates!$F$15,IF(AND(OR($B$4="Clinical Lecturer / Medical Research Fellow",$B$4="Clinical Consultant - Old Contract (GP)"),$B36&lt;&gt;""),$C36*Thresholds_Rates!$F$15,IF(OR($B$4="APM Level 7",$B$4="R&amp;T Level 7"),$C36*Thresholds_Rates!$F$15,IF(SUMIF(Grades!$A:$A,$B$4,Grades!$BO:$BO)=1,$C36*Thresholds_Rates!$F$15,""))))))))</f>
        <v>5858.6399999999994</v>
      </c>
      <c r="F36" s="25" t="str">
        <f ca="1">IF(B36="","",IF($B$4="Salary Points 3 to 57","-",IF(SUMIF(Grades!$A:$A,$B$4,Grades!$BP:$BP)=0,"-",IF(AND(OR($B$4="New Consultant Contract"),$B36&lt;&gt;""),$C36*Thresholds_Rates!$F$16,IF(AND(OR($B$4="Clinical Lecturer / Medical Research Fellow",$B$4="Clinical Consultant - Old Contract (GP)"),$B36&lt;&gt;""),$C36*Thresholds_Rates!$F$16,IF(AND(OR($B$4="APM Level 7",$B$4="R&amp;T Level 7"),E36&lt;&gt;""),$C36*Thresholds_Rates!$F$16,IF(SUMIF(Grades!$A:$A,$B$4,Grades!$BP:$BP)=1,$C36*Thresholds_Rates!$F$16,"")))))))</f>
        <v>-</v>
      </c>
      <c r="G36" s="25">
        <f ca="1">IF($B$4="Apprenticeship","-",IF(B36="","",IF(SUMIF(Grades!$A:$A,$B$4,Grades!$BQ:$BQ)=0,"-",IF(AND($B$4="Salary Points 3 to 57",B36&gt;Thresholds_Rates!$C$17),"-",IF(AND($B$4="Salary Points 3 to 57",B36&lt;=Thresholds_Rates!$C$17),$C36*Thresholds_Rates!$F$17,IF(AND(OR($B$4="New Consultant Contract"),$B36&lt;&gt;""),$C36*Thresholds_Rates!$F$17,IF(AND(OR($B$4="Clinical Lecturer / Medical Research Fellow",$B$4="Clinical Consultant - Old Contract (GP)"),$B36&lt;&gt;""),$C36*Thresholds_Rates!$F$17,IF(AND(OR($B$4="APM Level 7",$B$4="R&amp;T Level 7"),F36&lt;&gt;""),$C36*Thresholds_Rates!$F$17,IF(SUMIF(Grades!$A:$A,$B$4,Grades!$BQ:$BQ)=1,$C36*Thresholds_Rates!$F$17,"")))))))))</f>
        <v>12693.720000000001</v>
      </c>
      <c r="H36" s="25">
        <f ca="1">IF($B36="","",ROUND(($C36-(Thresholds_Rates!$C$5*12))*Thresholds_Rates!$C$10,0))</f>
        <v>3366</v>
      </c>
      <c r="I36" s="25">
        <f ca="1">IF(B36="","",(C36*Thresholds_Rates!$C$12))</f>
        <v>162.74</v>
      </c>
      <c r="J36" s="25">
        <f ca="1">IF(B36="","",IF(AND($B$4="Salary Points 3 to 57",B36&gt;Thresholds_Rates!$C$17),"-",IF(SUMIF(Grades!$A:$A,$B$4,Grades!$BR:$BR)=0,"-",IF(AND($B$4="Salary Points 3 to 57",B36&lt;=Thresholds_Rates!$C$17),$C36*Thresholds_Rates!$F$18,IF(AND(OR($B$4="New Consultant Contract"),$B36&lt;&gt;""),$C36*Thresholds_Rates!$F$18,IF(AND(OR($B$4="Clinical Lecturer / Medical Research Fellow",$B$4="Clinical Consultant - Old Contract (GP)"),$B36&lt;&gt;""),$C36*Thresholds_Rates!$F$18,IF(AND(OR($B$4="APM Level 7",$B$4="R&amp;T Level 7"),H36&lt;&gt;""),$C36*Thresholds_Rates!$F$18,IF(SUMIF(Grades!$A:$A,$B$4,Grades!$BQ:$BQ)=1,$C36*Thresholds_Rates!$F$18,""))))))))</f>
        <v>3254.8</v>
      </c>
      <c r="K36" s="4"/>
      <c r="L36" s="25">
        <f t="shared" ca="1" si="0"/>
        <v>41935.379999999997</v>
      </c>
      <c r="M36" s="25" t="str">
        <f t="shared" ca="1" si="1"/>
        <v>-</v>
      </c>
      <c r="N36" s="25">
        <f t="shared" ca="1" si="2"/>
        <v>48770.46</v>
      </c>
      <c r="O36" s="25">
        <f t="shared" ca="1" si="3"/>
        <v>39331.54</v>
      </c>
      <c r="P36" s="25">
        <f t="shared" ca="1" si="4"/>
        <v>36076.74</v>
      </c>
      <c r="R36" s="28" t="str">
        <f ca="1">IF(B36="","",IF($B$4="R&amp;T Level 5 - Clinical Lecturers (Vet School)",SUMIF(Points_Lookup!$P:$P,$B36,Points_Lookup!$Q:$Q),IF($B$4="R&amp;T Level 6 - Clinical Associate Professors and Clinical Readers (Vet School)",SUMIF(Points_Lookup!$W:$W,$B36,Points_Lookup!$X:$X),"")))</f>
        <v/>
      </c>
      <c r="S36" s="29" t="str">
        <f ca="1">IF(B36="","",IF($B$4="R&amp;T Level 5 - Clinical Lecturers (Vet School)",$C36-SUMIF(Points_Lookup!$P:$P,$B36,Points_Lookup!$R:$R),IF($B$4="R&amp;T Level 6 - Clinical Associate Professors and Clinical Readers (Vet School)",$C36-SUMIF(Points_Lookup!$W:$W,$B36,Points_Lookup!$Y:$Y),"")))</f>
        <v/>
      </c>
      <c r="T36" s="28" t="str">
        <f ca="1">IF(B36="","",IF($B$4="R&amp;T Level 5 - Clinical Lecturers (Vet School)",SUMIF(Points_Lookup!$P:$P,$B36,Points_Lookup!$T:$T),IF($B$4="R&amp;T Level 6 - Clinical Associate Professors and Clinical Readers (Vet School)",SUMIF(Points_Lookup!$W:$W,$B36,Points_Lookup!$AA:$AA),"")))</f>
        <v/>
      </c>
      <c r="U36" s="29" t="str">
        <f t="shared" ca="1" si="5"/>
        <v/>
      </c>
      <c r="Z36" s="26">
        <v>28</v>
      </c>
    </row>
    <row r="37" spans="2:26" x14ac:dyDescent="0.25">
      <c r="B37" s="4">
        <f ca="1">IFERROR(INDEX(Points_Lookup!$A:$A,MATCH($Z37,Points_Lookup!$AH:$AH,0)),"")</f>
        <v>31</v>
      </c>
      <c r="C37" s="25">
        <f ca="1">IF(B37="","",IF($B$4="Apprenticeship",SUMIF(Points_Lookup!$AD:$AD,B37,Points_Lookup!$AF:$AF),IF(AND(OR($B$4="New Consultant Contract"),$B37&lt;&gt;""),INDEX(Points_Lookup!$N:$N,MATCH($B37,Points_Lookup!$M:$M,0)),IF(AND(OR($B$4="Clinical Lecturer / Medical Research Fellow",$B$4="Clinical Consultant - Old Contract (GP)"),$B37&lt;&gt;""),INDEX(Points_Lookup!$K:$K,MATCH($B37,Points_Lookup!$J:$J,0)),IF(AND(OR($B$4="APM Level 7",$B$4="R&amp;T Level 7",$B$4="APM Level 8"),B37&lt;&gt;""),INDEX(Points_Lookup!$E:$E,MATCH($Z37,Points_Lookup!$AH:$AH,0)),IF($B$4="R&amp;T Level 5 - Clinical Lecturers (Vet School)",SUMIF(Points_Lookup!$P:$P,$B37,Points_Lookup!$S:$S),IF($B$4="R&amp;T Level 6 - Clinical Associate Professors and Clinical Readers (Vet School)",SUMIF(Points_Lookup!$W:$W,$B37,Points_Lookup!$Z:$Z),IFERROR(INDEX(Points_Lookup!$B:$B,MATCH($Z37,Points_Lookup!$AH:$AH,0)),""))))))))</f>
        <v>33518</v>
      </c>
      <c r="D37" s="40"/>
      <c r="E37" s="25">
        <f ca="1">IF($B37="","",IF(AND($B$4="Salary Points 3 to 57",B37&lt;Thresholds_Rates!$C$16),"-",IF(SUMIF(Grades!$A:$A,$B$4,Grades!$BO:$BO)=0,"-",IF(AND($B$4="Salary Points 3 to 57",B37&gt;=Thresholds_Rates!$C$16),$C37*Thresholds_Rates!$F$15,IF(AND(OR($B$4="New Consultant Contract"),$B37&lt;&gt;""),$C37*Thresholds_Rates!$F$15,IF(AND(OR($B$4="Clinical Lecturer / Medical Research Fellow",$B$4="Clinical Consultant - Old Contract (GP)"),$B37&lt;&gt;""),$C37*Thresholds_Rates!$F$15,IF(OR($B$4="APM Level 7",$B$4="R&amp;T Level 7"),$C37*Thresholds_Rates!$F$15,IF(SUMIF(Grades!$A:$A,$B$4,Grades!$BO:$BO)=1,$C37*Thresholds_Rates!$F$15,""))))))))</f>
        <v>6033.24</v>
      </c>
      <c r="F37" s="25" t="str">
        <f ca="1">IF(B37="","",IF($B$4="Salary Points 3 to 57","-",IF(SUMIF(Grades!$A:$A,$B$4,Grades!$BP:$BP)=0,"-",IF(AND(OR($B$4="New Consultant Contract"),$B37&lt;&gt;""),$C37*Thresholds_Rates!$F$16,IF(AND(OR($B$4="Clinical Lecturer / Medical Research Fellow",$B$4="Clinical Consultant - Old Contract (GP)"),$B37&lt;&gt;""),$C37*Thresholds_Rates!$F$16,IF(AND(OR($B$4="APM Level 7",$B$4="R&amp;T Level 7"),E37&lt;&gt;""),$C37*Thresholds_Rates!$F$16,IF(SUMIF(Grades!$A:$A,$B$4,Grades!$BP:$BP)=1,$C37*Thresholds_Rates!$F$16,"")))))))</f>
        <v>-</v>
      </c>
      <c r="G37" s="25" t="str">
        <f ca="1">IF($B$4="Apprenticeship","-",IF(B37="","",IF(SUMIF(Grades!$A:$A,$B$4,Grades!$BQ:$BQ)=0,"-",IF(AND($B$4="Salary Points 3 to 57",B37&gt;Thresholds_Rates!$C$17),"-",IF(AND($B$4="Salary Points 3 to 57",B37&lt;=Thresholds_Rates!$C$17),$C37*Thresholds_Rates!$F$17,IF(AND(OR($B$4="New Consultant Contract"),$B37&lt;&gt;""),$C37*Thresholds_Rates!$F$17,IF(AND(OR($B$4="Clinical Lecturer / Medical Research Fellow",$B$4="Clinical Consultant - Old Contract (GP)"),$B37&lt;&gt;""),$C37*Thresholds_Rates!$F$17,IF(AND(OR($B$4="APM Level 7",$B$4="R&amp;T Level 7"),F37&lt;&gt;""),$C37*Thresholds_Rates!$F$17,IF(SUMIF(Grades!$A:$A,$B$4,Grades!$BQ:$BQ)=1,$C37*Thresholds_Rates!$F$17,"")))))))))</f>
        <v>-</v>
      </c>
      <c r="H37" s="25">
        <f ca="1">IF($B37="","",ROUND(($C37-(Thresholds_Rates!$C$5*12))*Thresholds_Rates!$C$10,0))</f>
        <v>3499</v>
      </c>
      <c r="I37" s="25">
        <f ca="1">IF(B37="","",(C37*Thresholds_Rates!$C$12))</f>
        <v>167.59</v>
      </c>
      <c r="J37" s="25" t="str">
        <f ca="1">IF(B37="","",IF(AND($B$4="Salary Points 3 to 57",B37&gt;Thresholds_Rates!$C$17),"-",IF(SUMIF(Grades!$A:$A,$B$4,Grades!$BR:$BR)=0,"-",IF(AND($B$4="Salary Points 3 to 57",B37&lt;=Thresholds_Rates!$C$17),$C37*Thresholds_Rates!$F$18,IF(AND(OR($B$4="New Consultant Contract"),$B37&lt;&gt;""),$C37*Thresholds_Rates!$F$18,IF(AND(OR($B$4="Clinical Lecturer / Medical Research Fellow",$B$4="Clinical Consultant - Old Contract (GP)"),$B37&lt;&gt;""),$C37*Thresholds_Rates!$F$18,IF(AND(OR($B$4="APM Level 7",$B$4="R&amp;T Level 7"),H37&lt;&gt;""),$C37*Thresholds_Rates!$F$18,IF(SUMIF(Grades!$A:$A,$B$4,Grades!$BQ:$BQ)=1,$C37*Thresholds_Rates!$F$18,""))))))))</f>
        <v>-</v>
      </c>
      <c r="K37" s="4"/>
      <c r="L37" s="25">
        <f t="shared" ca="1" si="0"/>
        <v>43217.829999999994</v>
      </c>
      <c r="M37" s="25" t="str">
        <f t="shared" ca="1" si="1"/>
        <v>-</v>
      </c>
      <c r="N37" s="25" t="str">
        <f t="shared" ca="1" si="2"/>
        <v>-</v>
      </c>
      <c r="O37" s="25" t="str">
        <f t="shared" ca="1" si="3"/>
        <v>-</v>
      </c>
      <c r="P37" s="25">
        <f t="shared" ca="1" si="4"/>
        <v>37184.589999999997</v>
      </c>
      <c r="R37" s="28" t="str">
        <f ca="1">IF(B37="","",IF($B$4="R&amp;T Level 5 - Clinical Lecturers (Vet School)",SUMIF(Points_Lookup!$P:$P,$B37,Points_Lookup!$Q:$Q),IF($B$4="R&amp;T Level 6 - Clinical Associate Professors and Clinical Readers (Vet School)",SUMIF(Points_Lookup!$W:$W,$B37,Points_Lookup!$X:$X),"")))</f>
        <v/>
      </c>
      <c r="S37" s="29" t="str">
        <f ca="1">IF(B37="","",IF($B$4="R&amp;T Level 5 - Clinical Lecturers (Vet School)",$C37-SUMIF(Points_Lookup!$P:$P,$B37,Points_Lookup!$R:$R),IF($B$4="R&amp;T Level 6 - Clinical Associate Professors and Clinical Readers (Vet School)",$C37-SUMIF(Points_Lookup!$W:$W,$B37,Points_Lookup!$Y:$Y),"")))</f>
        <v/>
      </c>
      <c r="T37" s="28" t="str">
        <f ca="1">IF(B37="","",IF($B$4="R&amp;T Level 5 - Clinical Lecturers (Vet School)",SUMIF(Points_Lookup!$P:$P,$B37,Points_Lookup!$T:$T),IF($B$4="R&amp;T Level 6 - Clinical Associate Professors and Clinical Readers (Vet School)",SUMIF(Points_Lookup!$W:$W,$B37,Points_Lookup!$AA:$AA),"")))</f>
        <v/>
      </c>
      <c r="U37" s="29" t="str">
        <f t="shared" ca="1" si="5"/>
        <v/>
      </c>
      <c r="Z37" s="26">
        <v>29</v>
      </c>
    </row>
    <row r="38" spans="2:26" x14ac:dyDescent="0.25">
      <c r="B38" s="4">
        <f ca="1">IFERROR(INDEX(Points_Lookup!$A:$A,MATCH($Z38,Points_Lookup!$AH:$AH,0)),"")</f>
        <v>32</v>
      </c>
      <c r="C38" s="25">
        <f ca="1">IF(B38="","",IF($B$4="Apprenticeship",SUMIF(Points_Lookup!$AD:$AD,B38,Points_Lookup!$AF:$AF),IF(AND(OR($B$4="New Consultant Contract"),$B38&lt;&gt;""),INDEX(Points_Lookup!$N:$N,MATCH($B38,Points_Lookup!$M:$M,0)),IF(AND(OR($B$4="Clinical Lecturer / Medical Research Fellow",$B$4="Clinical Consultant - Old Contract (GP)"),$B38&lt;&gt;""),INDEX(Points_Lookup!$K:$K,MATCH($B38,Points_Lookup!$J:$J,0)),IF(AND(OR($B$4="APM Level 7",$B$4="R&amp;T Level 7",$B$4="APM Level 8"),B38&lt;&gt;""),INDEX(Points_Lookup!$E:$E,MATCH($Z38,Points_Lookup!$AH:$AH,0)),IF($B$4="R&amp;T Level 5 - Clinical Lecturers (Vet School)",SUMIF(Points_Lookup!$P:$P,$B38,Points_Lookup!$S:$S),IF($B$4="R&amp;T Level 6 - Clinical Associate Professors and Clinical Readers (Vet School)",SUMIF(Points_Lookup!$W:$W,$B38,Points_Lookup!$Z:$Z),IFERROR(INDEX(Points_Lookup!$B:$B,MATCH($Z38,Points_Lookup!$AH:$AH,0)),""))))))))</f>
        <v>34520</v>
      </c>
      <c r="D38" s="40"/>
      <c r="E38" s="25">
        <f ca="1">IF($B38="","",IF(AND($B$4="Salary Points 3 to 57",B38&lt;Thresholds_Rates!$C$16),"-",IF(SUMIF(Grades!$A:$A,$B$4,Grades!$BO:$BO)=0,"-",IF(AND($B$4="Salary Points 3 to 57",B38&gt;=Thresholds_Rates!$C$16),$C38*Thresholds_Rates!$F$15,IF(AND(OR($B$4="New Consultant Contract"),$B38&lt;&gt;""),$C38*Thresholds_Rates!$F$15,IF(AND(OR($B$4="Clinical Lecturer / Medical Research Fellow",$B$4="Clinical Consultant - Old Contract (GP)"),$B38&lt;&gt;""),$C38*Thresholds_Rates!$F$15,IF(OR($B$4="APM Level 7",$B$4="R&amp;T Level 7"),$C38*Thresholds_Rates!$F$15,IF(SUMIF(Grades!$A:$A,$B$4,Grades!$BO:$BO)=1,$C38*Thresholds_Rates!$F$15,""))))))))</f>
        <v>6213.5999999999995</v>
      </c>
      <c r="F38" s="25" t="str">
        <f ca="1">IF(B38="","",IF($B$4="Salary Points 3 to 57","-",IF(SUMIF(Grades!$A:$A,$B$4,Grades!$BP:$BP)=0,"-",IF(AND(OR($B$4="New Consultant Contract"),$B38&lt;&gt;""),$C38*Thresholds_Rates!$F$16,IF(AND(OR($B$4="Clinical Lecturer / Medical Research Fellow",$B$4="Clinical Consultant - Old Contract (GP)"),$B38&lt;&gt;""),$C38*Thresholds_Rates!$F$16,IF(AND(OR($B$4="APM Level 7",$B$4="R&amp;T Level 7"),E38&lt;&gt;""),$C38*Thresholds_Rates!$F$16,IF(SUMIF(Grades!$A:$A,$B$4,Grades!$BP:$BP)=1,$C38*Thresholds_Rates!$F$16,"")))))))</f>
        <v>-</v>
      </c>
      <c r="G38" s="25" t="str">
        <f ca="1">IF($B$4="Apprenticeship","-",IF(B38="","",IF(SUMIF(Grades!$A:$A,$B$4,Grades!$BQ:$BQ)=0,"-",IF(AND($B$4="Salary Points 3 to 57",B38&gt;Thresholds_Rates!$C$17),"-",IF(AND($B$4="Salary Points 3 to 57",B38&lt;=Thresholds_Rates!$C$17),$C38*Thresholds_Rates!$F$17,IF(AND(OR($B$4="New Consultant Contract"),$B38&lt;&gt;""),$C38*Thresholds_Rates!$F$17,IF(AND(OR($B$4="Clinical Lecturer / Medical Research Fellow",$B$4="Clinical Consultant - Old Contract (GP)"),$B38&lt;&gt;""),$C38*Thresholds_Rates!$F$17,IF(AND(OR($B$4="APM Level 7",$B$4="R&amp;T Level 7"),F38&lt;&gt;""),$C38*Thresholds_Rates!$F$17,IF(SUMIF(Grades!$A:$A,$B$4,Grades!$BQ:$BQ)=1,$C38*Thresholds_Rates!$F$17,"")))))))))</f>
        <v>-</v>
      </c>
      <c r="H38" s="25">
        <f ca="1">IF($B38="","",ROUND(($C38-(Thresholds_Rates!$C$5*12))*Thresholds_Rates!$C$10,0))</f>
        <v>3638</v>
      </c>
      <c r="I38" s="25">
        <f ca="1">IF(B38="","",(C38*Thresholds_Rates!$C$12))</f>
        <v>172.6</v>
      </c>
      <c r="J38" s="25" t="str">
        <f ca="1">IF(B38="","",IF(AND($B$4="Salary Points 3 to 57",B38&gt;Thresholds_Rates!$C$17),"-",IF(SUMIF(Grades!$A:$A,$B$4,Grades!$BR:$BR)=0,"-",IF(AND($B$4="Salary Points 3 to 57",B38&lt;=Thresholds_Rates!$C$17),$C38*Thresholds_Rates!$F$18,IF(AND(OR($B$4="New Consultant Contract"),$B38&lt;&gt;""),$C38*Thresholds_Rates!$F$18,IF(AND(OR($B$4="Clinical Lecturer / Medical Research Fellow",$B$4="Clinical Consultant - Old Contract (GP)"),$B38&lt;&gt;""),$C38*Thresholds_Rates!$F$18,IF(AND(OR($B$4="APM Level 7",$B$4="R&amp;T Level 7"),H38&lt;&gt;""),$C38*Thresholds_Rates!$F$18,IF(SUMIF(Grades!$A:$A,$B$4,Grades!$BQ:$BQ)=1,$C38*Thresholds_Rates!$F$18,""))))))))</f>
        <v>-</v>
      </c>
      <c r="K38" s="4"/>
      <c r="L38" s="25">
        <f t="shared" ca="1" si="0"/>
        <v>44544.2</v>
      </c>
      <c r="M38" s="25" t="str">
        <f t="shared" ca="1" si="1"/>
        <v>-</v>
      </c>
      <c r="N38" s="25" t="str">
        <f t="shared" ca="1" si="2"/>
        <v>-</v>
      </c>
      <c r="O38" s="25" t="str">
        <f t="shared" ca="1" si="3"/>
        <v>-</v>
      </c>
      <c r="P38" s="25">
        <f t="shared" ca="1" si="4"/>
        <v>38330.6</v>
      </c>
      <c r="R38" s="28" t="str">
        <f ca="1">IF(B38="","",IF($B$4="R&amp;T Level 5 - Clinical Lecturers (Vet School)",SUMIF(Points_Lookup!$P:$P,$B38,Points_Lookup!$Q:$Q),IF($B$4="R&amp;T Level 6 - Clinical Associate Professors and Clinical Readers (Vet School)",SUMIF(Points_Lookup!$W:$W,$B38,Points_Lookup!$X:$X),"")))</f>
        <v/>
      </c>
      <c r="S38" s="29" t="str">
        <f ca="1">IF(B38="","",IF($B$4="R&amp;T Level 5 - Clinical Lecturers (Vet School)",$C38-SUMIF(Points_Lookup!$P:$P,$B38,Points_Lookup!$R:$R),IF($B$4="R&amp;T Level 6 - Clinical Associate Professors and Clinical Readers (Vet School)",$C38-SUMIF(Points_Lookup!$W:$W,$B38,Points_Lookup!$Y:$Y),"")))</f>
        <v/>
      </c>
      <c r="T38" s="28" t="str">
        <f ca="1">IF(B38="","",IF($B$4="R&amp;T Level 5 - Clinical Lecturers (Vet School)",SUMIF(Points_Lookup!$P:$P,$B38,Points_Lookup!$T:$T),IF($B$4="R&amp;T Level 6 - Clinical Associate Professors and Clinical Readers (Vet School)",SUMIF(Points_Lookup!$W:$W,$B38,Points_Lookup!$AA:$AA),"")))</f>
        <v/>
      </c>
      <c r="U38" s="29" t="str">
        <f t="shared" ca="1" si="5"/>
        <v/>
      </c>
      <c r="Z38" s="26">
        <v>30</v>
      </c>
    </row>
    <row r="39" spans="2:26" x14ac:dyDescent="0.25">
      <c r="B39" s="4">
        <f ca="1">IFERROR(INDEX(Points_Lookup!$A:$A,MATCH($Z39,Points_Lookup!$AH:$AH,0)),"")</f>
        <v>33</v>
      </c>
      <c r="C39" s="25">
        <f ca="1">IF(B39="","",IF($B$4="Apprenticeship",SUMIF(Points_Lookup!$AD:$AD,B39,Points_Lookup!$AF:$AF),IF(AND(OR($B$4="New Consultant Contract"),$B39&lt;&gt;""),INDEX(Points_Lookup!$N:$N,MATCH($B39,Points_Lookup!$M:$M,0)),IF(AND(OR($B$4="Clinical Lecturer / Medical Research Fellow",$B$4="Clinical Consultant - Old Contract (GP)"),$B39&lt;&gt;""),INDEX(Points_Lookup!$K:$K,MATCH($B39,Points_Lookup!$J:$J,0)),IF(AND(OR($B$4="APM Level 7",$B$4="R&amp;T Level 7",$B$4="APM Level 8"),B39&lt;&gt;""),INDEX(Points_Lookup!$E:$E,MATCH($Z39,Points_Lookup!$AH:$AH,0)),IF($B$4="R&amp;T Level 5 - Clinical Lecturers (Vet School)",SUMIF(Points_Lookup!$P:$P,$B39,Points_Lookup!$S:$S),IF($B$4="R&amp;T Level 6 - Clinical Associate Professors and Clinical Readers (Vet School)",SUMIF(Points_Lookup!$W:$W,$B39,Points_Lookup!$Z:$Z),IFERROR(INDEX(Points_Lookup!$B:$B,MATCH($Z39,Points_Lookup!$AH:$AH,0)),""))))))))</f>
        <v>35550</v>
      </c>
      <c r="D39" s="40"/>
      <c r="E39" s="25">
        <f ca="1">IF($B39="","",IF(AND($B$4="Salary Points 3 to 57",B39&lt;Thresholds_Rates!$C$16),"-",IF(SUMIF(Grades!$A:$A,$B$4,Grades!$BO:$BO)=0,"-",IF(AND($B$4="Salary Points 3 to 57",B39&gt;=Thresholds_Rates!$C$16),$C39*Thresholds_Rates!$F$15,IF(AND(OR($B$4="New Consultant Contract"),$B39&lt;&gt;""),$C39*Thresholds_Rates!$F$15,IF(AND(OR($B$4="Clinical Lecturer / Medical Research Fellow",$B$4="Clinical Consultant - Old Contract (GP)"),$B39&lt;&gt;""),$C39*Thresholds_Rates!$F$15,IF(OR($B$4="APM Level 7",$B$4="R&amp;T Level 7"),$C39*Thresholds_Rates!$F$15,IF(SUMIF(Grades!$A:$A,$B$4,Grades!$BO:$BO)=1,$C39*Thresholds_Rates!$F$15,""))))))))</f>
        <v>6399</v>
      </c>
      <c r="F39" s="25" t="str">
        <f ca="1">IF(B39="","",IF($B$4="Salary Points 3 to 57","-",IF(SUMIF(Grades!$A:$A,$B$4,Grades!$BP:$BP)=0,"-",IF(AND(OR($B$4="New Consultant Contract"),$B39&lt;&gt;""),$C39*Thresholds_Rates!$F$16,IF(AND(OR($B$4="Clinical Lecturer / Medical Research Fellow",$B$4="Clinical Consultant - Old Contract (GP)"),$B39&lt;&gt;""),$C39*Thresholds_Rates!$F$16,IF(AND(OR($B$4="APM Level 7",$B$4="R&amp;T Level 7"),E39&lt;&gt;""),$C39*Thresholds_Rates!$F$16,IF(SUMIF(Grades!$A:$A,$B$4,Grades!$BP:$BP)=1,$C39*Thresholds_Rates!$F$16,"")))))))</f>
        <v>-</v>
      </c>
      <c r="G39" s="25" t="str">
        <f ca="1">IF($B$4="Apprenticeship","-",IF(B39="","",IF(SUMIF(Grades!$A:$A,$B$4,Grades!$BQ:$BQ)=0,"-",IF(AND($B$4="Salary Points 3 to 57",B39&gt;Thresholds_Rates!$C$17),"-",IF(AND($B$4="Salary Points 3 to 57",B39&lt;=Thresholds_Rates!$C$17),$C39*Thresholds_Rates!$F$17,IF(AND(OR($B$4="New Consultant Contract"),$B39&lt;&gt;""),$C39*Thresholds_Rates!$F$17,IF(AND(OR($B$4="Clinical Lecturer / Medical Research Fellow",$B$4="Clinical Consultant - Old Contract (GP)"),$B39&lt;&gt;""),$C39*Thresholds_Rates!$F$17,IF(AND(OR($B$4="APM Level 7",$B$4="R&amp;T Level 7"),F39&lt;&gt;""),$C39*Thresholds_Rates!$F$17,IF(SUMIF(Grades!$A:$A,$B$4,Grades!$BQ:$BQ)=1,$C39*Thresholds_Rates!$F$17,"")))))))))</f>
        <v>-</v>
      </c>
      <c r="H39" s="25">
        <f ca="1">IF($B39="","",ROUND(($C39-(Thresholds_Rates!$C$5*12))*Thresholds_Rates!$C$10,0))</f>
        <v>3780</v>
      </c>
      <c r="I39" s="25">
        <f ca="1">IF(B39="","",(C39*Thresholds_Rates!$C$12))</f>
        <v>177.75</v>
      </c>
      <c r="J39" s="25" t="str">
        <f ca="1">IF(B39="","",IF(AND($B$4="Salary Points 3 to 57",B39&gt;Thresholds_Rates!$C$17),"-",IF(SUMIF(Grades!$A:$A,$B$4,Grades!$BR:$BR)=0,"-",IF(AND($B$4="Salary Points 3 to 57",B39&lt;=Thresholds_Rates!$C$17),$C39*Thresholds_Rates!$F$18,IF(AND(OR($B$4="New Consultant Contract"),$B39&lt;&gt;""),$C39*Thresholds_Rates!$F$18,IF(AND(OR($B$4="Clinical Lecturer / Medical Research Fellow",$B$4="Clinical Consultant - Old Contract (GP)"),$B39&lt;&gt;""),$C39*Thresholds_Rates!$F$18,IF(AND(OR($B$4="APM Level 7",$B$4="R&amp;T Level 7"),H39&lt;&gt;""),$C39*Thresholds_Rates!$F$18,IF(SUMIF(Grades!$A:$A,$B$4,Grades!$BQ:$BQ)=1,$C39*Thresholds_Rates!$F$18,""))))))))</f>
        <v>-</v>
      </c>
      <c r="K39" s="4"/>
      <c r="L39" s="25">
        <f t="shared" ca="1" si="0"/>
        <v>45906.75</v>
      </c>
      <c r="M39" s="25" t="str">
        <f t="shared" ca="1" si="1"/>
        <v>-</v>
      </c>
      <c r="N39" s="25" t="str">
        <f t="shared" ca="1" si="2"/>
        <v>-</v>
      </c>
      <c r="O39" s="25" t="str">
        <f t="shared" ca="1" si="3"/>
        <v>-</v>
      </c>
      <c r="P39" s="25">
        <f t="shared" ca="1" si="4"/>
        <v>39507.75</v>
      </c>
      <c r="R39" s="28" t="str">
        <f ca="1">IF(B39="","",IF($B$4="R&amp;T Level 5 - Clinical Lecturers (Vet School)",SUMIF(Points_Lookup!$P:$P,$B39,Points_Lookup!$Q:$Q),IF($B$4="R&amp;T Level 6 - Clinical Associate Professors and Clinical Readers (Vet School)",SUMIF(Points_Lookup!$W:$W,$B39,Points_Lookup!$X:$X),"")))</f>
        <v/>
      </c>
      <c r="S39" s="29" t="str">
        <f ca="1">IF(B39="","",IF($B$4="R&amp;T Level 5 - Clinical Lecturers (Vet School)",$C39-SUMIF(Points_Lookup!$P:$P,$B39,Points_Lookup!$R:$R),IF($B$4="R&amp;T Level 6 - Clinical Associate Professors and Clinical Readers (Vet School)",$C39-SUMIF(Points_Lookup!$W:$W,$B39,Points_Lookup!$Y:$Y),"")))</f>
        <v/>
      </c>
      <c r="T39" s="28" t="str">
        <f ca="1">IF(B39="","",IF($B$4="R&amp;T Level 5 - Clinical Lecturers (Vet School)",SUMIF(Points_Lookup!$P:$P,$B39,Points_Lookup!$T:$T),IF($B$4="R&amp;T Level 6 - Clinical Associate Professors and Clinical Readers (Vet School)",SUMIF(Points_Lookup!$W:$W,$B39,Points_Lookup!$AA:$AA),"")))</f>
        <v/>
      </c>
      <c r="U39" s="29" t="str">
        <f t="shared" ca="1" si="5"/>
        <v/>
      </c>
      <c r="Z39" s="26">
        <v>31</v>
      </c>
    </row>
    <row r="40" spans="2:26" x14ac:dyDescent="0.25">
      <c r="B40" s="4">
        <f ca="1">IFERROR(INDEX(Points_Lookup!$A:$A,MATCH($Z40,Points_Lookup!$AH:$AH,0)),"")</f>
        <v>34</v>
      </c>
      <c r="C40" s="25">
        <f ca="1">IF(B40="","",IF($B$4="Apprenticeship",SUMIF(Points_Lookup!$AD:$AD,B40,Points_Lookup!$AF:$AF),IF(AND(OR($B$4="New Consultant Contract"),$B40&lt;&gt;""),INDEX(Points_Lookup!$N:$N,MATCH($B40,Points_Lookup!$M:$M,0)),IF(AND(OR($B$4="Clinical Lecturer / Medical Research Fellow",$B$4="Clinical Consultant - Old Contract (GP)"),$B40&lt;&gt;""),INDEX(Points_Lookup!$K:$K,MATCH($B40,Points_Lookup!$J:$J,0)),IF(AND(OR($B$4="APM Level 7",$B$4="R&amp;T Level 7",$B$4="APM Level 8"),B40&lt;&gt;""),INDEX(Points_Lookup!$E:$E,MATCH($Z40,Points_Lookup!$AH:$AH,0)),IF($B$4="R&amp;T Level 5 - Clinical Lecturers (Vet School)",SUMIF(Points_Lookup!$P:$P,$B40,Points_Lookup!$S:$S),IF($B$4="R&amp;T Level 6 - Clinical Associate Professors and Clinical Readers (Vet School)",SUMIF(Points_Lookup!$W:$W,$B40,Points_Lookup!$Z:$Z),IFERROR(INDEX(Points_Lookup!$B:$B,MATCH($Z40,Points_Lookup!$AH:$AH,0)),""))))))))</f>
        <v>36613</v>
      </c>
      <c r="D40" s="40"/>
      <c r="E40" s="25">
        <f ca="1">IF($B40="","",IF(AND($B$4="Salary Points 3 to 57",B40&lt;Thresholds_Rates!$C$16),"-",IF(SUMIF(Grades!$A:$A,$B$4,Grades!$BO:$BO)=0,"-",IF(AND($B$4="Salary Points 3 to 57",B40&gt;=Thresholds_Rates!$C$16),$C40*Thresholds_Rates!$F$15,IF(AND(OR($B$4="New Consultant Contract"),$B40&lt;&gt;""),$C40*Thresholds_Rates!$F$15,IF(AND(OR($B$4="Clinical Lecturer / Medical Research Fellow",$B$4="Clinical Consultant - Old Contract (GP)"),$B40&lt;&gt;""),$C40*Thresholds_Rates!$F$15,IF(OR($B$4="APM Level 7",$B$4="R&amp;T Level 7"),$C40*Thresholds_Rates!$F$15,IF(SUMIF(Grades!$A:$A,$B$4,Grades!$BO:$BO)=1,$C40*Thresholds_Rates!$F$15,""))))))))</f>
        <v>6590.34</v>
      </c>
      <c r="F40" s="25" t="str">
        <f ca="1">IF(B40="","",IF($B$4="Salary Points 3 to 57","-",IF(SUMIF(Grades!$A:$A,$B$4,Grades!$BP:$BP)=0,"-",IF(AND(OR($B$4="New Consultant Contract"),$B40&lt;&gt;""),$C40*Thresholds_Rates!$F$16,IF(AND(OR($B$4="Clinical Lecturer / Medical Research Fellow",$B$4="Clinical Consultant - Old Contract (GP)"),$B40&lt;&gt;""),$C40*Thresholds_Rates!$F$16,IF(AND(OR($B$4="APM Level 7",$B$4="R&amp;T Level 7"),E40&lt;&gt;""),$C40*Thresholds_Rates!$F$16,IF(SUMIF(Grades!$A:$A,$B$4,Grades!$BP:$BP)=1,$C40*Thresholds_Rates!$F$16,"")))))))</f>
        <v>-</v>
      </c>
      <c r="G40" s="25" t="str">
        <f ca="1">IF($B$4="Apprenticeship","-",IF(B40="","",IF(SUMIF(Grades!$A:$A,$B$4,Grades!$BQ:$BQ)=0,"-",IF(AND($B$4="Salary Points 3 to 57",B40&gt;Thresholds_Rates!$C$17),"-",IF(AND($B$4="Salary Points 3 to 57",B40&lt;=Thresholds_Rates!$C$17),$C40*Thresholds_Rates!$F$17,IF(AND(OR($B$4="New Consultant Contract"),$B40&lt;&gt;""),$C40*Thresholds_Rates!$F$17,IF(AND(OR($B$4="Clinical Lecturer / Medical Research Fellow",$B$4="Clinical Consultant - Old Contract (GP)"),$B40&lt;&gt;""),$C40*Thresholds_Rates!$F$17,IF(AND(OR($B$4="APM Level 7",$B$4="R&amp;T Level 7"),F40&lt;&gt;""),$C40*Thresholds_Rates!$F$17,IF(SUMIF(Grades!$A:$A,$B$4,Grades!$BQ:$BQ)=1,$C40*Thresholds_Rates!$F$17,"")))))))))</f>
        <v>-</v>
      </c>
      <c r="H40" s="25">
        <f ca="1">IF($B40="","",ROUND(($C40-(Thresholds_Rates!$C$5*12))*Thresholds_Rates!$C$10,0))</f>
        <v>3927</v>
      </c>
      <c r="I40" s="25">
        <f ca="1">IF(B40="","",(C40*Thresholds_Rates!$C$12))</f>
        <v>183.065</v>
      </c>
      <c r="J40" s="25" t="str">
        <f ca="1">IF(B40="","",IF(AND($B$4="Salary Points 3 to 57",B40&gt;Thresholds_Rates!$C$17),"-",IF(SUMIF(Grades!$A:$A,$B$4,Grades!$BR:$BR)=0,"-",IF(AND($B$4="Salary Points 3 to 57",B40&lt;=Thresholds_Rates!$C$17),$C40*Thresholds_Rates!$F$18,IF(AND(OR($B$4="New Consultant Contract"),$B40&lt;&gt;""),$C40*Thresholds_Rates!$F$18,IF(AND(OR($B$4="Clinical Lecturer / Medical Research Fellow",$B$4="Clinical Consultant - Old Contract (GP)"),$B40&lt;&gt;""),$C40*Thresholds_Rates!$F$18,IF(AND(OR($B$4="APM Level 7",$B$4="R&amp;T Level 7"),H40&lt;&gt;""),$C40*Thresholds_Rates!$F$18,IF(SUMIF(Grades!$A:$A,$B$4,Grades!$BQ:$BQ)=1,$C40*Thresholds_Rates!$F$18,""))))))))</f>
        <v>-</v>
      </c>
      <c r="K40" s="4"/>
      <c r="L40" s="25">
        <f t="shared" ca="1" si="0"/>
        <v>47313.404999999999</v>
      </c>
      <c r="M40" s="25" t="str">
        <f t="shared" ca="1" si="1"/>
        <v>-</v>
      </c>
      <c r="N40" s="25" t="str">
        <f t="shared" ca="1" si="2"/>
        <v>-</v>
      </c>
      <c r="O40" s="25" t="str">
        <f t="shared" ca="1" si="3"/>
        <v>-</v>
      </c>
      <c r="P40" s="25">
        <f t="shared" ca="1" si="4"/>
        <v>40723.065000000002</v>
      </c>
      <c r="R40" s="28" t="str">
        <f ca="1">IF(B40="","",IF($B$4="R&amp;T Level 5 - Clinical Lecturers (Vet School)",SUMIF(Points_Lookup!$P:$P,$B40,Points_Lookup!$Q:$Q),IF($B$4="R&amp;T Level 6 - Clinical Associate Professors and Clinical Readers (Vet School)",SUMIF(Points_Lookup!$W:$W,$B40,Points_Lookup!$X:$X),"")))</f>
        <v/>
      </c>
      <c r="S40" s="29" t="str">
        <f ca="1">IF(B40="","",IF($B$4="R&amp;T Level 5 - Clinical Lecturers (Vet School)",$C40-SUMIF(Points_Lookup!$P:$P,$B40,Points_Lookup!$R:$R),IF($B$4="R&amp;T Level 6 - Clinical Associate Professors and Clinical Readers (Vet School)",$C40-SUMIF(Points_Lookup!$W:$W,$B40,Points_Lookup!$Y:$Y),"")))</f>
        <v/>
      </c>
      <c r="T40" s="28" t="str">
        <f ca="1">IF(B40="","",IF($B$4="R&amp;T Level 5 - Clinical Lecturers (Vet School)",SUMIF(Points_Lookup!$P:$P,$B40,Points_Lookup!$T:$T),IF($B$4="R&amp;T Level 6 - Clinical Associate Professors and Clinical Readers (Vet School)",SUMIF(Points_Lookup!$W:$W,$B40,Points_Lookup!$AA:$AA),"")))</f>
        <v/>
      </c>
      <c r="U40" s="29" t="str">
        <f t="shared" ca="1" si="5"/>
        <v/>
      </c>
      <c r="Z40" s="26">
        <v>32</v>
      </c>
    </row>
    <row r="41" spans="2:26" x14ac:dyDescent="0.25">
      <c r="B41" s="4">
        <f ca="1">IFERROR(INDEX(Points_Lookup!$A:$A,MATCH($Z41,Points_Lookup!$AH:$AH,0)),"")</f>
        <v>35</v>
      </c>
      <c r="C41" s="25">
        <f ca="1">IF(B41="","",IF($B$4="Apprenticeship",SUMIF(Points_Lookup!$AD:$AD,B41,Points_Lookup!$AF:$AF),IF(AND(OR($B$4="New Consultant Contract"),$B41&lt;&gt;""),INDEX(Points_Lookup!$N:$N,MATCH($B41,Points_Lookup!$M:$M,0)),IF(AND(OR($B$4="Clinical Lecturer / Medical Research Fellow",$B$4="Clinical Consultant - Old Contract (GP)"),$B41&lt;&gt;""),INDEX(Points_Lookup!$K:$K,MATCH($B41,Points_Lookup!$J:$J,0)),IF(AND(OR($B$4="APM Level 7",$B$4="R&amp;T Level 7",$B$4="APM Level 8"),B41&lt;&gt;""),INDEX(Points_Lookup!$E:$E,MATCH($Z41,Points_Lookup!$AH:$AH,0)),IF($B$4="R&amp;T Level 5 - Clinical Lecturers (Vet School)",SUMIF(Points_Lookup!$P:$P,$B41,Points_Lookup!$S:$S),IF($B$4="R&amp;T Level 6 - Clinical Associate Professors and Clinical Readers (Vet School)",SUMIF(Points_Lookup!$W:$W,$B41,Points_Lookup!$Z:$Z),IFERROR(INDEX(Points_Lookup!$B:$B,MATCH($Z41,Points_Lookup!$AH:$AH,0)),""))))))))</f>
        <v>37706</v>
      </c>
      <c r="D41" s="40"/>
      <c r="E41" s="25">
        <f ca="1">IF($B41="","",IF(AND($B$4="Salary Points 3 to 57",B41&lt;Thresholds_Rates!$C$16),"-",IF(SUMIF(Grades!$A:$A,$B$4,Grades!$BO:$BO)=0,"-",IF(AND($B$4="Salary Points 3 to 57",B41&gt;=Thresholds_Rates!$C$16),$C41*Thresholds_Rates!$F$15,IF(AND(OR($B$4="New Consultant Contract"),$B41&lt;&gt;""),$C41*Thresholds_Rates!$F$15,IF(AND(OR($B$4="Clinical Lecturer / Medical Research Fellow",$B$4="Clinical Consultant - Old Contract (GP)"),$B41&lt;&gt;""),$C41*Thresholds_Rates!$F$15,IF(OR($B$4="APM Level 7",$B$4="R&amp;T Level 7"),$C41*Thresholds_Rates!$F$15,IF(SUMIF(Grades!$A:$A,$B$4,Grades!$BO:$BO)=1,$C41*Thresholds_Rates!$F$15,""))))))))</f>
        <v>6787.08</v>
      </c>
      <c r="F41" s="25" t="str">
        <f ca="1">IF(B41="","",IF($B$4="Salary Points 3 to 57","-",IF(SUMIF(Grades!$A:$A,$B$4,Grades!$BP:$BP)=0,"-",IF(AND(OR($B$4="New Consultant Contract"),$B41&lt;&gt;""),$C41*Thresholds_Rates!$F$16,IF(AND(OR($B$4="Clinical Lecturer / Medical Research Fellow",$B$4="Clinical Consultant - Old Contract (GP)"),$B41&lt;&gt;""),$C41*Thresholds_Rates!$F$16,IF(AND(OR($B$4="APM Level 7",$B$4="R&amp;T Level 7"),E41&lt;&gt;""),$C41*Thresholds_Rates!$F$16,IF(SUMIF(Grades!$A:$A,$B$4,Grades!$BP:$BP)=1,$C41*Thresholds_Rates!$F$16,"")))))))</f>
        <v>-</v>
      </c>
      <c r="G41" s="25" t="str">
        <f ca="1">IF($B$4="Apprenticeship","-",IF(B41="","",IF(SUMIF(Grades!$A:$A,$B$4,Grades!$BQ:$BQ)=0,"-",IF(AND($B$4="Salary Points 3 to 57",B41&gt;Thresholds_Rates!$C$17),"-",IF(AND($B$4="Salary Points 3 to 57",B41&lt;=Thresholds_Rates!$C$17),$C41*Thresholds_Rates!$F$17,IF(AND(OR($B$4="New Consultant Contract"),$B41&lt;&gt;""),$C41*Thresholds_Rates!$F$17,IF(AND(OR($B$4="Clinical Lecturer / Medical Research Fellow",$B$4="Clinical Consultant - Old Contract (GP)"),$B41&lt;&gt;""),$C41*Thresholds_Rates!$F$17,IF(AND(OR($B$4="APM Level 7",$B$4="R&amp;T Level 7"),F41&lt;&gt;""),$C41*Thresholds_Rates!$F$17,IF(SUMIF(Grades!$A:$A,$B$4,Grades!$BQ:$BQ)=1,$C41*Thresholds_Rates!$F$17,"")))))))))</f>
        <v>-</v>
      </c>
      <c r="H41" s="25">
        <f ca="1">IF($B41="","",ROUND(($C41-(Thresholds_Rates!$C$5*12))*Thresholds_Rates!$C$10,0))</f>
        <v>4077</v>
      </c>
      <c r="I41" s="25">
        <f ca="1">IF(B41="","",(C41*Thresholds_Rates!$C$12))</f>
        <v>188.53</v>
      </c>
      <c r="J41" s="25" t="str">
        <f ca="1">IF(B41="","",IF(AND($B$4="Salary Points 3 to 57",B41&gt;Thresholds_Rates!$C$17),"-",IF(SUMIF(Grades!$A:$A,$B$4,Grades!$BR:$BR)=0,"-",IF(AND($B$4="Salary Points 3 to 57",B41&lt;=Thresholds_Rates!$C$17),$C41*Thresholds_Rates!$F$18,IF(AND(OR($B$4="New Consultant Contract"),$B41&lt;&gt;""),$C41*Thresholds_Rates!$F$18,IF(AND(OR($B$4="Clinical Lecturer / Medical Research Fellow",$B$4="Clinical Consultant - Old Contract (GP)"),$B41&lt;&gt;""),$C41*Thresholds_Rates!$F$18,IF(AND(OR($B$4="APM Level 7",$B$4="R&amp;T Level 7"),H41&lt;&gt;""),$C41*Thresholds_Rates!$F$18,IF(SUMIF(Grades!$A:$A,$B$4,Grades!$BQ:$BQ)=1,$C41*Thresholds_Rates!$F$18,""))))))))</f>
        <v>-</v>
      </c>
      <c r="K41" s="4"/>
      <c r="L41" s="25">
        <f t="shared" ref="L41:L73" ca="1" si="6">IF(B41="","",IF(E41="-","-",$C41+$H41+E41+I41))</f>
        <v>48758.61</v>
      </c>
      <c r="M41" s="25" t="str">
        <f t="shared" ref="M41:M73" ca="1" si="7">IF(B41="","",IF(F41="-","-",$C41+$H41+F41+I41))</f>
        <v>-</v>
      </c>
      <c r="N41" s="25" t="str">
        <f t="shared" ref="N41:N73" ca="1" si="8">IF(B41="","",IF(G41="-","-",$C41+$H41+G41+I41))</f>
        <v>-</v>
      </c>
      <c r="O41" s="25" t="str">
        <f t="shared" ref="O41:O73" ca="1" si="9">IF(B41="","",IF(J41="-","-",$C41+$H41+J41+I41))</f>
        <v>-</v>
      </c>
      <c r="P41" s="25">
        <f t="shared" ref="P41:P73" ca="1" si="10">IF(B41="","",C41+H41+I41)</f>
        <v>41971.53</v>
      </c>
      <c r="R41" s="28" t="str">
        <f ca="1">IF(B41="","",IF($B$4="R&amp;T Level 5 - Clinical Lecturers (Vet School)",SUMIF(Points_Lookup!$P:$P,$B41,Points_Lookup!$Q:$Q),IF($B$4="R&amp;T Level 6 - Clinical Associate Professors and Clinical Readers (Vet School)",SUMIF(Points_Lookup!$W:$W,$B41,Points_Lookup!$X:$X),"")))</f>
        <v/>
      </c>
      <c r="S41" s="29" t="str">
        <f ca="1">IF(B41="","",IF($B$4="R&amp;T Level 5 - Clinical Lecturers (Vet School)",$C41-SUMIF(Points_Lookup!$P:$P,$B41,Points_Lookup!$R:$R),IF($B$4="R&amp;T Level 6 - Clinical Associate Professors and Clinical Readers (Vet School)",$C41-SUMIF(Points_Lookup!$W:$W,$B41,Points_Lookup!$Y:$Y),"")))</f>
        <v/>
      </c>
      <c r="T41" s="28" t="str">
        <f ca="1">IF(B41="","",IF($B$4="R&amp;T Level 5 - Clinical Lecturers (Vet School)",SUMIF(Points_Lookup!$P:$P,$B41,Points_Lookup!$T:$T),IF($B$4="R&amp;T Level 6 - Clinical Associate Professors and Clinical Readers (Vet School)",SUMIF(Points_Lookup!$W:$W,$B41,Points_Lookup!$AA:$AA),"")))</f>
        <v/>
      </c>
      <c r="U41" s="29" t="str">
        <f t="shared" ref="U41:U72" ca="1" si="11">IF(B41="","",IF($B$4="R&amp;T Level 5 - Clinical Lecturers (Vet School)",ROUND(C41*T41,0),IF($B$4="R&amp;T Level 6 - Clinical Associate Professors and Clinical Readers (Vet School)",ROUND(C41*T41,0),"")))</f>
        <v/>
      </c>
      <c r="Z41" s="26">
        <v>33</v>
      </c>
    </row>
    <row r="42" spans="2:26" x14ac:dyDescent="0.25">
      <c r="B42" s="4">
        <f ca="1">IFERROR(INDEX(Points_Lookup!$A:$A,MATCH($Z42,Points_Lookup!$AH:$AH,0)),"")</f>
        <v>36</v>
      </c>
      <c r="C42" s="25">
        <f ca="1">IF(B42="","",IF($B$4="Apprenticeship",SUMIF(Points_Lookup!$AD:$AD,B42,Points_Lookup!$AF:$AF),IF(AND(OR($B$4="New Consultant Contract"),$B42&lt;&gt;""),INDEX(Points_Lookup!$N:$N,MATCH($B42,Points_Lookup!$M:$M,0)),IF(AND(OR($B$4="Clinical Lecturer / Medical Research Fellow",$B$4="Clinical Consultant - Old Contract (GP)"),$B42&lt;&gt;""),INDEX(Points_Lookup!$K:$K,MATCH($B42,Points_Lookup!$J:$J,0)),IF(AND(OR($B$4="APM Level 7",$B$4="R&amp;T Level 7",$B$4="APM Level 8"),B42&lt;&gt;""),INDEX(Points_Lookup!$E:$E,MATCH($Z42,Points_Lookup!$AH:$AH,0)),IF($B$4="R&amp;T Level 5 - Clinical Lecturers (Vet School)",SUMIF(Points_Lookup!$P:$P,$B42,Points_Lookup!$S:$S),IF($B$4="R&amp;T Level 6 - Clinical Associate Professors and Clinical Readers (Vet School)",SUMIF(Points_Lookup!$W:$W,$B42,Points_Lookup!$Z:$Z),IFERROR(INDEX(Points_Lookup!$B:$B,MATCH($Z42,Points_Lookup!$AH:$AH,0)),""))))))))</f>
        <v>38833</v>
      </c>
      <c r="D42" s="40"/>
      <c r="E42" s="25">
        <f ca="1">IF($B42="","",IF(AND($B$4="Salary Points 3 to 57",B42&lt;Thresholds_Rates!$C$16),"-",IF(SUMIF(Grades!$A:$A,$B$4,Grades!$BO:$BO)=0,"-",IF(AND($B$4="Salary Points 3 to 57",B42&gt;=Thresholds_Rates!$C$16),$C42*Thresholds_Rates!$F$15,IF(AND(OR($B$4="New Consultant Contract"),$B42&lt;&gt;""),$C42*Thresholds_Rates!$F$15,IF(AND(OR($B$4="Clinical Lecturer / Medical Research Fellow",$B$4="Clinical Consultant - Old Contract (GP)"),$B42&lt;&gt;""),$C42*Thresholds_Rates!$F$15,IF(OR($B$4="APM Level 7",$B$4="R&amp;T Level 7"),$C42*Thresholds_Rates!$F$15,IF(SUMIF(Grades!$A:$A,$B$4,Grades!$BO:$BO)=1,$C42*Thresholds_Rates!$F$15,""))))))))</f>
        <v>6989.94</v>
      </c>
      <c r="F42" s="25" t="str">
        <f ca="1">IF(B42="","",IF($B$4="Salary Points 3 to 57","-",IF(SUMIF(Grades!$A:$A,$B$4,Grades!$BP:$BP)=0,"-",IF(AND(OR($B$4="New Consultant Contract"),$B42&lt;&gt;""),$C42*Thresholds_Rates!$F$16,IF(AND(OR($B$4="Clinical Lecturer / Medical Research Fellow",$B$4="Clinical Consultant - Old Contract (GP)"),$B42&lt;&gt;""),$C42*Thresholds_Rates!$F$16,IF(AND(OR($B$4="APM Level 7",$B$4="R&amp;T Level 7"),E42&lt;&gt;""),$C42*Thresholds_Rates!$F$16,IF(SUMIF(Grades!$A:$A,$B$4,Grades!$BP:$BP)=1,$C42*Thresholds_Rates!$F$16,"")))))))</f>
        <v>-</v>
      </c>
      <c r="G42" s="25" t="str">
        <f ca="1">IF($B$4="Apprenticeship","-",IF(B42="","",IF(SUMIF(Grades!$A:$A,$B$4,Grades!$BQ:$BQ)=0,"-",IF(AND($B$4="Salary Points 3 to 57",B42&gt;Thresholds_Rates!$C$17),"-",IF(AND($B$4="Salary Points 3 to 57",B42&lt;=Thresholds_Rates!$C$17),$C42*Thresholds_Rates!$F$17,IF(AND(OR($B$4="New Consultant Contract"),$B42&lt;&gt;""),$C42*Thresholds_Rates!$F$17,IF(AND(OR($B$4="Clinical Lecturer / Medical Research Fellow",$B$4="Clinical Consultant - Old Contract (GP)"),$B42&lt;&gt;""),$C42*Thresholds_Rates!$F$17,IF(AND(OR($B$4="APM Level 7",$B$4="R&amp;T Level 7"),F42&lt;&gt;""),$C42*Thresholds_Rates!$F$17,IF(SUMIF(Grades!$A:$A,$B$4,Grades!$BQ:$BQ)=1,$C42*Thresholds_Rates!$F$17,"")))))))))</f>
        <v>-</v>
      </c>
      <c r="H42" s="25">
        <f ca="1">IF($B42="","",ROUND(($C42-(Thresholds_Rates!$C$5*12))*Thresholds_Rates!$C$10,0))</f>
        <v>4233</v>
      </c>
      <c r="I42" s="25">
        <f ca="1">IF(B42="","",(C42*Thresholds_Rates!$C$12))</f>
        <v>194.16499999999999</v>
      </c>
      <c r="J42" s="25" t="str">
        <f ca="1">IF(B42="","",IF(AND($B$4="Salary Points 3 to 57",B42&gt;Thresholds_Rates!$C$17),"-",IF(SUMIF(Grades!$A:$A,$B$4,Grades!$BR:$BR)=0,"-",IF(AND($B$4="Salary Points 3 to 57",B42&lt;=Thresholds_Rates!$C$17),$C42*Thresholds_Rates!$F$18,IF(AND(OR($B$4="New Consultant Contract"),$B42&lt;&gt;""),$C42*Thresholds_Rates!$F$18,IF(AND(OR($B$4="Clinical Lecturer / Medical Research Fellow",$B$4="Clinical Consultant - Old Contract (GP)"),$B42&lt;&gt;""),$C42*Thresholds_Rates!$F$18,IF(AND(OR($B$4="APM Level 7",$B$4="R&amp;T Level 7"),H42&lt;&gt;""),$C42*Thresholds_Rates!$F$18,IF(SUMIF(Grades!$A:$A,$B$4,Grades!$BQ:$BQ)=1,$C42*Thresholds_Rates!$F$18,""))))))))</f>
        <v>-</v>
      </c>
      <c r="K42" s="4"/>
      <c r="L42" s="25">
        <f t="shared" ca="1" si="6"/>
        <v>50250.105000000003</v>
      </c>
      <c r="M42" s="25" t="str">
        <f t="shared" ca="1" si="7"/>
        <v>-</v>
      </c>
      <c r="N42" s="25" t="str">
        <f t="shared" ca="1" si="8"/>
        <v>-</v>
      </c>
      <c r="O42" s="25" t="str">
        <f t="shared" ca="1" si="9"/>
        <v>-</v>
      </c>
      <c r="P42" s="25">
        <f t="shared" ca="1" si="10"/>
        <v>43260.165000000001</v>
      </c>
      <c r="R42" s="28" t="str">
        <f ca="1">IF(B42="","",IF($B$4="R&amp;T Level 5 - Clinical Lecturers (Vet School)",SUMIF(Points_Lookup!$P:$P,$B42,Points_Lookup!$Q:$Q),IF($B$4="R&amp;T Level 6 - Clinical Associate Professors and Clinical Readers (Vet School)",SUMIF(Points_Lookup!$W:$W,$B42,Points_Lookup!$X:$X),"")))</f>
        <v/>
      </c>
      <c r="S42" s="29" t="str">
        <f ca="1">IF(B42="","",IF($B$4="R&amp;T Level 5 - Clinical Lecturers (Vet School)",$C42-SUMIF(Points_Lookup!$P:$P,$B42,Points_Lookup!$R:$R),IF($B$4="R&amp;T Level 6 - Clinical Associate Professors and Clinical Readers (Vet School)",$C42-SUMIF(Points_Lookup!$W:$W,$B42,Points_Lookup!$Y:$Y),"")))</f>
        <v/>
      </c>
      <c r="T42" s="28" t="str">
        <f ca="1">IF(B42="","",IF($B$4="R&amp;T Level 5 - Clinical Lecturers (Vet School)",SUMIF(Points_Lookup!$P:$P,$B42,Points_Lookup!$T:$T),IF($B$4="R&amp;T Level 6 - Clinical Associate Professors and Clinical Readers (Vet School)",SUMIF(Points_Lookup!$W:$W,$B42,Points_Lookup!$AA:$AA),"")))</f>
        <v/>
      </c>
      <c r="U42" s="29" t="str">
        <f t="shared" ca="1" si="11"/>
        <v/>
      </c>
      <c r="Z42" s="26">
        <v>34</v>
      </c>
    </row>
    <row r="43" spans="2:26" x14ac:dyDescent="0.25">
      <c r="B43" s="4">
        <f ca="1">IFERROR(INDEX(Points_Lookup!$A:$A,MATCH($Z43,Points_Lookup!$AH:$AH,0)),"")</f>
        <v>37</v>
      </c>
      <c r="C43" s="25">
        <f ca="1">IF(B43="","",IF($B$4="Apprenticeship",SUMIF(Points_Lookup!$AD:$AD,B43,Points_Lookup!$AF:$AF),IF(AND(OR($B$4="New Consultant Contract"),$B43&lt;&gt;""),INDEX(Points_Lookup!$N:$N,MATCH($B43,Points_Lookup!$M:$M,0)),IF(AND(OR($B$4="Clinical Lecturer / Medical Research Fellow",$B$4="Clinical Consultant - Old Contract (GP)"),$B43&lt;&gt;""),INDEX(Points_Lookup!$K:$K,MATCH($B43,Points_Lookup!$J:$J,0)),IF(AND(OR($B$4="APM Level 7",$B$4="R&amp;T Level 7",$B$4="APM Level 8"),B43&lt;&gt;""),INDEX(Points_Lookup!$E:$E,MATCH($Z43,Points_Lookup!$AH:$AH,0)),IF($B$4="R&amp;T Level 5 - Clinical Lecturers (Vet School)",SUMIF(Points_Lookup!$P:$P,$B43,Points_Lookup!$S:$S),IF($B$4="R&amp;T Level 6 - Clinical Associate Professors and Clinical Readers (Vet School)",SUMIF(Points_Lookup!$W:$W,$B43,Points_Lookup!$Z:$Z),IFERROR(INDEX(Points_Lookup!$B:$B,MATCH($Z43,Points_Lookup!$AH:$AH,0)),""))))))))</f>
        <v>39992</v>
      </c>
      <c r="D43" s="40"/>
      <c r="E43" s="25">
        <f ca="1">IF($B43="","",IF(AND($B$4="Salary Points 3 to 57",B43&lt;Thresholds_Rates!$C$16),"-",IF(SUMIF(Grades!$A:$A,$B$4,Grades!$BO:$BO)=0,"-",IF(AND($B$4="Salary Points 3 to 57",B43&gt;=Thresholds_Rates!$C$16),$C43*Thresholds_Rates!$F$15,IF(AND(OR($B$4="New Consultant Contract"),$B43&lt;&gt;""),$C43*Thresholds_Rates!$F$15,IF(AND(OR($B$4="Clinical Lecturer / Medical Research Fellow",$B$4="Clinical Consultant - Old Contract (GP)"),$B43&lt;&gt;""),$C43*Thresholds_Rates!$F$15,IF(OR($B$4="APM Level 7",$B$4="R&amp;T Level 7"),$C43*Thresholds_Rates!$F$15,IF(SUMIF(Grades!$A:$A,$B$4,Grades!$BO:$BO)=1,$C43*Thresholds_Rates!$F$15,""))))))))</f>
        <v>7198.5599999999995</v>
      </c>
      <c r="F43" s="25" t="str">
        <f ca="1">IF(B43="","",IF($B$4="Salary Points 3 to 57","-",IF(SUMIF(Grades!$A:$A,$B$4,Grades!$BP:$BP)=0,"-",IF(AND(OR($B$4="New Consultant Contract"),$B43&lt;&gt;""),$C43*Thresholds_Rates!$F$16,IF(AND(OR($B$4="Clinical Lecturer / Medical Research Fellow",$B$4="Clinical Consultant - Old Contract (GP)"),$B43&lt;&gt;""),$C43*Thresholds_Rates!$F$16,IF(AND(OR($B$4="APM Level 7",$B$4="R&amp;T Level 7"),E43&lt;&gt;""),$C43*Thresholds_Rates!$F$16,IF(SUMIF(Grades!$A:$A,$B$4,Grades!$BP:$BP)=1,$C43*Thresholds_Rates!$F$16,"")))))))</f>
        <v>-</v>
      </c>
      <c r="G43" s="25" t="str">
        <f ca="1">IF($B$4="Apprenticeship","-",IF(B43="","",IF(SUMIF(Grades!$A:$A,$B$4,Grades!$BQ:$BQ)=0,"-",IF(AND($B$4="Salary Points 3 to 57",B43&gt;Thresholds_Rates!$C$17),"-",IF(AND($B$4="Salary Points 3 to 57",B43&lt;=Thresholds_Rates!$C$17),$C43*Thresholds_Rates!$F$17,IF(AND(OR($B$4="New Consultant Contract"),$B43&lt;&gt;""),$C43*Thresholds_Rates!$F$17,IF(AND(OR($B$4="Clinical Lecturer / Medical Research Fellow",$B$4="Clinical Consultant - Old Contract (GP)"),$B43&lt;&gt;""),$C43*Thresholds_Rates!$F$17,IF(AND(OR($B$4="APM Level 7",$B$4="R&amp;T Level 7"),F43&lt;&gt;""),$C43*Thresholds_Rates!$F$17,IF(SUMIF(Grades!$A:$A,$B$4,Grades!$BQ:$BQ)=1,$C43*Thresholds_Rates!$F$17,"")))))))))</f>
        <v>-</v>
      </c>
      <c r="H43" s="25">
        <f ca="1">IF($B43="","",ROUND(($C43-(Thresholds_Rates!$C$5*12))*Thresholds_Rates!$C$10,0))</f>
        <v>4393</v>
      </c>
      <c r="I43" s="25">
        <f ca="1">IF(B43="","",(C43*Thresholds_Rates!$C$12))</f>
        <v>199.96</v>
      </c>
      <c r="J43" s="25" t="str">
        <f ca="1">IF(B43="","",IF(AND($B$4="Salary Points 3 to 57",B43&gt;Thresholds_Rates!$C$17),"-",IF(SUMIF(Grades!$A:$A,$B$4,Grades!$BR:$BR)=0,"-",IF(AND($B$4="Salary Points 3 to 57",B43&lt;=Thresholds_Rates!$C$17),$C43*Thresholds_Rates!$F$18,IF(AND(OR($B$4="New Consultant Contract"),$B43&lt;&gt;""),$C43*Thresholds_Rates!$F$18,IF(AND(OR($B$4="Clinical Lecturer / Medical Research Fellow",$B$4="Clinical Consultant - Old Contract (GP)"),$B43&lt;&gt;""),$C43*Thresholds_Rates!$F$18,IF(AND(OR($B$4="APM Level 7",$B$4="R&amp;T Level 7"),H43&lt;&gt;""),$C43*Thresholds_Rates!$F$18,IF(SUMIF(Grades!$A:$A,$B$4,Grades!$BQ:$BQ)=1,$C43*Thresholds_Rates!$F$18,""))))))))</f>
        <v>-</v>
      </c>
      <c r="K43" s="4"/>
      <c r="L43" s="25">
        <f t="shared" ca="1" si="6"/>
        <v>51783.519999999997</v>
      </c>
      <c r="M43" s="25" t="str">
        <f t="shared" ca="1" si="7"/>
        <v>-</v>
      </c>
      <c r="N43" s="25" t="str">
        <f t="shared" ca="1" si="8"/>
        <v>-</v>
      </c>
      <c r="O43" s="25" t="str">
        <f t="shared" ca="1" si="9"/>
        <v>-</v>
      </c>
      <c r="P43" s="25">
        <f t="shared" ca="1" si="10"/>
        <v>44584.959999999999</v>
      </c>
      <c r="R43" s="28" t="str">
        <f ca="1">IF(B43="","",IF($B$4="R&amp;T Level 5 - Clinical Lecturers (Vet School)",SUMIF(Points_Lookup!$P:$P,$B43,Points_Lookup!$Q:$Q),IF($B$4="R&amp;T Level 6 - Clinical Associate Professors and Clinical Readers (Vet School)",SUMIF(Points_Lookup!$W:$W,$B43,Points_Lookup!$X:$X),"")))</f>
        <v/>
      </c>
      <c r="S43" s="29" t="str">
        <f ca="1">IF(B43="","",IF($B$4="R&amp;T Level 5 - Clinical Lecturers (Vet School)",$C43-SUMIF(Points_Lookup!$P:$P,$B43,Points_Lookup!$R:$R),IF($B$4="R&amp;T Level 6 - Clinical Associate Professors and Clinical Readers (Vet School)",$C43-SUMIF(Points_Lookup!$W:$W,$B43,Points_Lookup!$Y:$Y),"")))</f>
        <v/>
      </c>
      <c r="T43" s="28" t="str">
        <f ca="1">IF(B43="","",IF($B$4="R&amp;T Level 5 - Clinical Lecturers (Vet School)",SUMIF(Points_Lookup!$P:$P,$B43,Points_Lookup!$T:$T),IF($B$4="R&amp;T Level 6 - Clinical Associate Professors and Clinical Readers (Vet School)",SUMIF(Points_Lookup!$W:$W,$B43,Points_Lookup!$AA:$AA),"")))</f>
        <v/>
      </c>
      <c r="U43" s="29" t="str">
        <f t="shared" ca="1" si="11"/>
        <v/>
      </c>
      <c r="Z43" s="26">
        <v>35</v>
      </c>
    </row>
    <row r="44" spans="2:26" x14ac:dyDescent="0.25">
      <c r="B44" s="4">
        <f ca="1">IFERROR(INDEX(Points_Lookup!$A:$A,MATCH($Z44,Points_Lookup!$AH:$AH,0)),"")</f>
        <v>38</v>
      </c>
      <c r="C44" s="25">
        <f ca="1">IF(B44="","",IF($B$4="Apprenticeship",SUMIF(Points_Lookup!$AD:$AD,B44,Points_Lookup!$AF:$AF),IF(AND(OR($B$4="New Consultant Contract"),$B44&lt;&gt;""),INDEX(Points_Lookup!$N:$N,MATCH($B44,Points_Lookup!$M:$M,0)),IF(AND(OR($B$4="Clinical Lecturer / Medical Research Fellow",$B$4="Clinical Consultant - Old Contract (GP)"),$B44&lt;&gt;""),INDEX(Points_Lookup!$K:$K,MATCH($B44,Points_Lookup!$J:$J,0)),IF(AND(OR($B$4="APM Level 7",$B$4="R&amp;T Level 7",$B$4="APM Level 8"),B44&lt;&gt;""),INDEX(Points_Lookup!$E:$E,MATCH($Z44,Points_Lookup!$AH:$AH,0)),IF($B$4="R&amp;T Level 5 - Clinical Lecturers (Vet School)",SUMIF(Points_Lookup!$P:$P,$B44,Points_Lookup!$S:$S),IF($B$4="R&amp;T Level 6 - Clinical Associate Professors and Clinical Readers (Vet School)",SUMIF(Points_Lookup!$W:$W,$B44,Points_Lookup!$Z:$Z),IFERROR(INDEX(Points_Lookup!$B:$B,MATCH($Z44,Points_Lookup!$AH:$AH,0)),""))))))))</f>
        <v>41212</v>
      </c>
      <c r="D44" s="40"/>
      <c r="E44" s="25">
        <f ca="1">IF($B44="","",IF(AND($B$4="Salary Points 3 to 57",B44&lt;Thresholds_Rates!$C$16),"-",IF(SUMIF(Grades!$A:$A,$B$4,Grades!$BO:$BO)=0,"-",IF(AND($B$4="Salary Points 3 to 57",B44&gt;=Thresholds_Rates!$C$16),$C44*Thresholds_Rates!$F$15,IF(AND(OR($B$4="New Consultant Contract"),$B44&lt;&gt;""),$C44*Thresholds_Rates!$F$15,IF(AND(OR($B$4="Clinical Lecturer / Medical Research Fellow",$B$4="Clinical Consultant - Old Contract (GP)"),$B44&lt;&gt;""),$C44*Thresholds_Rates!$F$15,IF(OR($B$4="APM Level 7",$B$4="R&amp;T Level 7"),$C44*Thresholds_Rates!$F$15,IF(SUMIF(Grades!$A:$A,$B$4,Grades!$BO:$BO)=1,$C44*Thresholds_Rates!$F$15,""))))))))</f>
        <v>7418.16</v>
      </c>
      <c r="F44" s="25" t="str">
        <f ca="1">IF(B44="","",IF($B$4="Salary Points 3 to 57","-",IF(SUMIF(Grades!$A:$A,$B$4,Grades!$BP:$BP)=0,"-",IF(AND(OR($B$4="New Consultant Contract"),$B44&lt;&gt;""),$C44*Thresholds_Rates!$F$16,IF(AND(OR($B$4="Clinical Lecturer / Medical Research Fellow",$B$4="Clinical Consultant - Old Contract (GP)"),$B44&lt;&gt;""),$C44*Thresholds_Rates!$F$16,IF(AND(OR($B$4="APM Level 7",$B$4="R&amp;T Level 7"),E44&lt;&gt;""),$C44*Thresholds_Rates!$F$16,IF(SUMIF(Grades!$A:$A,$B$4,Grades!$BP:$BP)=1,$C44*Thresholds_Rates!$F$16,"")))))))</f>
        <v>-</v>
      </c>
      <c r="G44" s="25" t="str">
        <f ca="1">IF($B$4="Apprenticeship","-",IF(B44="","",IF(SUMIF(Grades!$A:$A,$B$4,Grades!$BQ:$BQ)=0,"-",IF(AND($B$4="Salary Points 3 to 57",B44&gt;Thresholds_Rates!$C$17),"-",IF(AND($B$4="Salary Points 3 to 57",B44&lt;=Thresholds_Rates!$C$17),$C44*Thresholds_Rates!$F$17,IF(AND(OR($B$4="New Consultant Contract"),$B44&lt;&gt;""),$C44*Thresholds_Rates!$F$17,IF(AND(OR($B$4="Clinical Lecturer / Medical Research Fellow",$B$4="Clinical Consultant - Old Contract (GP)"),$B44&lt;&gt;""),$C44*Thresholds_Rates!$F$17,IF(AND(OR($B$4="APM Level 7",$B$4="R&amp;T Level 7"),F44&lt;&gt;""),$C44*Thresholds_Rates!$F$17,IF(SUMIF(Grades!$A:$A,$B$4,Grades!$BQ:$BQ)=1,$C44*Thresholds_Rates!$F$17,"")))))))))</f>
        <v>-</v>
      </c>
      <c r="H44" s="25">
        <f ca="1">IF($B44="","",ROUND(($C44-(Thresholds_Rates!$C$5*12))*Thresholds_Rates!$C$10,0))</f>
        <v>4561</v>
      </c>
      <c r="I44" s="25">
        <f ca="1">IF(B44="","",(C44*Thresholds_Rates!$C$12))</f>
        <v>206.06</v>
      </c>
      <c r="J44" s="25" t="str">
        <f ca="1">IF(B44="","",IF(AND($B$4="Salary Points 3 to 57",B44&gt;Thresholds_Rates!$C$17),"-",IF(SUMIF(Grades!$A:$A,$B$4,Grades!$BR:$BR)=0,"-",IF(AND($B$4="Salary Points 3 to 57",B44&lt;=Thresholds_Rates!$C$17),$C44*Thresholds_Rates!$F$18,IF(AND(OR($B$4="New Consultant Contract"),$B44&lt;&gt;""),$C44*Thresholds_Rates!$F$18,IF(AND(OR($B$4="Clinical Lecturer / Medical Research Fellow",$B$4="Clinical Consultant - Old Contract (GP)"),$B44&lt;&gt;""),$C44*Thresholds_Rates!$F$18,IF(AND(OR($B$4="APM Level 7",$B$4="R&amp;T Level 7"),H44&lt;&gt;""),$C44*Thresholds_Rates!$F$18,IF(SUMIF(Grades!$A:$A,$B$4,Grades!$BQ:$BQ)=1,$C44*Thresholds_Rates!$F$18,""))))))))</f>
        <v>-</v>
      </c>
      <c r="K44" s="4"/>
      <c r="L44" s="25">
        <f t="shared" ca="1" si="6"/>
        <v>53397.22</v>
      </c>
      <c r="M44" s="25" t="str">
        <f t="shared" ca="1" si="7"/>
        <v>-</v>
      </c>
      <c r="N44" s="25" t="str">
        <f t="shared" ca="1" si="8"/>
        <v>-</v>
      </c>
      <c r="O44" s="25" t="str">
        <f t="shared" ca="1" si="9"/>
        <v>-</v>
      </c>
      <c r="P44" s="25">
        <f t="shared" ca="1" si="10"/>
        <v>45979.06</v>
      </c>
      <c r="R44" s="28" t="str">
        <f ca="1">IF(B44="","",IF($B$4="R&amp;T Level 5 - Clinical Lecturers (Vet School)",SUMIF(Points_Lookup!$P:$P,$B44,Points_Lookup!$Q:$Q),IF($B$4="R&amp;T Level 6 - Clinical Associate Professors and Clinical Readers (Vet School)",SUMIF(Points_Lookup!$W:$W,$B44,Points_Lookup!$X:$X),"")))</f>
        <v/>
      </c>
      <c r="S44" s="29" t="str">
        <f ca="1">IF(B44="","",IF($B$4="R&amp;T Level 5 - Clinical Lecturers (Vet School)",$C44-SUMIF(Points_Lookup!$P:$P,$B44,Points_Lookup!$R:$R),IF($B$4="R&amp;T Level 6 - Clinical Associate Professors and Clinical Readers (Vet School)",$C44-SUMIF(Points_Lookup!$W:$W,$B44,Points_Lookup!$Y:$Y),"")))</f>
        <v/>
      </c>
      <c r="T44" s="28" t="str">
        <f ca="1">IF(B44="","",IF($B$4="R&amp;T Level 5 - Clinical Lecturers (Vet School)",SUMIF(Points_Lookup!$P:$P,$B44,Points_Lookup!$T:$T),IF($B$4="R&amp;T Level 6 - Clinical Associate Professors and Clinical Readers (Vet School)",SUMIF(Points_Lookup!$W:$W,$B44,Points_Lookup!$AA:$AA),"")))</f>
        <v/>
      </c>
      <c r="U44" s="29" t="str">
        <f t="shared" ca="1" si="11"/>
        <v/>
      </c>
      <c r="Z44" s="26">
        <v>36</v>
      </c>
    </row>
    <row r="45" spans="2:26" x14ac:dyDescent="0.25">
      <c r="B45" s="4">
        <f ca="1">IFERROR(INDEX(Points_Lookup!$A:$A,MATCH($Z45,Points_Lookup!$AH:$AH,0)),"")</f>
        <v>39</v>
      </c>
      <c r="C45" s="25">
        <f ca="1">IF(B45="","",IF($B$4="Apprenticeship",SUMIF(Points_Lookup!$AD:$AD,B45,Points_Lookup!$AF:$AF),IF(AND(OR($B$4="New Consultant Contract"),$B45&lt;&gt;""),INDEX(Points_Lookup!$N:$N,MATCH($B45,Points_Lookup!$M:$M,0)),IF(AND(OR($B$4="Clinical Lecturer / Medical Research Fellow",$B$4="Clinical Consultant - Old Contract (GP)"),$B45&lt;&gt;""),INDEX(Points_Lookup!$K:$K,MATCH($B45,Points_Lookup!$J:$J,0)),IF(AND(OR($B$4="APM Level 7",$B$4="R&amp;T Level 7",$B$4="APM Level 8"),B45&lt;&gt;""),INDEX(Points_Lookup!$E:$E,MATCH($Z45,Points_Lookup!$AH:$AH,0)),IF($B$4="R&amp;T Level 5 - Clinical Lecturers (Vet School)",SUMIF(Points_Lookup!$P:$P,$B45,Points_Lookup!$S:$S),IF($B$4="R&amp;T Level 6 - Clinical Associate Professors and Clinical Readers (Vet School)",SUMIF(Points_Lookup!$W:$W,$B45,Points_Lookup!$Z:$Z),IFERROR(INDEX(Points_Lookup!$B:$B,MATCH($Z45,Points_Lookup!$AH:$AH,0)),""))))))))</f>
        <v>42418</v>
      </c>
      <c r="D45" s="40"/>
      <c r="E45" s="25">
        <f ca="1">IF($B45="","",IF(AND($B$4="Salary Points 3 to 57",B45&lt;Thresholds_Rates!$C$16),"-",IF(SUMIF(Grades!$A:$A,$B$4,Grades!$BO:$BO)=0,"-",IF(AND($B$4="Salary Points 3 to 57",B45&gt;=Thresholds_Rates!$C$16),$C45*Thresholds_Rates!$F$15,IF(AND(OR($B$4="New Consultant Contract"),$B45&lt;&gt;""),$C45*Thresholds_Rates!$F$15,IF(AND(OR($B$4="Clinical Lecturer / Medical Research Fellow",$B$4="Clinical Consultant - Old Contract (GP)"),$B45&lt;&gt;""),$C45*Thresholds_Rates!$F$15,IF(OR($B$4="APM Level 7",$B$4="R&amp;T Level 7"),$C45*Thresholds_Rates!$F$15,IF(SUMIF(Grades!$A:$A,$B$4,Grades!$BO:$BO)=1,$C45*Thresholds_Rates!$F$15,""))))))))</f>
        <v>7635.24</v>
      </c>
      <c r="F45" s="25" t="str">
        <f ca="1">IF(B45="","",IF($B$4="Salary Points 3 to 57","-",IF(SUMIF(Grades!$A:$A,$B$4,Grades!$BP:$BP)=0,"-",IF(AND(OR($B$4="New Consultant Contract"),$B45&lt;&gt;""),$C45*Thresholds_Rates!$F$16,IF(AND(OR($B$4="Clinical Lecturer / Medical Research Fellow",$B$4="Clinical Consultant - Old Contract (GP)"),$B45&lt;&gt;""),$C45*Thresholds_Rates!$F$16,IF(AND(OR($B$4="APM Level 7",$B$4="R&amp;T Level 7"),E45&lt;&gt;""),$C45*Thresholds_Rates!$F$16,IF(SUMIF(Grades!$A:$A,$B$4,Grades!$BP:$BP)=1,$C45*Thresholds_Rates!$F$16,"")))))))</f>
        <v>-</v>
      </c>
      <c r="G45" s="25" t="str">
        <f ca="1">IF($B$4="Apprenticeship","-",IF(B45="","",IF(SUMIF(Grades!$A:$A,$B$4,Grades!$BQ:$BQ)=0,"-",IF(AND($B$4="Salary Points 3 to 57",B45&gt;Thresholds_Rates!$C$17),"-",IF(AND($B$4="Salary Points 3 to 57",B45&lt;=Thresholds_Rates!$C$17),$C45*Thresholds_Rates!$F$17,IF(AND(OR($B$4="New Consultant Contract"),$B45&lt;&gt;""),$C45*Thresholds_Rates!$F$17,IF(AND(OR($B$4="Clinical Lecturer / Medical Research Fellow",$B$4="Clinical Consultant - Old Contract (GP)"),$B45&lt;&gt;""),$C45*Thresholds_Rates!$F$17,IF(AND(OR($B$4="APM Level 7",$B$4="R&amp;T Level 7"),F45&lt;&gt;""),$C45*Thresholds_Rates!$F$17,IF(SUMIF(Grades!$A:$A,$B$4,Grades!$BQ:$BQ)=1,$C45*Thresholds_Rates!$F$17,"")))))))))</f>
        <v>-</v>
      </c>
      <c r="H45" s="25">
        <f ca="1">IF($B45="","",ROUND(($C45-(Thresholds_Rates!$C$5*12))*Thresholds_Rates!$C$10,0))</f>
        <v>4728</v>
      </c>
      <c r="I45" s="25">
        <f ca="1">IF(B45="","",(C45*Thresholds_Rates!$C$12))</f>
        <v>212.09</v>
      </c>
      <c r="J45" s="25" t="str">
        <f ca="1">IF(B45="","",IF(AND($B$4="Salary Points 3 to 57",B45&gt;Thresholds_Rates!$C$17),"-",IF(SUMIF(Grades!$A:$A,$B$4,Grades!$BR:$BR)=0,"-",IF(AND($B$4="Salary Points 3 to 57",B45&lt;=Thresholds_Rates!$C$17),$C45*Thresholds_Rates!$F$18,IF(AND(OR($B$4="New Consultant Contract"),$B45&lt;&gt;""),$C45*Thresholds_Rates!$F$18,IF(AND(OR($B$4="Clinical Lecturer / Medical Research Fellow",$B$4="Clinical Consultant - Old Contract (GP)"),$B45&lt;&gt;""),$C45*Thresholds_Rates!$F$18,IF(AND(OR($B$4="APM Level 7",$B$4="R&amp;T Level 7"),H45&lt;&gt;""),$C45*Thresholds_Rates!$F$18,IF(SUMIF(Grades!$A:$A,$B$4,Grades!$BQ:$BQ)=1,$C45*Thresholds_Rates!$F$18,""))))))))</f>
        <v>-</v>
      </c>
      <c r="K45" s="4"/>
      <c r="L45" s="25">
        <f t="shared" ca="1" si="6"/>
        <v>54993.329999999994</v>
      </c>
      <c r="M45" s="25" t="str">
        <f t="shared" ca="1" si="7"/>
        <v>-</v>
      </c>
      <c r="N45" s="25" t="str">
        <f t="shared" ca="1" si="8"/>
        <v>-</v>
      </c>
      <c r="O45" s="25" t="str">
        <f t="shared" ca="1" si="9"/>
        <v>-</v>
      </c>
      <c r="P45" s="25">
        <f t="shared" ca="1" si="10"/>
        <v>47358.09</v>
      </c>
      <c r="R45" s="28" t="str">
        <f ca="1">IF(B45="","",IF($B$4="R&amp;T Level 5 - Clinical Lecturers (Vet School)",SUMIF(Points_Lookup!$P:$P,$B45,Points_Lookup!$Q:$Q),IF($B$4="R&amp;T Level 6 - Clinical Associate Professors and Clinical Readers (Vet School)",SUMIF(Points_Lookup!$W:$W,$B45,Points_Lookup!$X:$X),"")))</f>
        <v/>
      </c>
      <c r="S45" s="29" t="str">
        <f ca="1">IF(B45="","",IF($B$4="R&amp;T Level 5 - Clinical Lecturers (Vet School)",$C45-SUMIF(Points_Lookup!$P:$P,$B45,Points_Lookup!$R:$R),IF($B$4="R&amp;T Level 6 - Clinical Associate Professors and Clinical Readers (Vet School)",$C45-SUMIF(Points_Lookup!$W:$W,$B45,Points_Lookup!$Y:$Y),"")))</f>
        <v/>
      </c>
      <c r="T45" s="28" t="str">
        <f ca="1">IF(B45="","",IF($B$4="R&amp;T Level 5 - Clinical Lecturers (Vet School)",SUMIF(Points_Lookup!$P:$P,$B45,Points_Lookup!$T:$T),IF($B$4="R&amp;T Level 6 - Clinical Associate Professors and Clinical Readers (Vet School)",SUMIF(Points_Lookup!$W:$W,$B45,Points_Lookup!$AA:$AA),"")))</f>
        <v/>
      </c>
      <c r="U45" s="29" t="str">
        <f t="shared" ca="1" si="11"/>
        <v/>
      </c>
      <c r="Z45" s="26">
        <v>37</v>
      </c>
    </row>
    <row r="46" spans="2:26" x14ac:dyDescent="0.25">
      <c r="B46" s="4">
        <f ca="1">IFERROR(INDEX(Points_Lookup!$A:$A,MATCH($Z46,Points_Lookup!$AH:$AH,0)),"")</f>
        <v>40</v>
      </c>
      <c r="C46" s="25">
        <f ca="1">IF(B46="","",IF($B$4="Apprenticeship",SUMIF(Points_Lookup!$AD:$AD,B46,Points_Lookup!$AF:$AF),IF(AND(OR($B$4="New Consultant Contract"),$B46&lt;&gt;""),INDEX(Points_Lookup!$N:$N,MATCH($B46,Points_Lookup!$M:$M,0)),IF(AND(OR($B$4="Clinical Lecturer / Medical Research Fellow",$B$4="Clinical Consultant - Old Contract (GP)"),$B46&lt;&gt;""),INDEX(Points_Lookup!$K:$K,MATCH($B46,Points_Lookup!$J:$J,0)),IF(AND(OR($B$4="APM Level 7",$B$4="R&amp;T Level 7",$B$4="APM Level 8"),B46&lt;&gt;""),INDEX(Points_Lookup!$E:$E,MATCH($Z46,Points_Lookup!$AH:$AH,0)),IF($B$4="R&amp;T Level 5 - Clinical Lecturers (Vet School)",SUMIF(Points_Lookup!$P:$P,$B46,Points_Lookup!$S:$S),IF($B$4="R&amp;T Level 6 - Clinical Associate Professors and Clinical Readers (Vet School)",SUMIF(Points_Lookup!$W:$W,$B46,Points_Lookup!$Z:$Z),IFERROR(INDEX(Points_Lookup!$B:$B,MATCH($Z46,Points_Lookup!$AH:$AH,0)),""))))))))</f>
        <v>43685</v>
      </c>
      <c r="D46" s="40"/>
      <c r="E46" s="25">
        <f ca="1">IF($B46="","",IF(AND($B$4="Salary Points 3 to 57",B46&lt;Thresholds_Rates!$C$16),"-",IF(SUMIF(Grades!$A:$A,$B$4,Grades!$BO:$BO)=0,"-",IF(AND($B$4="Salary Points 3 to 57",B46&gt;=Thresholds_Rates!$C$16),$C46*Thresholds_Rates!$F$15,IF(AND(OR($B$4="New Consultant Contract"),$B46&lt;&gt;""),$C46*Thresholds_Rates!$F$15,IF(AND(OR($B$4="Clinical Lecturer / Medical Research Fellow",$B$4="Clinical Consultant - Old Contract (GP)"),$B46&lt;&gt;""),$C46*Thresholds_Rates!$F$15,IF(OR($B$4="APM Level 7",$B$4="R&amp;T Level 7"),$C46*Thresholds_Rates!$F$15,IF(SUMIF(Grades!$A:$A,$B$4,Grades!$BO:$BO)=1,$C46*Thresholds_Rates!$F$15,""))))))))</f>
        <v>7863.2999999999993</v>
      </c>
      <c r="F46" s="25" t="str">
        <f ca="1">IF(B46="","",IF($B$4="Salary Points 3 to 57","-",IF(SUMIF(Grades!$A:$A,$B$4,Grades!$BP:$BP)=0,"-",IF(AND(OR($B$4="New Consultant Contract"),$B46&lt;&gt;""),$C46*Thresholds_Rates!$F$16,IF(AND(OR($B$4="Clinical Lecturer / Medical Research Fellow",$B$4="Clinical Consultant - Old Contract (GP)"),$B46&lt;&gt;""),$C46*Thresholds_Rates!$F$16,IF(AND(OR($B$4="APM Level 7",$B$4="R&amp;T Level 7"),E46&lt;&gt;""),$C46*Thresholds_Rates!$F$16,IF(SUMIF(Grades!$A:$A,$B$4,Grades!$BP:$BP)=1,$C46*Thresholds_Rates!$F$16,"")))))))</f>
        <v>-</v>
      </c>
      <c r="G46" s="25" t="str">
        <f ca="1">IF($B$4="Apprenticeship","-",IF(B46="","",IF(SUMIF(Grades!$A:$A,$B$4,Grades!$BQ:$BQ)=0,"-",IF(AND($B$4="Salary Points 3 to 57",B46&gt;Thresholds_Rates!$C$17),"-",IF(AND($B$4="Salary Points 3 to 57",B46&lt;=Thresholds_Rates!$C$17),$C46*Thresholds_Rates!$F$17,IF(AND(OR($B$4="New Consultant Contract"),$B46&lt;&gt;""),$C46*Thresholds_Rates!$F$17,IF(AND(OR($B$4="Clinical Lecturer / Medical Research Fellow",$B$4="Clinical Consultant - Old Contract (GP)"),$B46&lt;&gt;""),$C46*Thresholds_Rates!$F$17,IF(AND(OR($B$4="APM Level 7",$B$4="R&amp;T Level 7"),F46&lt;&gt;""),$C46*Thresholds_Rates!$F$17,IF(SUMIF(Grades!$A:$A,$B$4,Grades!$BQ:$BQ)=1,$C46*Thresholds_Rates!$F$17,"")))))))))</f>
        <v>-</v>
      </c>
      <c r="H46" s="25">
        <f ca="1">IF($B46="","",ROUND(($C46-(Thresholds_Rates!$C$5*12))*Thresholds_Rates!$C$10,0))</f>
        <v>4902</v>
      </c>
      <c r="I46" s="25">
        <f ca="1">IF(B46="","",(C46*Thresholds_Rates!$C$12))</f>
        <v>218.42500000000001</v>
      </c>
      <c r="J46" s="25" t="str">
        <f ca="1">IF(B46="","",IF(AND($B$4="Salary Points 3 to 57",B46&gt;Thresholds_Rates!$C$17),"-",IF(SUMIF(Grades!$A:$A,$B$4,Grades!$BR:$BR)=0,"-",IF(AND($B$4="Salary Points 3 to 57",B46&lt;=Thresholds_Rates!$C$17),$C46*Thresholds_Rates!$F$18,IF(AND(OR($B$4="New Consultant Contract"),$B46&lt;&gt;""),$C46*Thresholds_Rates!$F$18,IF(AND(OR($B$4="Clinical Lecturer / Medical Research Fellow",$B$4="Clinical Consultant - Old Contract (GP)"),$B46&lt;&gt;""),$C46*Thresholds_Rates!$F$18,IF(AND(OR($B$4="APM Level 7",$B$4="R&amp;T Level 7"),H46&lt;&gt;""),$C46*Thresholds_Rates!$F$18,IF(SUMIF(Grades!$A:$A,$B$4,Grades!$BQ:$BQ)=1,$C46*Thresholds_Rates!$F$18,""))))))))</f>
        <v>-</v>
      </c>
      <c r="K46" s="4"/>
      <c r="L46" s="25">
        <f t="shared" ca="1" si="6"/>
        <v>56668.725000000006</v>
      </c>
      <c r="M46" s="25" t="str">
        <f t="shared" ca="1" si="7"/>
        <v>-</v>
      </c>
      <c r="N46" s="25" t="str">
        <f t="shared" ca="1" si="8"/>
        <v>-</v>
      </c>
      <c r="O46" s="25" t="str">
        <f t="shared" ca="1" si="9"/>
        <v>-</v>
      </c>
      <c r="P46" s="25">
        <f t="shared" ca="1" si="10"/>
        <v>48805.425000000003</v>
      </c>
      <c r="R46" s="28" t="str">
        <f ca="1">IF(B46="","",IF($B$4="R&amp;T Level 5 - Clinical Lecturers (Vet School)",SUMIF(Points_Lookup!$P:$P,$B46,Points_Lookup!$Q:$Q),IF($B$4="R&amp;T Level 6 - Clinical Associate Professors and Clinical Readers (Vet School)",SUMIF(Points_Lookup!$W:$W,$B46,Points_Lookup!$X:$X),"")))</f>
        <v/>
      </c>
      <c r="S46" s="29" t="str">
        <f ca="1">IF(B46="","",IF($B$4="R&amp;T Level 5 - Clinical Lecturers (Vet School)",$C46-SUMIF(Points_Lookup!$P:$P,$B46,Points_Lookup!$R:$R),IF($B$4="R&amp;T Level 6 - Clinical Associate Professors and Clinical Readers (Vet School)",$C46-SUMIF(Points_Lookup!$W:$W,$B46,Points_Lookup!$Y:$Y),"")))</f>
        <v/>
      </c>
      <c r="T46" s="28" t="str">
        <f ca="1">IF(B46="","",IF($B$4="R&amp;T Level 5 - Clinical Lecturers (Vet School)",SUMIF(Points_Lookup!$P:$P,$B46,Points_Lookup!$T:$T),IF($B$4="R&amp;T Level 6 - Clinical Associate Professors and Clinical Readers (Vet School)",SUMIF(Points_Lookup!$W:$W,$B46,Points_Lookup!$AA:$AA),"")))</f>
        <v/>
      </c>
      <c r="U46" s="29" t="str">
        <f t="shared" ca="1" si="11"/>
        <v/>
      </c>
      <c r="Z46" s="26">
        <v>38</v>
      </c>
    </row>
    <row r="47" spans="2:26" x14ac:dyDescent="0.25">
      <c r="B47" s="4">
        <f ca="1">IFERROR(INDEX(Points_Lookup!$A:$A,MATCH($Z47,Points_Lookup!$AH:$AH,0)),"")</f>
        <v>41</v>
      </c>
      <c r="C47" s="25">
        <f ca="1">IF(B47="","",IF($B$4="Apprenticeship",SUMIF(Points_Lookup!$AD:$AD,B47,Points_Lookup!$AF:$AF),IF(AND(OR($B$4="New Consultant Contract"),$B47&lt;&gt;""),INDEX(Points_Lookup!$N:$N,MATCH($B47,Points_Lookup!$M:$M,0)),IF(AND(OR($B$4="Clinical Lecturer / Medical Research Fellow",$B$4="Clinical Consultant - Old Contract (GP)"),$B47&lt;&gt;""),INDEX(Points_Lookup!$K:$K,MATCH($B47,Points_Lookup!$J:$J,0)),IF(AND(OR($B$4="APM Level 7",$B$4="R&amp;T Level 7",$B$4="APM Level 8"),B47&lt;&gt;""),INDEX(Points_Lookup!$E:$E,MATCH($Z47,Points_Lookup!$AH:$AH,0)),IF($B$4="R&amp;T Level 5 - Clinical Lecturers (Vet School)",SUMIF(Points_Lookup!$P:$P,$B47,Points_Lookup!$S:$S),IF($B$4="R&amp;T Level 6 - Clinical Associate Professors and Clinical Readers (Vet School)",SUMIF(Points_Lookup!$W:$W,$B47,Points_Lookup!$Z:$Z),IFERROR(INDEX(Points_Lookup!$B:$B,MATCH($Z47,Points_Lookup!$AH:$AH,0)),""))))))))</f>
        <v>44992</v>
      </c>
      <c r="D47" s="40"/>
      <c r="E47" s="25">
        <f ca="1">IF($B47="","",IF(AND($B$4="Salary Points 3 to 57",B47&lt;Thresholds_Rates!$C$16),"-",IF(SUMIF(Grades!$A:$A,$B$4,Grades!$BO:$BO)=0,"-",IF(AND($B$4="Salary Points 3 to 57",B47&gt;=Thresholds_Rates!$C$16),$C47*Thresholds_Rates!$F$15,IF(AND(OR($B$4="New Consultant Contract"),$B47&lt;&gt;""),$C47*Thresholds_Rates!$F$15,IF(AND(OR($B$4="Clinical Lecturer / Medical Research Fellow",$B$4="Clinical Consultant - Old Contract (GP)"),$B47&lt;&gt;""),$C47*Thresholds_Rates!$F$15,IF(OR($B$4="APM Level 7",$B$4="R&amp;T Level 7"),$C47*Thresholds_Rates!$F$15,IF(SUMIF(Grades!$A:$A,$B$4,Grades!$BO:$BO)=1,$C47*Thresholds_Rates!$F$15,""))))))))</f>
        <v>8098.5599999999995</v>
      </c>
      <c r="F47" s="25" t="str">
        <f ca="1">IF(B47="","",IF($B$4="Salary Points 3 to 57","-",IF(SUMIF(Grades!$A:$A,$B$4,Grades!$BP:$BP)=0,"-",IF(AND(OR($B$4="New Consultant Contract"),$B47&lt;&gt;""),$C47*Thresholds_Rates!$F$16,IF(AND(OR($B$4="Clinical Lecturer / Medical Research Fellow",$B$4="Clinical Consultant - Old Contract (GP)"),$B47&lt;&gt;""),$C47*Thresholds_Rates!$F$16,IF(AND(OR($B$4="APM Level 7",$B$4="R&amp;T Level 7"),E47&lt;&gt;""),$C47*Thresholds_Rates!$F$16,IF(SUMIF(Grades!$A:$A,$B$4,Grades!$BP:$BP)=1,$C47*Thresholds_Rates!$F$16,"")))))))</f>
        <v>-</v>
      </c>
      <c r="G47" s="25" t="str">
        <f ca="1">IF($B$4="Apprenticeship","-",IF(B47="","",IF(SUMIF(Grades!$A:$A,$B$4,Grades!$BQ:$BQ)=0,"-",IF(AND($B$4="Salary Points 3 to 57",B47&gt;Thresholds_Rates!$C$17),"-",IF(AND($B$4="Salary Points 3 to 57",B47&lt;=Thresholds_Rates!$C$17),$C47*Thresholds_Rates!$F$17,IF(AND(OR($B$4="New Consultant Contract"),$B47&lt;&gt;""),$C47*Thresholds_Rates!$F$17,IF(AND(OR($B$4="Clinical Lecturer / Medical Research Fellow",$B$4="Clinical Consultant - Old Contract (GP)"),$B47&lt;&gt;""),$C47*Thresholds_Rates!$F$17,IF(AND(OR($B$4="APM Level 7",$B$4="R&amp;T Level 7"),F47&lt;&gt;""),$C47*Thresholds_Rates!$F$17,IF(SUMIF(Grades!$A:$A,$B$4,Grades!$BQ:$BQ)=1,$C47*Thresholds_Rates!$F$17,"")))))))))</f>
        <v>-</v>
      </c>
      <c r="H47" s="25">
        <f ca="1">IF($B47="","",ROUND(($C47-(Thresholds_Rates!$C$5*12))*Thresholds_Rates!$C$10,0))</f>
        <v>5083</v>
      </c>
      <c r="I47" s="25">
        <f ca="1">IF(B47="","",(C47*Thresholds_Rates!$C$12))</f>
        <v>224.96</v>
      </c>
      <c r="J47" s="25" t="str">
        <f ca="1">IF(B47="","",IF(AND($B$4="Salary Points 3 to 57",B47&gt;Thresholds_Rates!$C$17),"-",IF(SUMIF(Grades!$A:$A,$B$4,Grades!$BR:$BR)=0,"-",IF(AND($B$4="Salary Points 3 to 57",B47&lt;=Thresholds_Rates!$C$17),$C47*Thresholds_Rates!$F$18,IF(AND(OR($B$4="New Consultant Contract"),$B47&lt;&gt;""),$C47*Thresholds_Rates!$F$18,IF(AND(OR($B$4="Clinical Lecturer / Medical Research Fellow",$B$4="Clinical Consultant - Old Contract (GP)"),$B47&lt;&gt;""),$C47*Thresholds_Rates!$F$18,IF(AND(OR($B$4="APM Level 7",$B$4="R&amp;T Level 7"),H47&lt;&gt;""),$C47*Thresholds_Rates!$F$18,IF(SUMIF(Grades!$A:$A,$B$4,Grades!$BQ:$BQ)=1,$C47*Thresholds_Rates!$F$18,""))))))))</f>
        <v>-</v>
      </c>
      <c r="K47" s="4"/>
      <c r="L47" s="25">
        <f t="shared" ca="1" si="6"/>
        <v>58398.52</v>
      </c>
      <c r="M47" s="25" t="str">
        <f t="shared" ca="1" si="7"/>
        <v>-</v>
      </c>
      <c r="N47" s="25" t="str">
        <f t="shared" ca="1" si="8"/>
        <v>-</v>
      </c>
      <c r="O47" s="25" t="str">
        <f t="shared" ca="1" si="9"/>
        <v>-</v>
      </c>
      <c r="P47" s="25">
        <f t="shared" ca="1" si="10"/>
        <v>50299.96</v>
      </c>
      <c r="R47" s="28" t="str">
        <f ca="1">IF(B47="","",IF($B$4="R&amp;T Level 5 - Clinical Lecturers (Vet School)",SUMIF(Points_Lookup!$P:$P,$B47,Points_Lookup!$Q:$Q),IF($B$4="R&amp;T Level 6 - Clinical Associate Professors and Clinical Readers (Vet School)",SUMIF(Points_Lookup!$W:$W,$B47,Points_Lookup!$X:$X),"")))</f>
        <v/>
      </c>
      <c r="S47" s="29" t="str">
        <f ca="1">IF(B47="","",IF($B$4="R&amp;T Level 5 - Clinical Lecturers (Vet School)",$C47-SUMIF(Points_Lookup!$P:$P,$B47,Points_Lookup!$R:$R),IF($B$4="R&amp;T Level 6 - Clinical Associate Professors and Clinical Readers (Vet School)",$C47-SUMIF(Points_Lookup!$W:$W,$B47,Points_Lookup!$Y:$Y),"")))</f>
        <v/>
      </c>
      <c r="T47" s="28" t="str">
        <f ca="1">IF(B47="","",IF($B$4="R&amp;T Level 5 - Clinical Lecturers (Vet School)",SUMIF(Points_Lookup!$P:$P,$B47,Points_Lookup!$T:$T),IF($B$4="R&amp;T Level 6 - Clinical Associate Professors and Clinical Readers (Vet School)",SUMIF(Points_Lookup!$W:$W,$B47,Points_Lookup!$AA:$AA),"")))</f>
        <v/>
      </c>
      <c r="U47" s="29" t="str">
        <f t="shared" ca="1" si="11"/>
        <v/>
      </c>
      <c r="Z47" s="26">
        <v>39</v>
      </c>
    </row>
    <row r="48" spans="2:26" x14ac:dyDescent="0.25">
      <c r="B48" s="4">
        <f ca="1">IFERROR(INDEX(Points_Lookup!$A:$A,MATCH($Z48,Points_Lookup!$AH:$AH,0)),"")</f>
        <v>42</v>
      </c>
      <c r="C48" s="25">
        <f ca="1">IF(B48="","",IF($B$4="Apprenticeship",SUMIF(Points_Lookup!$AD:$AD,B48,Points_Lookup!$AF:$AF),IF(AND(OR($B$4="New Consultant Contract"),$B48&lt;&gt;""),INDEX(Points_Lookup!$N:$N,MATCH($B48,Points_Lookup!$M:$M,0)),IF(AND(OR($B$4="Clinical Lecturer / Medical Research Fellow",$B$4="Clinical Consultant - Old Contract (GP)"),$B48&lt;&gt;""),INDEX(Points_Lookup!$K:$K,MATCH($B48,Points_Lookup!$J:$J,0)),IF(AND(OR($B$4="APM Level 7",$B$4="R&amp;T Level 7",$B$4="APM Level 8"),B48&lt;&gt;""),INDEX(Points_Lookup!$E:$E,MATCH($Z48,Points_Lookup!$AH:$AH,0)),IF($B$4="R&amp;T Level 5 - Clinical Lecturers (Vet School)",SUMIF(Points_Lookup!$P:$P,$B48,Points_Lookup!$S:$S),IF($B$4="R&amp;T Level 6 - Clinical Associate Professors and Clinical Readers (Vet School)",SUMIF(Points_Lookup!$W:$W,$B48,Points_Lookup!$Z:$Z),IFERROR(INDEX(Points_Lookup!$B:$B,MATCH($Z48,Points_Lookup!$AH:$AH,0)),""))))))))</f>
        <v>46336</v>
      </c>
      <c r="D48" s="40"/>
      <c r="E48" s="25">
        <f ca="1">IF($B48="","",IF(AND($B$4="Salary Points 3 to 57",B48&lt;Thresholds_Rates!$C$16),"-",IF(SUMIF(Grades!$A:$A,$B$4,Grades!$BO:$BO)=0,"-",IF(AND($B$4="Salary Points 3 to 57",B48&gt;=Thresholds_Rates!$C$16),$C48*Thresholds_Rates!$F$15,IF(AND(OR($B$4="New Consultant Contract"),$B48&lt;&gt;""),$C48*Thresholds_Rates!$F$15,IF(AND(OR($B$4="Clinical Lecturer / Medical Research Fellow",$B$4="Clinical Consultant - Old Contract (GP)"),$B48&lt;&gt;""),$C48*Thresholds_Rates!$F$15,IF(OR($B$4="APM Level 7",$B$4="R&amp;T Level 7"),$C48*Thresholds_Rates!$F$15,IF(SUMIF(Grades!$A:$A,$B$4,Grades!$BO:$BO)=1,$C48*Thresholds_Rates!$F$15,""))))))))</f>
        <v>8340.48</v>
      </c>
      <c r="F48" s="25" t="str">
        <f ca="1">IF(B48="","",IF($B$4="Salary Points 3 to 57","-",IF(SUMIF(Grades!$A:$A,$B$4,Grades!$BP:$BP)=0,"-",IF(AND(OR($B$4="New Consultant Contract"),$B48&lt;&gt;""),$C48*Thresholds_Rates!$F$16,IF(AND(OR($B$4="Clinical Lecturer / Medical Research Fellow",$B$4="Clinical Consultant - Old Contract (GP)"),$B48&lt;&gt;""),$C48*Thresholds_Rates!$F$16,IF(AND(OR($B$4="APM Level 7",$B$4="R&amp;T Level 7"),E48&lt;&gt;""),$C48*Thresholds_Rates!$F$16,IF(SUMIF(Grades!$A:$A,$B$4,Grades!$BP:$BP)=1,$C48*Thresholds_Rates!$F$16,"")))))))</f>
        <v>-</v>
      </c>
      <c r="G48" s="25" t="str">
        <f ca="1">IF($B$4="Apprenticeship","-",IF(B48="","",IF(SUMIF(Grades!$A:$A,$B$4,Grades!$BQ:$BQ)=0,"-",IF(AND($B$4="Salary Points 3 to 57",B48&gt;Thresholds_Rates!$C$17),"-",IF(AND($B$4="Salary Points 3 to 57",B48&lt;=Thresholds_Rates!$C$17),$C48*Thresholds_Rates!$F$17,IF(AND(OR($B$4="New Consultant Contract"),$B48&lt;&gt;""),$C48*Thresholds_Rates!$F$17,IF(AND(OR($B$4="Clinical Lecturer / Medical Research Fellow",$B$4="Clinical Consultant - Old Contract (GP)"),$B48&lt;&gt;""),$C48*Thresholds_Rates!$F$17,IF(AND(OR($B$4="APM Level 7",$B$4="R&amp;T Level 7"),F48&lt;&gt;""),$C48*Thresholds_Rates!$F$17,IF(SUMIF(Grades!$A:$A,$B$4,Grades!$BQ:$BQ)=1,$C48*Thresholds_Rates!$F$17,"")))))))))</f>
        <v>-</v>
      </c>
      <c r="H48" s="25">
        <f ca="1">IF($B48="","",ROUND(($C48-(Thresholds_Rates!$C$5*12))*Thresholds_Rates!$C$10,0))</f>
        <v>5268</v>
      </c>
      <c r="I48" s="25">
        <f ca="1">IF(B48="","",(C48*Thresholds_Rates!$C$12))</f>
        <v>231.68</v>
      </c>
      <c r="J48" s="25" t="str">
        <f ca="1">IF(B48="","",IF(AND($B$4="Salary Points 3 to 57",B48&gt;Thresholds_Rates!$C$17),"-",IF(SUMIF(Grades!$A:$A,$B$4,Grades!$BR:$BR)=0,"-",IF(AND($B$4="Salary Points 3 to 57",B48&lt;=Thresholds_Rates!$C$17),$C48*Thresholds_Rates!$F$18,IF(AND(OR($B$4="New Consultant Contract"),$B48&lt;&gt;""),$C48*Thresholds_Rates!$F$18,IF(AND(OR($B$4="Clinical Lecturer / Medical Research Fellow",$B$4="Clinical Consultant - Old Contract (GP)"),$B48&lt;&gt;""),$C48*Thresholds_Rates!$F$18,IF(AND(OR($B$4="APM Level 7",$B$4="R&amp;T Level 7"),H48&lt;&gt;""),$C48*Thresholds_Rates!$F$18,IF(SUMIF(Grades!$A:$A,$B$4,Grades!$BQ:$BQ)=1,$C48*Thresholds_Rates!$F$18,""))))))))</f>
        <v>-</v>
      </c>
      <c r="K48" s="4"/>
      <c r="L48" s="25">
        <f t="shared" ca="1" si="6"/>
        <v>60176.159999999996</v>
      </c>
      <c r="M48" s="25" t="str">
        <f t="shared" ca="1" si="7"/>
        <v>-</v>
      </c>
      <c r="N48" s="25" t="str">
        <f t="shared" ca="1" si="8"/>
        <v>-</v>
      </c>
      <c r="O48" s="25" t="str">
        <f t="shared" ca="1" si="9"/>
        <v>-</v>
      </c>
      <c r="P48" s="25">
        <f t="shared" ca="1" si="10"/>
        <v>51835.68</v>
      </c>
      <c r="R48" s="28" t="str">
        <f ca="1">IF(B48="","",IF($B$4="R&amp;T Level 5 - Clinical Lecturers (Vet School)",SUMIF(Points_Lookup!$P:$P,$B48,Points_Lookup!$Q:$Q),IF($B$4="R&amp;T Level 6 - Clinical Associate Professors and Clinical Readers (Vet School)",SUMIF(Points_Lookup!$W:$W,$B48,Points_Lookup!$X:$X),"")))</f>
        <v/>
      </c>
      <c r="S48" s="29" t="str">
        <f ca="1">IF(B48="","",IF($B$4="R&amp;T Level 5 - Clinical Lecturers (Vet School)",$C48-SUMIF(Points_Lookup!$P:$P,$B48,Points_Lookup!$R:$R),IF($B$4="R&amp;T Level 6 - Clinical Associate Professors and Clinical Readers (Vet School)",$C48-SUMIF(Points_Lookup!$W:$W,$B48,Points_Lookup!$Y:$Y),"")))</f>
        <v/>
      </c>
      <c r="T48" s="28" t="str">
        <f ca="1">IF(B48="","",IF($B$4="R&amp;T Level 5 - Clinical Lecturers (Vet School)",SUMIF(Points_Lookup!$P:$P,$B48,Points_Lookup!$T:$T),IF($B$4="R&amp;T Level 6 - Clinical Associate Professors and Clinical Readers (Vet School)",SUMIF(Points_Lookup!$W:$W,$B48,Points_Lookup!$AA:$AA),"")))</f>
        <v/>
      </c>
      <c r="U48" s="29" t="str">
        <f t="shared" ca="1" si="11"/>
        <v/>
      </c>
      <c r="Z48" s="26">
        <v>40</v>
      </c>
    </row>
    <row r="49" spans="2:26" x14ac:dyDescent="0.25">
      <c r="B49" s="4">
        <f ca="1">IFERROR(INDEX(Points_Lookup!$A:$A,MATCH($Z49,Points_Lookup!$AH:$AH,0)),"")</f>
        <v>43</v>
      </c>
      <c r="C49" s="25">
        <f ca="1">IF(B49="","",IF($B$4="Apprenticeship",SUMIF(Points_Lookup!$AD:$AD,B49,Points_Lookup!$AF:$AF),IF(AND(OR($B$4="New Consultant Contract"),$B49&lt;&gt;""),INDEX(Points_Lookup!$N:$N,MATCH($B49,Points_Lookup!$M:$M,0)),IF(AND(OR($B$4="Clinical Lecturer / Medical Research Fellow",$B$4="Clinical Consultant - Old Contract (GP)"),$B49&lt;&gt;""),INDEX(Points_Lookup!$K:$K,MATCH($B49,Points_Lookup!$J:$J,0)),IF(AND(OR($B$4="APM Level 7",$B$4="R&amp;T Level 7",$B$4="APM Level 8"),B49&lt;&gt;""),INDEX(Points_Lookup!$E:$E,MATCH($Z49,Points_Lookup!$AH:$AH,0)),IF($B$4="R&amp;T Level 5 - Clinical Lecturers (Vet School)",SUMIF(Points_Lookup!$P:$P,$B49,Points_Lookup!$S:$S),IF($B$4="R&amp;T Level 6 - Clinical Associate Professors and Clinical Readers (Vet School)",SUMIF(Points_Lookup!$W:$W,$B49,Points_Lookup!$Z:$Z),IFERROR(INDEX(Points_Lookup!$B:$B,MATCH($Z49,Points_Lookup!$AH:$AH,0)),""))))))))</f>
        <v>47722</v>
      </c>
      <c r="D49" s="40"/>
      <c r="E49" s="25">
        <f ca="1">IF($B49="","",IF(AND($B$4="Salary Points 3 to 57",B49&lt;Thresholds_Rates!$C$16),"-",IF(SUMIF(Grades!$A:$A,$B$4,Grades!$BO:$BO)=0,"-",IF(AND($B$4="Salary Points 3 to 57",B49&gt;=Thresholds_Rates!$C$16),$C49*Thresholds_Rates!$F$15,IF(AND(OR($B$4="New Consultant Contract"),$B49&lt;&gt;""),$C49*Thresholds_Rates!$F$15,IF(AND(OR($B$4="Clinical Lecturer / Medical Research Fellow",$B$4="Clinical Consultant - Old Contract (GP)"),$B49&lt;&gt;""),$C49*Thresholds_Rates!$F$15,IF(OR($B$4="APM Level 7",$B$4="R&amp;T Level 7"),$C49*Thresholds_Rates!$F$15,IF(SUMIF(Grades!$A:$A,$B$4,Grades!$BO:$BO)=1,$C49*Thresholds_Rates!$F$15,""))))))))</f>
        <v>8589.9599999999991</v>
      </c>
      <c r="F49" s="25" t="str">
        <f ca="1">IF(B49="","",IF($B$4="Salary Points 3 to 57","-",IF(SUMIF(Grades!$A:$A,$B$4,Grades!$BP:$BP)=0,"-",IF(AND(OR($B$4="New Consultant Contract"),$B49&lt;&gt;""),$C49*Thresholds_Rates!$F$16,IF(AND(OR($B$4="Clinical Lecturer / Medical Research Fellow",$B$4="Clinical Consultant - Old Contract (GP)"),$B49&lt;&gt;""),$C49*Thresholds_Rates!$F$16,IF(AND(OR($B$4="APM Level 7",$B$4="R&amp;T Level 7"),E49&lt;&gt;""),$C49*Thresholds_Rates!$F$16,IF(SUMIF(Grades!$A:$A,$B$4,Grades!$BP:$BP)=1,$C49*Thresholds_Rates!$F$16,"")))))))</f>
        <v>-</v>
      </c>
      <c r="G49" s="25" t="str">
        <f ca="1">IF($B$4="Apprenticeship","-",IF(B49="","",IF(SUMIF(Grades!$A:$A,$B$4,Grades!$BQ:$BQ)=0,"-",IF(AND($B$4="Salary Points 3 to 57",B49&gt;Thresholds_Rates!$C$17),"-",IF(AND($B$4="Salary Points 3 to 57",B49&lt;=Thresholds_Rates!$C$17),$C49*Thresholds_Rates!$F$17,IF(AND(OR($B$4="New Consultant Contract"),$B49&lt;&gt;""),$C49*Thresholds_Rates!$F$17,IF(AND(OR($B$4="Clinical Lecturer / Medical Research Fellow",$B$4="Clinical Consultant - Old Contract (GP)"),$B49&lt;&gt;""),$C49*Thresholds_Rates!$F$17,IF(AND(OR($B$4="APM Level 7",$B$4="R&amp;T Level 7"),F49&lt;&gt;""),$C49*Thresholds_Rates!$F$17,IF(SUMIF(Grades!$A:$A,$B$4,Grades!$BQ:$BQ)=1,$C49*Thresholds_Rates!$F$17,"")))))))))</f>
        <v>-</v>
      </c>
      <c r="H49" s="25">
        <f ca="1">IF($B49="","",ROUND(($C49-(Thresholds_Rates!$C$5*12))*Thresholds_Rates!$C$10,0))</f>
        <v>5460</v>
      </c>
      <c r="I49" s="25">
        <f ca="1">IF(B49="","",(C49*Thresholds_Rates!$C$12))</f>
        <v>238.61</v>
      </c>
      <c r="J49" s="25" t="str">
        <f ca="1">IF(B49="","",IF(AND($B$4="Salary Points 3 to 57",B49&gt;Thresholds_Rates!$C$17),"-",IF(SUMIF(Grades!$A:$A,$B$4,Grades!$BR:$BR)=0,"-",IF(AND($B$4="Salary Points 3 to 57",B49&lt;=Thresholds_Rates!$C$17),$C49*Thresholds_Rates!$F$18,IF(AND(OR($B$4="New Consultant Contract"),$B49&lt;&gt;""),$C49*Thresholds_Rates!$F$18,IF(AND(OR($B$4="Clinical Lecturer / Medical Research Fellow",$B$4="Clinical Consultant - Old Contract (GP)"),$B49&lt;&gt;""),$C49*Thresholds_Rates!$F$18,IF(AND(OR($B$4="APM Level 7",$B$4="R&amp;T Level 7"),H49&lt;&gt;""),$C49*Thresholds_Rates!$F$18,IF(SUMIF(Grades!$A:$A,$B$4,Grades!$BQ:$BQ)=1,$C49*Thresholds_Rates!$F$18,""))))))))</f>
        <v>-</v>
      </c>
      <c r="K49" s="4"/>
      <c r="L49" s="25">
        <f t="shared" ca="1" si="6"/>
        <v>62010.57</v>
      </c>
      <c r="M49" s="25" t="str">
        <f t="shared" ca="1" si="7"/>
        <v>-</v>
      </c>
      <c r="N49" s="25" t="str">
        <f t="shared" ca="1" si="8"/>
        <v>-</v>
      </c>
      <c r="O49" s="25" t="str">
        <f t="shared" ca="1" si="9"/>
        <v>-</v>
      </c>
      <c r="P49" s="25">
        <f t="shared" ca="1" si="10"/>
        <v>53420.61</v>
      </c>
      <c r="R49" s="28" t="str">
        <f ca="1">IF(B49="","",IF($B$4="R&amp;T Level 5 - Clinical Lecturers (Vet School)",SUMIF(Points_Lookup!$P:$P,$B49,Points_Lookup!$Q:$Q),IF($B$4="R&amp;T Level 6 - Clinical Associate Professors and Clinical Readers (Vet School)",SUMIF(Points_Lookup!$W:$W,$B49,Points_Lookup!$X:$X),"")))</f>
        <v/>
      </c>
      <c r="S49" s="29" t="str">
        <f ca="1">IF(B49="","",IF($B$4="R&amp;T Level 5 - Clinical Lecturers (Vet School)",$C49-SUMIF(Points_Lookup!$P:$P,$B49,Points_Lookup!$R:$R),IF($B$4="R&amp;T Level 6 - Clinical Associate Professors and Clinical Readers (Vet School)",$C49-SUMIF(Points_Lookup!$W:$W,$B49,Points_Lookup!$Y:$Y),"")))</f>
        <v/>
      </c>
      <c r="T49" s="28" t="str">
        <f ca="1">IF(B49="","",IF($B$4="R&amp;T Level 5 - Clinical Lecturers (Vet School)",SUMIF(Points_Lookup!$P:$P,$B49,Points_Lookup!$T:$T),IF($B$4="R&amp;T Level 6 - Clinical Associate Professors and Clinical Readers (Vet School)",SUMIF(Points_Lookup!$W:$W,$B49,Points_Lookup!$AA:$AA),"")))</f>
        <v/>
      </c>
      <c r="U49" s="29" t="str">
        <f t="shared" ca="1" si="11"/>
        <v/>
      </c>
      <c r="Z49" s="26">
        <v>41</v>
      </c>
    </row>
    <row r="50" spans="2:26" x14ac:dyDescent="0.25">
      <c r="B50" s="4">
        <f ca="1">IFERROR(INDEX(Points_Lookup!$A:$A,MATCH($Z50,Points_Lookup!$AH:$AH,0)),"")</f>
        <v>44</v>
      </c>
      <c r="C50" s="25">
        <f ca="1">IF(B50="","",IF($B$4="Apprenticeship",SUMIF(Points_Lookup!$AD:$AD,B50,Points_Lookup!$AF:$AF),IF(AND(OR($B$4="New Consultant Contract"),$B50&lt;&gt;""),INDEX(Points_Lookup!$N:$N,MATCH($B50,Points_Lookup!$M:$M,0)),IF(AND(OR($B$4="Clinical Lecturer / Medical Research Fellow",$B$4="Clinical Consultant - Old Contract (GP)"),$B50&lt;&gt;""),INDEX(Points_Lookup!$K:$K,MATCH($B50,Points_Lookup!$J:$J,0)),IF(AND(OR($B$4="APM Level 7",$B$4="R&amp;T Level 7",$B$4="APM Level 8"),B50&lt;&gt;""),INDEX(Points_Lookup!$E:$E,MATCH($Z50,Points_Lookup!$AH:$AH,0)),IF($B$4="R&amp;T Level 5 - Clinical Lecturers (Vet School)",SUMIF(Points_Lookup!$P:$P,$B50,Points_Lookup!$S:$S),IF($B$4="R&amp;T Level 6 - Clinical Associate Professors and Clinical Readers (Vet School)",SUMIF(Points_Lookup!$W:$W,$B50,Points_Lookup!$Z:$Z),IFERROR(INDEX(Points_Lookup!$B:$B,MATCH($Z50,Points_Lookup!$AH:$AH,0)),""))))))))</f>
        <v>49149</v>
      </c>
      <c r="D50" s="40"/>
      <c r="E50" s="25">
        <f ca="1">IF($B50="","",IF(AND($B$4="Salary Points 3 to 57",B50&lt;Thresholds_Rates!$C$16),"-",IF(SUMIF(Grades!$A:$A,$B$4,Grades!$BO:$BO)=0,"-",IF(AND($B$4="Salary Points 3 to 57",B50&gt;=Thresholds_Rates!$C$16),$C50*Thresholds_Rates!$F$15,IF(AND(OR($B$4="New Consultant Contract"),$B50&lt;&gt;""),$C50*Thresholds_Rates!$F$15,IF(AND(OR($B$4="Clinical Lecturer / Medical Research Fellow",$B$4="Clinical Consultant - Old Contract (GP)"),$B50&lt;&gt;""),$C50*Thresholds_Rates!$F$15,IF(OR($B$4="APM Level 7",$B$4="R&amp;T Level 7"),$C50*Thresholds_Rates!$F$15,IF(SUMIF(Grades!$A:$A,$B$4,Grades!$BO:$BO)=1,$C50*Thresholds_Rates!$F$15,""))))))))</f>
        <v>8846.82</v>
      </c>
      <c r="F50" s="25" t="str">
        <f ca="1">IF(B50="","",IF($B$4="Salary Points 3 to 57","-",IF(SUMIF(Grades!$A:$A,$B$4,Grades!$BP:$BP)=0,"-",IF(AND(OR($B$4="New Consultant Contract"),$B50&lt;&gt;""),$C50*Thresholds_Rates!$F$16,IF(AND(OR($B$4="Clinical Lecturer / Medical Research Fellow",$B$4="Clinical Consultant - Old Contract (GP)"),$B50&lt;&gt;""),$C50*Thresholds_Rates!$F$16,IF(AND(OR($B$4="APM Level 7",$B$4="R&amp;T Level 7"),E50&lt;&gt;""),$C50*Thresholds_Rates!$F$16,IF(SUMIF(Grades!$A:$A,$B$4,Grades!$BP:$BP)=1,$C50*Thresholds_Rates!$F$16,"")))))))</f>
        <v>-</v>
      </c>
      <c r="G50" s="25" t="str">
        <f ca="1">IF($B$4="Apprenticeship","-",IF(B50="","",IF(SUMIF(Grades!$A:$A,$B$4,Grades!$BQ:$BQ)=0,"-",IF(AND($B$4="Salary Points 3 to 57",B50&gt;Thresholds_Rates!$C$17),"-",IF(AND($B$4="Salary Points 3 to 57",B50&lt;=Thresholds_Rates!$C$17),$C50*Thresholds_Rates!$F$17,IF(AND(OR($B$4="New Consultant Contract"),$B50&lt;&gt;""),$C50*Thresholds_Rates!$F$17,IF(AND(OR($B$4="Clinical Lecturer / Medical Research Fellow",$B$4="Clinical Consultant - Old Contract (GP)"),$B50&lt;&gt;""),$C50*Thresholds_Rates!$F$17,IF(AND(OR($B$4="APM Level 7",$B$4="R&amp;T Level 7"),F50&lt;&gt;""),$C50*Thresholds_Rates!$F$17,IF(SUMIF(Grades!$A:$A,$B$4,Grades!$BQ:$BQ)=1,$C50*Thresholds_Rates!$F$17,"")))))))))</f>
        <v>-</v>
      </c>
      <c r="H50" s="25">
        <f ca="1">IF($B50="","",ROUND(($C50-(Thresholds_Rates!$C$5*12))*Thresholds_Rates!$C$10,0))</f>
        <v>5656</v>
      </c>
      <c r="I50" s="25">
        <f ca="1">IF(B50="","",(C50*Thresholds_Rates!$C$12))</f>
        <v>245.745</v>
      </c>
      <c r="J50" s="25" t="str">
        <f ca="1">IF(B50="","",IF(AND($B$4="Salary Points 3 to 57",B50&gt;Thresholds_Rates!$C$17),"-",IF(SUMIF(Grades!$A:$A,$B$4,Grades!$BR:$BR)=0,"-",IF(AND($B$4="Salary Points 3 to 57",B50&lt;=Thresholds_Rates!$C$17),$C50*Thresholds_Rates!$F$18,IF(AND(OR($B$4="New Consultant Contract"),$B50&lt;&gt;""),$C50*Thresholds_Rates!$F$18,IF(AND(OR($B$4="Clinical Lecturer / Medical Research Fellow",$B$4="Clinical Consultant - Old Contract (GP)"),$B50&lt;&gt;""),$C50*Thresholds_Rates!$F$18,IF(AND(OR($B$4="APM Level 7",$B$4="R&amp;T Level 7"),H50&lt;&gt;""),$C50*Thresholds_Rates!$F$18,IF(SUMIF(Grades!$A:$A,$B$4,Grades!$BQ:$BQ)=1,$C50*Thresholds_Rates!$F$18,""))))))))</f>
        <v>-</v>
      </c>
      <c r="K50" s="4"/>
      <c r="L50" s="25">
        <f t="shared" ca="1" si="6"/>
        <v>63897.565000000002</v>
      </c>
      <c r="M50" s="25" t="str">
        <f t="shared" ca="1" si="7"/>
        <v>-</v>
      </c>
      <c r="N50" s="25" t="str">
        <f t="shared" ca="1" si="8"/>
        <v>-</v>
      </c>
      <c r="O50" s="25" t="str">
        <f t="shared" ca="1" si="9"/>
        <v>-</v>
      </c>
      <c r="P50" s="25">
        <f t="shared" ca="1" si="10"/>
        <v>55050.745000000003</v>
      </c>
      <c r="R50" s="28" t="str">
        <f ca="1">IF(B50="","",IF($B$4="R&amp;T Level 5 - Clinical Lecturers (Vet School)",SUMIF(Points_Lookup!$P:$P,$B50,Points_Lookup!$Q:$Q),IF($B$4="R&amp;T Level 6 - Clinical Associate Professors and Clinical Readers (Vet School)",SUMIF(Points_Lookup!$W:$W,$B50,Points_Lookup!$X:$X),"")))</f>
        <v/>
      </c>
      <c r="S50" s="29" t="str">
        <f ca="1">IF(B50="","",IF($B$4="R&amp;T Level 5 - Clinical Lecturers (Vet School)",$C50-SUMIF(Points_Lookup!$P:$P,$B50,Points_Lookup!$R:$R),IF($B$4="R&amp;T Level 6 - Clinical Associate Professors and Clinical Readers (Vet School)",$C50-SUMIF(Points_Lookup!$W:$W,$B50,Points_Lookup!$Y:$Y),"")))</f>
        <v/>
      </c>
      <c r="T50" s="28" t="str">
        <f ca="1">IF(B50="","",IF($B$4="R&amp;T Level 5 - Clinical Lecturers (Vet School)",SUMIF(Points_Lookup!$P:$P,$B50,Points_Lookup!$T:$T),IF($B$4="R&amp;T Level 6 - Clinical Associate Professors and Clinical Readers (Vet School)",SUMIF(Points_Lookup!$W:$W,$B50,Points_Lookup!$AA:$AA),"")))</f>
        <v/>
      </c>
      <c r="U50" s="29" t="str">
        <f t="shared" ca="1" si="11"/>
        <v/>
      </c>
      <c r="Z50" s="26">
        <v>42</v>
      </c>
    </row>
    <row r="51" spans="2:26" x14ac:dyDescent="0.25">
      <c r="B51" s="4">
        <f ca="1">IFERROR(INDEX(Points_Lookup!$A:$A,MATCH($Z51,Points_Lookup!$AH:$AH,0)),"")</f>
        <v>45</v>
      </c>
      <c r="C51" s="25">
        <f ca="1">IF(B51="","",IF($B$4="Apprenticeship",SUMIF(Points_Lookup!$AD:$AD,B51,Points_Lookup!$AF:$AF),IF(AND(OR($B$4="New Consultant Contract"),$B51&lt;&gt;""),INDEX(Points_Lookup!$N:$N,MATCH($B51,Points_Lookup!$M:$M,0)),IF(AND(OR($B$4="Clinical Lecturer / Medical Research Fellow",$B$4="Clinical Consultant - Old Contract (GP)"),$B51&lt;&gt;""),INDEX(Points_Lookup!$K:$K,MATCH($B51,Points_Lookup!$J:$J,0)),IF(AND(OR($B$4="APM Level 7",$B$4="R&amp;T Level 7",$B$4="APM Level 8"),B51&lt;&gt;""),INDEX(Points_Lookup!$E:$E,MATCH($Z51,Points_Lookup!$AH:$AH,0)),IF($B$4="R&amp;T Level 5 - Clinical Lecturers (Vet School)",SUMIF(Points_Lookup!$P:$P,$B51,Points_Lookup!$S:$S),IF($B$4="R&amp;T Level 6 - Clinical Associate Professors and Clinical Readers (Vet School)",SUMIF(Points_Lookup!$W:$W,$B51,Points_Lookup!$Z:$Z),IFERROR(INDEX(Points_Lookup!$B:$B,MATCH($Z51,Points_Lookup!$AH:$AH,0)),""))))))))</f>
        <v>50618</v>
      </c>
      <c r="D51" s="40"/>
      <c r="E51" s="25">
        <f ca="1">IF($B51="","",IF(AND($B$4="Salary Points 3 to 57",B51&lt;Thresholds_Rates!$C$16),"-",IF(SUMIF(Grades!$A:$A,$B$4,Grades!$BO:$BO)=0,"-",IF(AND($B$4="Salary Points 3 to 57",B51&gt;=Thresholds_Rates!$C$16),$C51*Thresholds_Rates!$F$15,IF(AND(OR($B$4="New Consultant Contract"),$B51&lt;&gt;""),$C51*Thresholds_Rates!$F$15,IF(AND(OR($B$4="Clinical Lecturer / Medical Research Fellow",$B$4="Clinical Consultant - Old Contract (GP)"),$B51&lt;&gt;""),$C51*Thresholds_Rates!$F$15,IF(OR($B$4="APM Level 7",$B$4="R&amp;T Level 7"),$C51*Thresholds_Rates!$F$15,IF(SUMIF(Grades!$A:$A,$B$4,Grades!$BO:$BO)=1,$C51*Thresholds_Rates!$F$15,""))))))))</f>
        <v>9111.24</v>
      </c>
      <c r="F51" s="25" t="str">
        <f ca="1">IF(B51="","",IF($B$4="Salary Points 3 to 57","-",IF(SUMIF(Grades!$A:$A,$B$4,Grades!$BP:$BP)=0,"-",IF(AND(OR($B$4="New Consultant Contract"),$B51&lt;&gt;""),$C51*Thresholds_Rates!$F$16,IF(AND(OR($B$4="Clinical Lecturer / Medical Research Fellow",$B$4="Clinical Consultant - Old Contract (GP)"),$B51&lt;&gt;""),$C51*Thresholds_Rates!$F$16,IF(AND(OR($B$4="APM Level 7",$B$4="R&amp;T Level 7"),E51&lt;&gt;""),$C51*Thresholds_Rates!$F$16,IF(SUMIF(Grades!$A:$A,$B$4,Grades!$BP:$BP)=1,$C51*Thresholds_Rates!$F$16,"")))))))</f>
        <v>-</v>
      </c>
      <c r="G51" s="25" t="str">
        <f ca="1">IF($B$4="Apprenticeship","-",IF(B51="","",IF(SUMIF(Grades!$A:$A,$B$4,Grades!$BQ:$BQ)=0,"-",IF(AND($B$4="Salary Points 3 to 57",B51&gt;Thresholds_Rates!$C$17),"-",IF(AND($B$4="Salary Points 3 to 57",B51&lt;=Thresholds_Rates!$C$17),$C51*Thresholds_Rates!$F$17,IF(AND(OR($B$4="New Consultant Contract"),$B51&lt;&gt;""),$C51*Thresholds_Rates!$F$17,IF(AND(OR($B$4="Clinical Lecturer / Medical Research Fellow",$B$4="Clinical Consultant - Old Contract (GP)"),$B51&lt;&gt;""),$C51*Thresholds_Rates!$F$17,IF(AND(OR($B$4="APM Level 7",$B$4="R&amp;T Level 7"),F51&lt;&gt;""),$C51*Thresholds_Rates!$F$17,IF(SUMIF(Grades!$A:$A,$B$4,Grades!$BQ:$BQ)=1,$C51*Thresholds_Rates!$F$17,"")))))))))</f>
        <v>-</v>
      </c>
      <c r="H51" s="25">
        <f ca="1">IF($B51="","",ROUND(($C51-(Thresholds_Rates!$C$5*12))*Thresholds_Rates!$C$10,0))</f>
        <v>5859</v>
      </c>
      <c r="I51" s="25">
        <f ca="1">IF(B51="","",(C51*Thresholds_Rates!$C$12))</f>
        <v>253.09</v>
      </c>
      <c r="J51" s="25" t="str">
        <f ca="1">IF(B51="","",IF(AND($B$4="Salary Points 3 to 57",B51&gt;Thresholds_Rates!$C$17),"-",IF(SUMIF(Grades!$A:$A,$B$4,Grades!$BR:$BR)=0,"-",IF(AND($B$4="Salary Points 3 to 57",B51&lt;=Thresholds_Rates!$C$17),$C51*Thresholds_Rates!$F$18,IF(AND(OR($B$4="New Consultant Contract"),$B51&lt;&gt;""),$C51*Thresholds_Rates!$F$18,IF(AND(OR($B$4="Clinical Lecturer / Medical Research Fellow",$B$4="Clinical Consultant - Old Contract (GP)"),$B51&lt;&gt;""),$C51*Thresholds_Rates!$F$18,IF(AND(OR($B$4="APM Level 7",$B$4="R&amp;T Level 7"),H51&lt;&gt;""),$C51*Thresholds_Rates!$F$18,IF(SUMIF(Grades!$A:$A,$B$4,Grades!$BQ:$BQ)=1,$C51*Thresholds_Rates!$F$18,""))))))))</f>
        <v>-</v>
      </c>
      <c r="K51" s="4"/>
      <c r="L51" s="25">
        <f t="shared" ca="1" si="6"/>
        <v>65841.33</v>
      </c>
      <c r="M51" s="25" t="str">
        <f t="shared" ca="1" si="7"/>
        <v>-</v>
      </c>
      <c r="N51" s="25" t="str">
        <f t="shared" ca="1" si="8"/>
        <v>-</v>
      </c>
      <c r="O51" s="25" t="str">
        <f t="shared" ca="1" si="9"/>
        <v>-</v>
      </c>
      <c r="P51" s="25">
        <f t="shared" ca="1" si="10"/>
        <v>56730.09</v>
      </c>
      <c r="R51" s="28" t="str">
        <f ca="1">IF(B51="","",IF($B$4="R&amp;T Level 5 - Clinical Lecturers (Vet School)",SUMIF(Points_Lookup!$P:$P,$B51,Points_Lookup!$Q:$Q),IF($B$4="R&amp;T Level 6 - Clinical Associate Professors and Clinical Readers (Vet School)",SUMIF(Points_Lookup!$W:$W,$B51,Points_Lookup!$X:$X),"")))</f>
        <v/>
      </c>
      <c r="S51" s="29" t="str">
        <f ca="1">IF(B51="","",IF($B$4="R&amp;T Level 5 - Clinical Lecturers (Vet School)",$C51-SUMIF(Points_Lookup!$P:$P,$B51,Points_Lookup!$R:$R),IF($B$4="R&amp;T Level 6 - Clinical Associate Professors and Clinical Readers (Vet School)",$C51-SUMIF(Points_Lookup!$W:$W,$B51,Points_Lookup!$Y:$Y),"")))</f>
        <v/>
      </c>
      <c r="T51" s="28" t="str">
        <f ca="1">IF(B51="","",IF($B$4="R&amp;T Level 5 - Clinical Lecturers (Vet School)",SUMIF(Points_Lookup!$P:$P,$B51,Points_Lookup!$T:$T),IF($B$4="R&amp;T Level 6 - Clinical Associate Professors and Clinical Readers (Vet School)",SUMIF(Points_Lookup!$W:$W,$B51,Points_Lookup!$AA:$AA),"")))</f>
        <v/>
      </c>
      <c r="U51" s="29" t="str">
        <f t="shared" ca="1" si="11"/>
        <v/>
      </c>
      <c r="Z51" s="26">
        <v>43</v>
      </c>
    </row>
    <row r="52" spans="2:26" x14ac:dyDescent="0.25">
      <c r="B52" s="4">
        <f ca="1">IFERROR(INDEX(Points_Lookup!$A:$A,MATCH($Z52,Points_Lookup!$AH:$AH,0)),"")</f>
        <v>46</v>
      </c>
      <c r="C52" s="25">
        <f ca="1">IF(B52="","",IF($B$4="Apprenticeship",SUMIF(Points_Lookup!$AD:$AD,B52,Points_Lookup!$AF:$AF),IF(AND(OR($B$4="New Consultant Contract"),$B52&lt;&gt;""),INDEX(Points_Lookup!$N:$N,MATCH($B52,Points_Lookup!$M:$M,0)),IF(AND(OR($B$4="Clinical Lecturer / Medical Research Fellow",$B$4="Clinical Consultant - Old Contract (GP)"),$B52&lt;&gt;""),INDEX(Points_Lookup!$K:$K,MATCH($B52,Points_Lookup!$J:$J,0)),IF(AND(OR($B$4="APM Level 7",$B$4="R&amp;T Level 7",$B$4="APM Level 8"),B52&lt;&gt;""),INDEX(Points_Lookup!$E:$E,MATCH($Z52,Points_Lookup!$AH:$AH,0)),IF($B$4="R&amp;T Level 5 - Clinical Lecturers (Vet School)",SUMIF(Points_Lookup!$P:$P,$B52,Points_Lookup!$S:$S),IF($B$4="R&amp;T Level 6 - Clinical Associate Professors and Clinical Readers (Vet School)",SUMIF(Points_Lookup!$W:$W,$B52,Points_Lookup!$Z:$Z),IFERROR(INDEX(Points_Lookup!$B:$B,MATCH($Z52,Points_Lookup!$AH:$AH,0)),""))))))))</f>
        <v>52132</v>
      </c>
      <c r="D52" s="40"/>
      <c r="E52" s="25">
        <f ca="1">IF($B52="","",IF(AND($B$4="Salary Points 3 to 57",B52&lt;Thresholds_Rates!$C$16),"-",IF(SUMIF(Grades!$A:$A,$B$4,Grades!$BO:$BO)=0,"-",IF(AND($B$4="Salary Points 3 to 57",B52&gt;=Thresholds_Rates!$C$16),$C52*Thresholds_Rates!$F$15,IF(AND(OR($B$4="New Consultant Contract"),$B52&lt;&gt;""),$C52*Thresholds_Rates!$F$15,IF(AND(OR($B$4="Clinical Lecturer / Medical Research Fellow",$B$4="Clinical Consultant - Old Contract (GP)"),$B52&lt;&gt;""),$C52*Thresholds_Rates!$F$15,IF(OR($B$4="APM Level 7",$B$4="R&amp;T Level 7"),$C52*Thresholds_Rates!$F$15,IF(SUMIF(Grades!$A:$A,$B$4,Grades!$BO:$BO)=1,$C52*Thresholds_Rates!$F$15,""))))))))</f>
        <v>9383.76</v>
      </c>
      <c r="F52" s="25" t="str">
        <f ca="1">IF(B52="","",IF($B$4="Salary Points 3 to 57","-",IF(SUMIF(Grades!$A:$A,$B$4,Grades!$BP:$BP)=0,"-",IF(AND(OR($B$4="New Consultant Contract"),$B52&lt;&gt;""),$C52*Thresholds_Rates!$F$16,IF(AND(OR($B$4="Clinical Lecturer / Medical Research Fellow",$B$4="Clinical Consultant - Old Contract (GP)"),$B52&lt;&gt;""),$C52*Thresholds_Rates!$F$16,IF(AND(OR($B$4="APM Level 7",$B$4="R&amp;T Level 7"),E52&lt;&gt;""),$C52*Thresholds_Rates!$F$16,IF(SUMIF(Grades!$A:$A,$B$4,Grades!$BP:$BP)=1,$C52*Thresholds_Rates!$F$16,"")))))))</f>
        <v>-</v>
      </c>
      <c r="G52" s="25" t="str">
        <f ca="1">IF($B$4="Apprenticeship","-",IF(B52="","",IF(SUMIF(Grades!$A:$A,$B$4,Grades!$BQ:$BQ)=0,"-",IF(AND($B$4="Salary Points 3 to 57",B52&gt;Thresholds_Rates!$C$17),"-",IF(AND($B$4="Salary Points 3 to 57",B52&lt;=Thresholds_Rates!$C$17),$C52*Thresholds_Rates!$F$17,IF(AND(OR($B$4="New Consultant Contract"),$B52&lt;&gt;""),$C52*Thresholds_Rates!$F$17,IF(AND(OR($B$4="Clinical Lecturer / Medical Research Fellow",$B$4="Clinical Consultant - Old Contract (GP)"),$B52&lt;&gt;""),$C52*Thresholds_Rates!$F$17,IF(AND(OR($B$4="APM Level 7",$B$4="R&amp;T Level 7"),F52&lt;&gt;""),$C52*Thresholds_Rates!$F$17,IF(SUMIF(Grades!$A:$A,$B$4,Grades!$BQ:$BQ)=1,$C52*Thresholds_Rates!$F$17,"")))))))))</f>
        <v>-</v>
      </c>
      <c r="H52" s="25">
        <f ca="1">IF($B52="","",ROUND(($C52-(Thresholds_Rates!$C$5*12))*Thresholds_Rates!$C$10,0))</f>
        <v>6068</v>
      </c>
      <c r="I52" s="25">
        <f ca="1">IF(B52="","",(C52*Thresholds_Rates!$C$12))</f>
        <v>260.66000000000003</v>
      </c>
      <c r="J52" s="25" t="str">
        <f ca="1">IF(B52="","",IF(AND($B$4="Salary Points 3 to 57",B52&gt;Thresholds_Rates!$C$17),"-",IF(SUMIF(Grades!$A:$A,$B$4,Grades!$BR:$BR)=0,"-",IF(AND($B$4="Salary Points 3 to 57",B52&lt;=Thresholds_Rates!$C$17),$C52*Thresholds_Rates!$F$18,IF(AND(OR($B$4="New Consultant Contract"),$B52&lt;&gt;""),$C52*Thresholds_Rates!$F$18,IF(AND(OR($B$4="Clinical Lecturer / Medical Research Fellow",$B$4="Clinical Consultant - Old Contract (GP)"),$B52&lt;&gt;""),$C52*Thresholds_Rates!$F$18,IF(AND(OR($B$4="APM Level 7",$B$4="R&amp;T Level 7"),H52&lt;&gt;""),$C52*Thresholds_Rates!$F$18,IF(SUMIF(Grades!$A:$A,$B$4,Grades!$BQ:$BQ)=1,$C52*Thresholds_Rates!$F$18,""))))))))</f>
        <v>-</v>
      </c>
      <c r="K52" s="4"/>
      <c r="L52" s="25">
        <f t="shared" ca="1" si="6"/>
        <v>67844.42</v>
      </c>
      <c r="M52" s="25" t="str">
        <f t="shared" ca="1" si="7"/>
        <v>-</v>
      </c>
      <c r="N52" s="25" t="str">
        <f t="shared" ca="1" si="8"/>
        <v>-</v>
      </c>
      <c r="O52" s="25" t="str">
        <f t="shared" ca="1" si="9"/>
        <v>-</v>
      </c>
      <c r="P52" s="25">
        <f t="shared" ca="1" si="10"/>
        <v>58460.66</v>
      </c>
      <c r="R52" s="28" t="str">
        <f ca="1">IF(B52="","",IF($B$4="R&amp;T Level 5 - Clinical Lecturers (Vet School)",SUMIF(Points_Lookup!$P:$P,$B52,Points_Lookup!$Q:$Q),IF($B$4="R&amp;T Level 6 - Clinical Associate Professors and Clinical Readers (Vet School)",SUMIF(Points_Lookup!$W:$W,$B52,Points_Lookup!$X:$X),"")))</f>
        <v/>
      </c>
      <c r="S52" s="29" t="str">
        <f ca="1">IF(B52="","",IF($B$4="R&amp;T Level 5 - Clinical Lecturers (Vet School)",$C52-SUMIF(Points_Lookup!$P:$P,$B52,Points_Lookup!$R:$R),IF($B$4="R&amp;T Level 6 - Clinical Associate Professors and Clinical Readers (Vet School)",$C52-SUMIF(Points_Lookup!$W:$W,$B52,Points_Lookup!$Y:$Y),"")))</f>
        <v/>
      </c>
      <c r="T52" s="28" t="str">
        <f ca="1">IF(B52="","",IF($B$4="R&amp;T Level 5 - Clinical Lecturers (Vet School)",SUMIF(Points_Lookup!$P:$P,$B52,Points_Lookup!$T:$T),IF($B$4="R&amp;T Level 6 - Clinical Associate Professors and Clinical Readers (Vet School)",SUMIF(Points_Lookup!$W:$W,$B52,Points_Lookup!$AA:$AA),"")))</f>
        <v/>
      </c>
      <c r="U52" s="29" t="str">
        <f t="shared" ca="1" si="11"/>
        <v/>
      </c>
      <c r="Z52" s="26">
        <v>44</v>
      </c>
    </row>
    <row r="53" spans="2:26" x14ac:dyDescent="0.25">
      <c r="B53" s="4">
        <f ca="1">IFERROR(INDEX(Points_Lookup!$A:$A,MATCH($Z53,Points_Lookup!$AH:$AH,0)),"")</f>
        <v>47</v>
      </c>
      <c r="C53" s="25">
        <f ca="1">IF(B53="","",IF($B$4="Apprenticeship",SUMIF(Points_Lookup!$AD:$AD,B53,Points_Lookup!$AF:$AF),IF(AND(OR($B$4="New Consultant Contract"),$B53&lt;&gt;""),INDEX(Points_Lookup!$N:$N,MATCH($B53,Points_Lookup!$M:$M,0)),IF(AND(OR($B$4="Clinical Lecturer / Medical Research Fellow",$B$4="Clinical Consultant - Old Contract (GP)"),$B53&lt;&gt;""),INDEX(Points_Lookup!$K:$K,MATCH($B53,Points_Lookup!$J:$J,0)),IF(AND(OR($B$4="APM Level 7",$B$4="R&amp;T Level 7",$B$4="APM Level 8"),B53&lt;&gt;""),INDEX(Points_Lookup!$E:$E,MATCH($Z53,Points_Lookup!$AH:$AH,0)),IF($B$4="R&amp;T Level 5 - Clinical Lecturers (Vet School)",SUMIF(Points_Lookup!$P:$P,$B53,Points_Lookup!$S:$S),IF($B$4="R&amp;T Level 6 - Clinical Associate Professors and Clinical Readers (Vet School)",SUMIF(Points_Lookup!$W:$W,$B53,Points_Lookup!$Z:$Z),IFERROR(INDEX(Points_Lookup!$B:$B,MATCH($Z53,Points_Lookup!$AH:$AH,0)),""))))))))</f>
        <v>53691</v>
      </c>
      <c r="D53" s="40"/>
      <c r="E53" s="25">
        <f ca="1">IF($B53="","",IF(AND($B$4="Salary Points 3 to 57",B53&lt;Thresholds_Rates!$C$16),"-",IF(SUMIF(Grades!$A:$A,$B$4,Grades!$BO:$BO)=0,"-",IF(AND($B$4="Salary Points 3 to 57",B53&gt;=Thresholds_Rates!$C$16),$C53*Thresholds_Rates!$F$15,IF(AND(OR($B$4="New Consultant Contract"),$B53&lt;&gt;""),$C53*Thresholds_Rates!$F$15,IF(AND(OR($B$4="Clinical Lecturer / Medical Research Fellow",$B$4="Clinical Consultant - Old Contract (GP)"),$B53&lt;&gt;""),$C53*Thresholds_Rates!$F$15,IF(OR($B$4="APM Level 7",$B$4="R&amp;T Level 7"),$C53*Thresholds_Rates!$F$15,IF(SUMIF(Grades!$A:$A,$B$4,Grades!$BO:$BO)=1,$C53*Thresholds_Rates!$F$15,""))))))))</f>
        <v>9664.3799999999992</v>
      </c>
      <c r="F53" s="25" t="str">
        <f ca="1">IF(B53="","",IF($B$4="Salary Points 3 to 57","-",IF(SUMIF(Grades!$A:$A,$B$4,Grades!$BP:$BP)=0,"-",IF(AND(OR($B$4="New Consultant Contract"),$B53&lt;&gt;""),$C53*Thresholds_Rates!$F$16,IF(AND(OR($B$4="Clinical Lecturer / Medical Research Fellow",$B$4="Clinical Consultant - Old Contract (GP)"),$B53&lt;&gt;""),$C53*Thresholds_Rates!$F$16,IF(AND(OR($B$4="APM Level 7",$B$4="R&amp;T Level 7"),E53&lt;&gt;""),$C53*Thresholds_Rates!$F$16,IF(SUMIF(Grades!$A:$A,$B$4,Grades!$BP:$BP)=1,$C53*Thresholds_Rates!$F$16,"")))))))</f>
        <v>-</v>
      </c>
      <c r="G53" s="25" t="str">
        <f ca="1">IF($B$4="Apprenticeship","-",IF(B53="","",IF(SUMIF(Grades!$A:$A,$B$4,Grades!$BQ:$BQ)=0,"-",IF(AND($B$4="Salary Points 3 to 57",B53&gt;Thresholds_Rates!$C$17),"-",IF(AND($B$4="Salary Points 3 to 57",B53&lt;=Thresholds_Rates!$C$17),$C53*Thresholds_Rates!$F$17,IF(AND(OR($B$4="New Consultant Contract"),$B53&lt;&gt;""),$C53*Thresholds_Rates!$F$17,IF(AND(OR($B$4="Clinical Lecturer / Medical Research Fellow",$B$4="Clinical Consultant - Old Contract (GP)"),$B53&lt;&gt;""),$C53*Thresholds_Rates!$F$17,IF(AND(OR($B$4="APM Level 7",$B$4="R&amp;T Level 7"),F53&lt;&gt;""),$C53*Thresholds_Rates!$F$17,IF(SUMIF(Grades!$A:$A,$B$4,Grades!$BQ:$BQ)=1,$C53*Thresholds_Rates!$F$17,"")))))))))</f>
        <v>-</v>
      </c>
      <c r="H53" s="25">
        <f ca="1">IF($B53="","",ROUND(($C53-(Thresholds_Rates!$C$5*12))*Thresholds_Rates!$C$10,0))</f>
        <v>6283</v>
      </c>
      <c r="I53" s="25">
        <f ca="1">IF(B53="","",(C53*Thresholds_Rates!$C$12))</f>
        <v>268.45499999999998</v>
      </c>
      <c r="J53" s="25" t="str">
        <f ca="1">IF(B53="","",IF(AND($B$4="Salary Points 3 to 57",B53&gt;Thresholds_Rates!$C$17),"-",IF(SUMIF(Grades!$A:$A,$B$4,Grades!$BR:$BR)=0,"-",IF(AND($B$4="Salary Points 3 to 57",B53&lt;=Thresholds_Rates!$C$17),$C53*Thresholds_Rates!$F$18,IF(AND(OR($B$4="New Consultant Contract"),$B53&lt;&gt;""),$C53*Thresholds_Rates!$F$18,IF(AND(OR($B$4="Clinical Lecturer / Medical Research Fellow",$B$4="Clinical Consultant - Old Contract (GP)"),$B53&lt;&gt;""),$C53*Thresholds_Rates!$F$18,IF(AND(OR($B$4="APM Level 7",$B$4="R&amp;T Level 7"),H53&lt;&gt;""),$C53*Thresholds_Rates!$F$18,IF(SUMIF(Grades!$A:$A,$B$4,Grades!$BQ:$BQ)=1,$C53*Thresholds_Rates!$F$18,""))))))))</f>
        <v>-</v>
      </c>
      <c r="K53" s="4"/>
      <c r="L53" s="25">
        <f t="shared" ca="1" si="6"/>
        <v>69906.835000000006</v>
      </c>
      <c r="M53" s="25" t="str">
        <f t="shared" ca="1" si="7"/>
        <v>-</v>
      </c>
      <c r="N53" s="25" t="str">
        <f t="shared" ca="1" si="8"/>
        <v>-</v>
      </c>
      <c r="O53" s="25" t="str">
        <f t="shared" ca="1" si="9"/>
        <v>-</v>
      </c>
      <c r="P53" s="25">
        <f t="shared" ca="1" si="10"/>
        <v>60242.455000000002</v>
      </c>
      <c r="R53" s="28" t="str">
        <f ca="1">IF(B53="","",IF($B$4="R&amp;T Level 5 - Clinical Lecturers (Vet School)",SUMIF(Points_Lookup!$P:$P,$B53,Points_Lookup!$Q:$Q),IF($B$4="R&amp;T Level 6 - Clinical Associate Professors and Clinical Readers (Vet School)",SUMIF(Points_Lookup!$W:$W,$B53,Points_Lookup!$X:$X),"")))</f>
        <v/>
      </c>
      <c r="S53" s="29" t="str">
        <f ca="1">IF(B53="","",IF($B$4="R&amp;T Level 5 - Clinical Lecturers (Vet School)",$C53-SUMIF(Points_Lookup!$P:$P,$B53,Points_Lookup!$R:$R),IF($B$4="R&amp;T Level 6 - Clinical Associate Professors and Clinical Readers (Vet School)",$C53-SUMIF(Points_Lookup!$W:$W,$B53,Points_Lookup!$Y:$Y),"")))</f>
        <v/>
      </c>
      <c r="T53" s="28" t="str">
        <f ca="1">IF(B53="","",IF($B$4="R&amp;T Level 5 - Clinical Lecturers (Vet School)",SUMIF(Points_Lookup!$P:$P,$B53,Points_Lookup!$T:$T),IF($B$4="R&amp;T Level 6 - Clinical Associate Professors and Clinical Readers (Vet School)",SUMIF(Points_Lookup!$W:$W,$B53,Points_Lookup!$AA:$AA),"")))</f>
        <v/>
      </c>
      <c r="U53" s="29" t="str">
        <f t="shared" ca="1" si="11"/>
        <v/>
      </c>
      <c r="Z53" s="26">
        <v>45</v>
      </c>
    </row>
    <row r="54" spans="2:26" x14ac:dyDescent="0.25">
      <c r="B54" s="4">
        <f ca="1">IFERROR(INDEX(Points_Lookup!$A:$A,MATCH($Z54,Points_Lookup!$AH:$AH,0)),"")</f>
        <v>48</v>
      </c>
      <c r="C54" s="25">
        <f ca="1">IF(B54="","",IF($B$4="Apprenticeship",SUMIF(Points_Lookup!$AD:$AD,B54,Points_Lookup!$AF:$AF),IF(AND(OR($B$4="New Consultant Contract"),$B54&lt;&gt;""),INDEX(Points_Lookup!$N:$N,MATCH($B54,Points_Lookup!$M:$M,0)),IF(AND(OR($B$4="Clinical Lecturer / Medical Research Fellow",$B$4="Clinical Consultant - Old Contract (GP)"),$B54&lt;&gt;""),INDEX(Points_Lookup!$K:$K,MATCH($B54,Points_Lookup!$J:$J,0)),IF(AND(OR($B$4="APM Level 7",$B$4="R&amp;T Level 7",$B$4="APM Level 8"),B54&lt;&gt;""),INDEX(Points_Lookup!$E:$E,MATCH($Z54,Points_Lookup!$AH:$AH,0)),IF($B$4="R&amp;T Level 5 - Clinical Lecturers (Vet School)",SUMIF(Points_Lookup!$P:$P,$B54,Points_Lookup!$S:$S),IF($B$4="R&amp;T Level 6 - Clinical Associate Professors and Clinical Readers (Vet School)",SUMIF(Points_Lookup!$W:$W,$B54,Points_Lookup!$Z:$Z),IFERROR(INDEX(Points_Lookup!$B:$B,MATCH($Z54,Points_Lookup!$AH:$AH,0)),""))))))))</f>
        <v>55297</v>
      </c>
      <c r="D54" s="40"/>
      <c r="E54" s="25">
        <f ca="1">IF($B54="","",IF(AND($B$4="Salary Points 3 to 57",B54&lt;Thresholds_Rates!$C$16),"-",IF(SUMIF(Grades!$A:$A,$B$4,Grades!$BO:$BO)=0,"-",IF(AND($B$4="Salary Points 3 to 57",B54&gt;=Thresholds_Rates!$C$16),$C54*Thresholds_Rates!$F$15,IF(AND(OR($B$4="New Consultant Contract"),$B54&lt;&gt;""),$C54*Thresholds_Rates!$F$15,IF(AND(OR($B$4="Clinical Lecturer / Medical Research Fellow",$B$4="Clinical Consultant - Old Contract (GP)"),$B54&lt;&gt;""),$C54*Thresholds_Rates!$F$15,IF(OR($B$4="APM Level 7",$B$4="R&amp;T Level 7"),$C54*Thresholds_Rates!$F$15,IF(SUMIF(Grades!$A:$A,$B$4,Grades!$BO:$BO)=1,$C54*Thresholds_Rates!$F$15,""))))))))</f>
        <v>9953.4599999999991</v>
      </c>
      <c r="F54" s="25" t="str">
        <f ca="1">IF(B54="","",IF($B$4="Salary Points 3 to 57","-",IF(SUMIF(Grades!$A:$A,$B$4,Grades!$BP:$BP)=0,"-",IF(AND(OR($B$4="New Consultant Contract"),$B54&lt;&gt;""),$C54*Thresholds_Rates!$F$16,IF(AND(OR($B$4="Clinical Lecturer / Medical Research Fellow",$B$4="Clinical Consultant - Old Contract (GP)"),$B54&lt;&gt;""),$C54*Thresholds_Rates!$F$16,IF(AND(OR($B$4="APM Level 7",$B$4="R&amp;T Level 7"),E54&lt;&gt;""),$C54*Thresholds_Rates!$F$16,IF(SUMIF(Grades!$A:$A,$B$4,Grades!$BP:$BP)=1,$C54*Thresholds_Rates!$F$16,"")))))))</f>
        <v>-</v>
      </c>
      <c r="G54" s="25" t="str">
        <f ca="1">IF($B$4="Apprenticeship","-",IF(B54="","",IF(SUMIF(Grades!$A:$A,$B$4,Grades!$BQ:$BQ)=0,"-",IF(AND($B$4="Salary Points 3 to 57",B54&gt;Thresholds_Rates!$C$17),"-",IF(AND($B$4="Salary Points 3 to 57",B54&lt;=Thresholds_Rates!$C$17),$C54*Thresholds_Rates!$F$17,IF(AND(OR($B$4="New Consultant Contract"),$B54&lt;&gt;""),$C54*Thresholds_Rates!$F$17,IF(AND(OR($B$4="Clinical Lecturer / Medical Research Fellow",$B$4="Clinical Consultant - Old Contract (GP)"),$B54&lt;&gt;""),$C54*Thresholds_Rates!$F$17,IF(AND(OR($B$4="APM Level 7",$B$4="R&amp;T Level 7"),F54&lt;&gt;""),$C54*Thresholds_Rates!$F$17,IF(SUMIF(Grades!$A:$A,$B$4,Grades!$BQ:$BQ)=1,$C54*Thresholds_Rates!$F$17,"")))))))))</f>
        <v>-</v>
      </c>
      <c r="H54" s="25">
        <f ca="1">IF($B54="","",ROUND(($C54-(Thresholds_Rates!$C$5*12))*Thresholds_Rates!$C$10,0))</f>
        <v>6505</v>
      </c>
      <c r="I54" s="25">
        <f ca="1">IF(B54="","",(C54*Thresholds_Rates!$C$12))</f>
        <v>276.48500000000001</v>
      </c>
      <c r="J54" s="25" t="str">
        <f ca="1">IF(B54="","",IF(AND($B$4="Salary Points 3 to 57",B54&gt;Thresholds_Rates!$C$17),"-",IF(SUMIF(Grades!$A:$A,$B$4,Grades!$BR:$BR)=0,"-",IF(AND($B$4="Salary Points 3 to 57",B54&lt;=Thresholds_Rates!$C$17),$C54*Thresholds_Rates!$F$18,IF(AND(OR($B$4="New Consultant Contract"),$B54&lt;&gt;""),$C54*Thresholds_Rates!$F$18,IF(AND(OR($B$4="Clinical Lecturer / Medical Research Fellow",$B$4="Clinical Consultant - Old Contract (GP)"),$B54&lt;&gt;""),$C54*Thresholds_Rates!$F$18,IF(AND(OR($B$4="APM Level 7",$B$4="R&amp;T Level 7"),H54&lt;&gt;""),$C54*Thresholds_Rates!$F$18,IF(SUMIF(Grades!$A:$A,$B$4,Grades!$BQ:$BQ)=1,$C54*Thresholds_Rates!$F$18,""))))))))</f>
        <v>-</v>
      </c>
      <c r="K54" s="4"/>
      <c r="L54" s="25">
        <f t="shared" ca="1" si="6"/>
        <v>72031.944999999992</v>
      </c>
      <c r="M54" s="25" t="str">
        <f t="shared" ca="1" si="7"/>
        <v>-</v>
      </c>
      <c r="N54" s="25" t="str">
        <f t="shared" ca="1" si="8"/>
        <v>-</v>
      </c>
      <c r="O54" s="25" t="str">
        <f t="shared" ca="1" si="9"/>
        <v>-</v>
      </c>
      <c r="P54" s="25">
        <f t="shared" ca="1" si="10"/>
        <v>62078.485000000001</v>
      </c>
      <c r="R54" s="28" t="str">
        <f ca="1">IF(B54="","",IF($B$4="R&amp;T Level 5 - Clinical Lecturers (Vet School)",SUMIF(Points_Lookup!$P:$P,$B54,Points_Lookup!$Q:$Q),IF($B$4="R&amp;T Level 6 - Clinical Associate Professors and Clinical Readers (Vet School)",SUMIF(Points_Lookup!$W:$W,$B54,Points_Lookup!$X:$X),"")))</f>
        <v/>
      </c>
      <c r="S54" s="29" t="str">
        <f ca="1">IF(B54="","",IF($B$4="R&amp;T Level 5 - Clinical Lecturers (Vet School)",$C54-SUMIF(Points_Lookup!$P:$P,$B54,Points_Lookup!$R:$R),IF($B$4="R&amp;T Level 6 - Clinical Associate Professors and Clinical Readers (Vet School)",$C54-SUMIF(Points_Lookup!$W:$W,$B54,Points_Lookup!$Y:$Y),"")))</f>
        <v/>
      </c>
      <c r="T54" s="28" t="str">
        <f ca="1">IF(B54="","",IF($B$4="R&amp;T Level 5 - Clinical Lecturers (Vet School)",SUMIF(Points_Lookup!$P:$P,$B54,Points_Lookup!$T:$T),IF($B$4="R&amp;T Level 6 - Clinical Associate Professors and Clinical Readers (Vet School)",SUMIF(Points_Lookup!$W:$W,$B54,Points_Lookup!$AA:$AA),"")))</f>
        <v/>
      </c>
      <c r="U54" s="29" t="str">
        <f t="shared" ca="1" si="11"/>
        <v/>
      </c>
      <c r="Z54" s="26">
        <v>46</v>
      </c>
    </row>
    <row r="55" spans="2:26" x14ac:dyDescent="0.25">
      <c r="B55" s="4">
        <f ca="1">IFERROR(INDEX(Points_Lookup!$A:$A,MATCH($Z55,Points_Lookup!$AH:$AH,0)),"")</f>
        <v>49</v>
      </c>
      <c r="C55" s="25">
        <f ca="1">IF(B55="","",IF($B$4="Apprenticeship",SUMIF(Points_Lookup!$AD:$AD,B55,Points_Lookup!$AF:$AF),IF(AND(OR($B$4="New Consultant Contract"),$B55&lt;&gt;""),INDEX(Points_Lookup!$N:$N,MATCH($B55,Points_Lookup!$M:$M,0)),IF(AND(OR($B$4="Clinical Lecturer / Medical Research Fellow",$B$4="Clinical Consultant - Old Contract (GP)"),$B55&lt;&gt;""),INDEX(Points_Lookup!$K:$K,MATCH($B55,Points_Lookup!$J:$J,0)),IF(AND(OR($B$4="APM Level 7",$B$4="R&amp;T Level 7",$B$4="APM Level 8"),B55&lt;&gt;""),INDEX(Points_Lookup!$E:$E,MATCH($Z55,Points_Lookup!$AH:$AH,0)),IF($B$4="R&amp;T Level 5 - Clinical Lecturers (Vet School)",SUMIF(Points_Lookup!$P:$P,$B55,Points_Lookup!$S:$S),IF($B$4="R&amp;T Level 6 - Clinical Associate Professors and Clinical Readers (Vet School)",SUMIF(Points_Lookup!$W:$W,$B55,Points_Lookup!$Z:$Z),IFERROR(INDEX(Points_Lookup!$B:$B,MATCH($Z55,Points_Lookup!$AH:$AH,0)),""))))))))</f>
        <v>56950</v>
      </c>
      <c r="D55" s="40"/>
      <c r="E55" s="25">
        <f ca="1">IF($B55="","",IF(AND($B$4="Salary Points 3 to 57",B55&lt;Thresholds_Rates!$C$16),"-",IF(SUMIF(Grades!$A:$A,$B$4,Grades!$BO:$BO)=0,"-",IF(AND($B$4="Salary Points 3 to 57",B55&gt;=Thresholds_Rates!$C$16),$C55*Thresholds_Rates!$F$15,IF(AND(OR($B$4="New Consultant Contract"),$B55&lt;&gt;""),$C55*Thresholds_Rates!$F$15,IF(AND(OR($B$4="Clinical Lecturer / Medical Research Fellow",$B$4="Clinical Consultant - Old Contract (GP)"),$B55&lt;&gt;""),$C55*Thresholds_Rates!$F$15,IF(OR($B$4="APM Level 7",$B$4="R&amp;T Level 7"),$C55*Thresholds_Rates!$F$15,IF(SUMIF(Grades!$A:$A,$B$4,Grades!$BO:$BO)=1,$C55*Thresholds_Rates!$F$15,""))))))))</f>
        <v>10251</v>
      </c>
      <c r="F55" s="25" t="str">
        <f ca="1">IF(B55="","",IF($B$4="Salary Points 3 to 57","-",IF(SUMIF(Grades!$A:$A,$B$4,Grades!$BP:$BP)=0,"-",IF(AND(OR($B$4="New Consultant Contract"),$B55&lt;&gt;""),$C55*Thresholds_Rates!$F$16,IF(AND(OR($B$4="Clinical Lecturer / Medical Research Fellow",$B$4="Clinical Consultant - Old Contract (GP)"),$B55&lt;&gt;""),$C55*Thresholds_Rates!$F$16,IF(AND(OR($B$4="APM Level 7",$B$4="R&amp;T Level 7"),E55&lt;&gt;""),$C55*Thresholds_Rates!$F$16,IF(SUMIF(Grades!$A:$A,$B$4,Grades!$BP:$BP)=1,$C55*Thresholds_Rates!$F$16,"")))))))</f>
        <v>-</v>
      </c>
      <c r="G55" s="25" t="str">
        <f ca="1">IF($B$4="Apprenticeship","-",IF(B55="","",IF(SUMIF(Grades!$A:$A,$B$4,Grades!$BQ:$BQ)=0,"-",IF(AND($B$4="Salary Points 3 to 57",B55&gt;Thresholds_Rates!$C$17),"-",IF(AND($B$4="Salary Points 3 to 57",B55&lt;=Thresholds_Rates!$C$17),$C55*Thresholds_Rates!$F$17,IF(AND(OR($B$4="New Consultant Contract"),$B55&lt;&gt;""),$C55*Thresholds_Rates!$F$17,IF(AND(OR($B$4="Clinical Lecturer / Medical Research Fellow",$B$4="Clinical Consultant - Old Contract (GP)"),$B55&lt;&gt;""),$C55*Thresholds_Rates!$F$17,IF(AND(OR($B$4="APM Level 7",$B$4="R&amp;T Level 7"),F55&lt;&gt;""),$C55*Thresholds_Rates!$F$17,IF(SUMIF(Grades!$A:$A,$B$4,Grades!$BQ:$BQ)=1,$C55*Thresholds_Rates!$F$17,"")))))))))</f>
        <v>-</v>
      </c>
      <c r="H55" s="25">
        <f ca="1">IF($B55="","",ROUND(($C55-(Thresholds_Rates!$C$5*12))*Thresholds_Rates!$C$10,0))</f>
        <v>6733</v>
      </c>
      <c r="I55" s="25">
        <f ca="1">IF(B55="","",(C55*Thresholds_Rates!$C$12))</f>
        <v>284.75</v>
      </c>
      <c r="J55" s="25" t="str">
        <f ca="1">IF(B55="","",IF(AND($B$4="Salary Points 3 to 57",B55&gt;Thresholds_Rates!$C$17),"-",IF(SUMIF(Grades!$A:$A,$B$4,Grades!$BR:$BR)=0,"-",IF(AND($B$4="Salary Points 3 to 57",B55&lt;=Thresholds_Rates!$C$17),$C55*Thresholds_Rates!$F$18,IF(AND(OR($B$4="New Consultant Contract"),$B55&lt;&gt;""),$C55*Thresholds_Rates!$F$18,IF(AND(OR($B$4="Clinical Lecturer / Medical Research Fellow",$B$4="Clinical Consultant - Old Contract (GP)"),$B55&lt;&gt;""),$C55*Thresholds_Rates!$F$18,IF(AND(OR($B$4="APM Level 7",$B$4="R&amp;T Level 7"),H55&lt;&gt;""),$C55*Thresholds_Rates!$F$18,IF(SUMIF(Grades!$A:$A,$B$4,Grades!$BQ:$BQ)=1,$C55*Thresholds_Rates!$F$18,""))))))))</f>
        <v>-</v>
      </c>
      <c r="K55" s="4"/>
      <c r="L55" s="25">
        <f t="shared" ca="1" si="6"/>
        <v>74218.75</v>
      </c>
      <c r="M55" s="25" t="str">
        <f t="shared" ca="1" si="7"/>
        <v>-</v>
      </c>
      <c r="N55" s="25" t="str">
        <f t="shared" ca="1" si="8"/>
        <v>-</v>
      </c>
      <c r="O55" s="25" t="str">
        <f t="shared" ca="1" si="9"/>
        <v>-</v>
      </c>
      <c r="P55" s="25">
        <f t="shared" ca="1" si="10"/>
        <v>63967.75</v>
      </c>
      <c r="R55" s="28" t="str">
        <f ca="1">IF(B55="","",IF($B$4="R&amp;T Level 5 - Clinical Lecturers (Vet School)",SUMIF(Points_Lookup!$P:$P,$B55,Points_Lookup!$Q:$Q),IF($B$4="R&amp;T Level 6 - Clinical Associate Professors and Clinical Readers (Vet School)",SUMIF(Points_Lookup!$W:$W,$B55,Points_Lookup!$X:$X),"")))</f>
        <v/>
      </c>
      <c r="S55" s="29" t="str">
        <f ca="1">IF(B55="","",IF($B$4="R&amp;T Level 5 - Clinical Lecturers (Vet School)",$C55-SUMIF(Points_Lookup!$P:$P,$B55,Points_Lookup!$R:$R),IF($B$4="R&amp;T Level 6 - Clinical Associate Professors and Clinical Readers (Vet School)",$C55-SUMIF(Points_Lookup!$W:$W,$B55,Points_Lookup!$Y:$Y),"")))</f>
        <v/>
      </c>
      <c r="T55" s="28" t="str">
        <f ca="1">IF(B55="","",IF($B$4="R&amp;T Level 5 - Clinical Lecturers (Vet School)",SUMIF(Points_Lookup!$P:$P,$B55,Points_Lookup!$T:$T),IF($B$4="R&amp;T Level 6 - Clinical Associate Professors and Clinical Readers (Vet School)",SUMIF(Points_Lookup!$W:$W,$B55,Points_Lookup!$AA:$AA),"")))</f>
        <v/>
      </c>
      <c r="U55" s="29" t="str">
        <f t="shared" ca="1" si="11"/>
        <v/>
      </c>
      <c r="Z55" s="26">
        <v>47</v>
      </c>
    </row>
    <row r="56" spans="2:26" x14ac:dyDescent="0.25">
      <c r="B56" s="4">
        <f ca="1">IFERROR(INDEX(Points_Lookup!$A:$A,MATCH($Z56,Points_Lookup!$AH:$AH,0)),"")</f>
        <v>50</v>
      </c>
      <c r="C56" s="25">
        <f ca="1">IF(B56="","",IF($B$4="Apprenticeship",SUMIF(Points_Lookup!$AD:$AD,B56,Points_Lookup!$AF:$AF),IF(AND(OR($B$4="New Consultant Contract"),$B56&lt;&gt;""),INDEX(Points_Lookup!$N:$N,MATCH($B56,Points_Lookup!$M:$M,0)),IF(AND(OR($B$4="Clinical Lecturer / Medical Research Fellow",$B$4="Clinical Consultant - Old Contract (GP)"),$B56&lt;&gt;""),INDEX(Points_Lookup!$K:$K,MATCH($B56,Points_Lookup!$J:$J,0)),IF(AND(OR($B$4="APM Level 7",$B$4="R&amp;T Level 7",$B$4="APM Level 8"),B56&lt;&gt;""),INDEX(Points_Lookup!$E:$E,MATCH($Z56,Points_Lookup!$AH:$AH,0)),IF($B$4="R&amp;T Level 5 - Clinical Lecturers (Vet School)",SUMIF(Points_Lookup!$P:$P,$B56,Points_Lookup!$S:$S),IF($B$4="R&amp;T Level 6 - Clinical Associate Professors and Clinical Readers (Vet School)",SUMIF(Points_Lookup!$W:$W,$B56,Points_Lookup!$Z:$Z),IFERROR(INDEX(Points_Lookup!$B:$B,MATCH($Z56,Points_Lookup!$AH:$AH,0)),""))))))))</f>
        <v>58655</v>
      </c>
      <c r="D56" s="40"/>
      <c r="E56" s="25">
        <f ca="1">IF($B56="","",IF(AND($B$4="Salary Points 3 to 57",B56&lt;Thresholds_Rates!$C$16),"-",IF(SUMIF(Grades!$A:$A,$B$4,Grades!$BO:$BO)=0,"-",IF(AND($B$4="Salary Points 3 to 57",B56&gt;=Thresholds_Rates!$C$16),$C56*Thresholds_Rates!$F$15,IF(AND(OR($B$4="New Consultant Contract"),$B56&lt;&gt;""),$C56*Thresholds_Rates!$F$15,IF(AND(OR($B$4="Clinical Lecturer / Medical Research Fellow",$B$4="Clinical Consultant - Old Contract (GP)"),$B56&lt;&gt;""),$C56*Thresholds_Rates!$F$15,IF(OR($B$4="APM Level 7",$B$4="R&amp;T Level 7"),$C56*Thresholds_Rates!$F$15,IF(SUMIF(Grades!$A:$A,$B$4,Grades!$BO:$BO)=1,$C56*Thresholds_Rates!$F$15,""))))))))</f>
        <v>10557.9</v>
      </c>
      <c r="F56" s="25" t="str">
        <f ca="1">IF(B56="","",IF($B$4="Salary Points 3 to 57","-",IF(SUMIF(Grades!$A:$A,$B$4,Grades!$BP:$BP)=0,"-",IF(AND(OR($B$4="New Consultant Contract"),$B56&lt;&gt;""),$C56*Thresholds_Rates!$F$16,IF(AND(OR($B$4="Clinical Lecturer / Medical Research Fellow",$B$4="Clinical Consultant - Old Contract (GP)"),$B56&lt;&gt;""),$C56*Thresholds_Rates!$F$16,IF(AND(OR($B$4="APM Level 7",$B$4="R&amp;T Level 7"),E56&lt;&gt;""),$C56*Thresholds_Rates!$F$16,IF(SUMIF(Grades!$A:$A,$B$4,Grades!$BP:$BP)=1,$C56*Thresholds_Rates!$F$16,"")))))))</f>
        <v>-</v>
      </c>
      <c r="G56" s="25" t="str">
        <f ca="1">IF($B$4="Apprenticeship","-",IF(B56="","",IF(SUMIF(Grades!$A:$A,$B$4,Grades!$BQ:$BQ)=0,"-",IF(AND($B$4="Salary Points 3 to 57",B56&gt;Thresholds_Rates!$C$17),"-",IF(AND($B$4="Salary Points 3 to 57",B56&lt;=Thresholds_Rates!$C$17),$C56*Thresholds_Rates!$F$17,IF(AND(OR($B$4="New Consultant Contract"),$B56&lt;&gt;""),$C56*Thresholds_Rates!$F$17,IF(AND(OR($B$4="Clinical Lecturer / Medical Research Fellow",$B$4="Clinical Consultant - Old Contract (GP)"),$B56&lt;&gt;""),$C56*Thresholds_Rates!$F$17,IF(AND(OR($B$4="APM Level 7",$B$4="R&amp;T Level 7"),F56&lt;&gt;""),$C56*Thresholds_Rates!$F$17,IF(SUMIF(Grades!$A:$A,$B$4,Grades!$BQ:$BQ)=1,$C56*Thresholds_Rates!$F$17,"")))))))))</f>
        <v>-</v>
      </c>
      <c r="H56" s="25">
        <f ca="1">IF($B56="","",ROUND(($C56-(Thresholds_Rates!$C$5*12))*Thresholds_Rates!$C$10,0))</f>
        <v>6968</v>
      </c>
      <c r="I56" s="25">
        <f ca="1">IF(B56="","",(C56*Thresholds_Rates!$C$12))</f>
        <v>293.27500000000003</v>
      </c>
      <c r="J56" s="25" t="str">
        <f ca="1">IF(B56="","",IF(AND($B$4="Salary Points 3 to 57",B56&gt;Thresholds_Rates!$C$17),"-",IF(SUMIF(Grades!$A:$A,$B$4,Grades!$BR:$BR)=0,"-",IF(AND($B$4="Salary Points 3 to 57",B56&lt;=Thresholds_Rates!$C$17),$C56*Thresholds_Rates!$F$18,IF(AND(OR($B$4="New Consultant Contract"),$B56&lt;&gt;""),$C56*Thresholds_Rates!$F$18,IF(AND(OR($B$4="Clinical Lecturer / Medical Research Fellow",$B$4="Clinical Consultant - Old Contract (GP)"),$B56&lt;&gt;""),$C56*Thresholds_Rates!$F$18,IF(AND(OR($B$4="APM Level 7",$B$4="R&amp;T Level 7"),H56&lt;&gt;""),$C56*Thresholds_Rates!$F$18,IF(SUMIF(Grades!$A:$A,$B$4,Grades!$BQ:$BQ)=1,$C56*Thresholds_Rates!$F$18,""))))))))</f>
        <v>-</v>
      </c>
      <c r="K56" s="4"/>
      <c r="L56" s="25">
        <f t="shared" ca="1" si="6"/>
        <v>76474.174999999988</v>
      </c>
      <c r="M56" s="25" t="str">
        <f t="shared" ca="1" si="7"/>
        <v>-</v>
      </c>
      <c r="N56" s="25" t="str">
        <f t="shared" ca="1" si="8"/>
        <v>-</v>
      </c>
      <c r="O56" s="25" t="str">
        <f t="shared" ca="1" si="9"/>
        <v>-</v>
      </c>
      <c r="P56" s="25">
        <f t="shared" ca="1" si="10"/>
        <v>65916.274999999994</v>
      </c>
      <c r="R56" s="28" t="str">
        <f ca="1">IF(B56="","",IF($B$4="R&amp;T Level 5 - Clinical Lecturers (Vet School)",SUMIF(Points_Lookup!$P:$P,$B56,Points_Lookup!$Q:$Q),IF($B$4="R&amp;T Level 6 - Clinical Associate Professors and Clinical Readers (Vet School)",SUMIF(Points_Lookup!$W:$W,$B56,Points_Lookup!$X:$X),"")))</f>
        <v/>
      </c>
      <c r="S56" s="29" t="str">
        <f ca="1">IF(B56="","",IF($B$4="R&amp;T Level 5 - Clinical Lecturers (Vet School)",$C56-SUMIF(Points_Lookup!$P:$P,$B56,Points_Lookup!$R:$R),IF($B$4="R&amp;T Level 6 - Clinical Associate Professors and Clinical Readers (Vet School)",$C56-SUMIF(Points_Lookup!$W:$W,$B56,Points_Lookup!$Y:$Y),"")))</f>
        <v/>
      </c>
      <c r="T56" s="28" t="str">
        <f ca="1">IF(B56="","",IF($B$4="R&amp;T Level 5 - Clinical Lecturers (Vet School)",SUMIF(Points_Lookup!$P:$P,$B56,Points_Lookup!$T:$T),IF($B$4="R&amp;T Level 6 - Clinical Associate Professors and Clinical Readers (Vet School)",SUMIF(Points_Lookup!$W:$W,$B56,Points_Lookup!$AA:$AA),"")))</f>
        <v/>
      </c>
      <c r="U56" s="29" t="str">
        <f t="shared" ca="1" si="11"/>
        <v/>
      </c>
      <c r="Z56" s="26">
        <v>48</v>
      </c>
    </row>
    <row r="57" spans="2:26" x14ac:dyDescent="0.25">
      <c r="B57" s="4">
        <f ca="1">IFERROR(INDEX(Points_Lookup!$A:$A,MATCH($Z57,Points_Lookup!$AH:$AH,0)),"")</f>
        <v>51</v>
      </c>
      <c r="C57" s="25">
        <f ca="1">IF(B57="","",IF($B$4="Apprenticeship",SUMIF(Points_Lookup!$AD:$AD,B57,Points_Lookup!$AF:$AF),IF(AND(OR($B$4="New Consultant Contract"),$B57&lt;&gt;""),INDEX(Points_Lookup!$N:$N,MATCH($B57,Points_Lookup!$M:$M,0)),IF(AND(OR($B$4="Clinical Lecturer / Medical Research Fellow",$B$4="Clinical Consultant - Old Contract (GP)"),$B57&lt;&gt;""),INDEX(Points_Lookup!$K:$K,MATCH($B57,Points_Lookup!$J:$J,0)),IF(AND(OR($B$4="APM Level 7",$B$4="R&amp;T Level 7",$B$4="APM Level 8"),B57&lt;&gt;""),INDEX(Points_Lookup!$E:$E,MATCH($Z57,Points_Lookup!$AH:$AH,0)),IF($B$4="R&amp;T Level 5 - Clinical Lecturers (Vet School)",SUMIF(Points_Lookup!$P:$P,$B57,Points_Lookup!$S:$S),IF($B$4="R&amp;T Level 6 - Clinical Associate Professors and Clinical Readers (Vet School)",SUMIF(Points_Lookup!$W:$W,$B57,Points_Lookup!$Z:$Z),IFERROR(INDEX(Points_Lookup!$B:$B,MATCH($Z57,Points_Lookup!$AH:$AH,0)),""))))))))</f>
        <v>60410</v>
      </c>
      <c r="D57" s="40"/>
      <c r="E57" s="25">
        <f ca="1">IF($B57="","",IF(AND($B$4="Salary Points 3 to 57",B57&lt;Thresholds_Rates!$C$16),"-",IF(SUMIF(Grades!$A:$A,$B$4,Grades!$BO:$BO)=0,"-",IF(AND($B$4="Salary Points 3 to 57",B57&gt;=Thresholds_Rates!$C$16),$C57*Thresholds_Rates!$F$15,IF(AND(OR($B$4="New Consultant Contract"),$B57&lt;&gt;""),$C57*Thresholds_Rates!$F$15,IF(AND(OR($B$4="Clinical Lecturer / Medical Research Fellow",$B$4="Clinical Consultant - Old Contract (GP)"),$B57&lt;&gt;""),$C57*Thresholds_Rates!$F$15,IF(OR($B$4="APM Level 7",$B$4="R&amp;T Level 7"),$C57*Thresholds_Rates!$F$15,IF(SUMIF(Grades!$A:$A,$B$4,Grades!$BO:$BO)=1,$C57*Thresholds_Rates!$F$15,""))))))))</f>
        <v>10873.8</v>
      </c>
      <c r="F57" s="25" t="str">
        <f ca="1">IF(B57="","",IF($B$4="Salary Points 3 to 57","-",IF(SUMIF(Grades!$A:$A,$B$4,Grades!$BP:$BP)=0,"-",IF(AND(OR($B$4="New Consultant Contract"),$B57&lt;&gt;""),$C57*Thresholds_Rates!$F$16,IF(AND(OR($B$4="Clinical Lecturer / Medical Research Fellow",$B$4="Clinical Consultant - Old Contract (GP)"),$B57&lt;&gt;""),$C57*Thresholds_Rates!$F$16,IF(AND(OR($B$4="APM Level 7",$B$4="R&amp;T Level 7"),E57&lt;&gt;""),$C57*Thresholds_Rates!$F$16,IF(SUMIF(Grades!$A:$A,$B$4,Grades!$BP:$BP)=1,$C57*Thresholds_Rates!$F$16,"")))))))</f>
        <v>-</v>
      </c>
      <c r="G57" s="25" t="str">
        <f ca="1">IF($B$4="Apprenticeship","-",IF(B57="","",IF(SUMIF(Grades!$A:$A,$B$4,Grades!$BQ:$BQ)=0,"-",IF(AND($B$4="Salary Points 3 to 57",B57&gt;Thresholds_Rates!$C$17),"-",IF(AND($B$4="Salary Points 3 to 57",B57&lt;=Thresholds_Rates!$C$17),$C57*Thresholds_Rates!$F$17,IF(AND(OR($B$4="New Consultant Contract"),$B57&lt;&gt;""),$C57*Thresholds_Rates!$F$17,IF(AND(OR($B$4="Clinical Lecturer / Medical Research Fellow",$B$4="Clinical Consultant - Old Contract (GP)"),$B57&lt;&gt;""),$C57*Thresholds_Rates!$F$17,IF(AND(OR($B$4="APM Level 7",$B$4="R&amp;T Level 7"),F57&lt;&gt;""),$C57*Thresholds_Rates!$F$17,IF(SUMIF(Grades!$A:$A,$B$4,Grades!$BQ:$BQ)=1,$C57*Thresholds_Rates!$F$17,"")))))))))</f>
        <v>-</v>
      </c>
      <c r="H57" s="25">
        <f ca="1">IF($B57="","",ROUND(($C57-(Thresholds_Rates!$C$5*12))*Thresholds_Rates!$C$10,0))</f>
        <v>7211</v>
      </c>
      <c r="I57" s="25">
        <f ca="1">IF(B57="","",(C57*Thresholds_Rates!$C$12))</f>
        <v>302.05</v>
      </c>
      <c r="J57" s="25" t="str">
        <f ca="1">IF(B57="","",IF(AND($B$4="Salary Points 3 to 57",B57&gt;Thresholds_Rates!$C$17),"-",IF(SUMIF(Grades!$A:$A,$B$4,Grades!$BR:$BR)=0,"-",IF(AND($B$4="Salary Points 3 to 57",B57&lt;=Thresholds_Rates!$C$17),$C57*Thresholds_Rates!$F$18,IF(AND(OR($B$4="New Consultant Contract"),$B57&lt;&gt;""),$C57*Thresholds_Rates!$F$18,IF(AND(OR($B$4="Clinical Lecturer / Medical Research Fellow",$B$4="Clinical Consultant - Old Contract (GP)"),$B57&lt;&gt;""),$C57*Thresholds_Rates!$F$18,IF(AND(OR($B$4="APM Level 7",$B$4="R&amp;T Level 7"),H57&lt;&gt;""),$C57*Thresholds_Rates!$F$18,IF(SUMIF(Grades!$A:$A,$B$4,Grades!$BQ:$BQ)=1,$C57*Thresholds_Rates!$F$18,""))))))))</f>
        <v>-</v>
      </c>
      <c r="K57" s="4"/>
      <c r="L57" s="25">
        <f t="shared" ca="1" si="6"/>
        <v>78796.850000000006</v>
      </c>
      <c r="M57" s="25" t="str">
        <f t="shared" ca="1" si="7"/>
        <v>-</v>
      </c>
      <c r="N57" s="25" t="str">
        <f t="shared" ca="1" si="8"/>
        <v>-</v>
      </c>
      <c r="O57" s="25" t="str">
        <f t="shared" ca="1" si="9"/>
        <v>-</v>
      </c>
      <c r="P57" s="25">
        <f t="shared" ca="1" si="10"/>
        <v>67923.05</v>
      </c>
      <c r="R57" s="28" t="str">
        <f ca="1">IF(B57="","",IF($B$4="R&amp;T Level 5 - Clinical Lecturers (Vet School)",SUMIF(Points_Lookup!$P:$P,$B57,Points_Lookup!$Q:$Q),IF($B$4="R&amp;T Level 6 - Clinical Associate Professors and Clinical Readers (Vet School)",SUMIF(Points_Lookup!$W:$W,$B57,Points_Lookup!$X:$X),"")))</f>
        <v/>
      </c>
      <c r="S57" s="29" t="str">
        <f ca="1">IF(B57="","",IF($B$4="R&amp;T Level 5 - Clinical Lecturers (Vet School)",$C57-SUMIF(Points_Lookup!$P:$P,$B57,Points_Lookup!$R:$R),IF($B$4="R&amp;T Level 6 - Clinical Associate Professors and Clinical Readers (Vet School)",$C57-SUMIF(Points_Lookup!$W:$W,$B57,Points_Lookup!$Y:$Y),"")))</f>
        <v/>
      </c>
      <c r="T57" s="28" t="str">
        <f ca="1">IF(B57="","",IF($B$4="R&amp;T Level 5 - Clinical Lecturers (Vet School)",SUMIF(Points_Lookup!$P:$P,$B57,Points_Lookup!$T:$T),IF($B$4="R&amp;T Level 6 - Clinical Associate Professors and Clinical Readers (Vet School)",SUMIF(Points_Lookup!$W:$W,$B57,Points_Lookup!$AA:$AA),"")))</f>
        <v/>
      </c>
      <c r="U57" s="29" t="str">
        <f t="shared" ca="1" si="11"/>
        <v/>
      </c>
      <c r="Z57" s="26">
        <v>49</v>
      </c>
    </row>
    <row r="58" spans="2:26" x14ac:dyDescent="0.25">
      <c r="B58" s="4">
        <f ca="1">IFERROR(INDEX(Points_Lookup!$A:$A,MATCH($Z58,Points_Lookup!$AH:$AH,0)),"")</f>
        <v>52</v>
      </c>
      <c r="C58" s="25">
        <f ca="1">IF(B58="","",IF($B$4="Apprenticeship",SUMIF(Points_Lookup!$AD:$AD,B58,Points_Lookup!$AF:$AF),IF(AND(OR($B$4="New Consultant Contract"),$B58&lt;&gt;""),INDEX(Points_Lookup!$N:$N,MATCH($B58,Points_Lookup!$M:$M,0)),IF(AND(OR($B$4="Clinical Lecturer / Medical Research Fellow",$B$4="Clinical Consultant - Old Contract (GP)"),$B58&lt;&gt;""),INDEX(Points_Lookup!$K:$K,MATCH($B58,Points_Lookup!$J:$J,0)),IF(AND(OR($B$4="APM Level 7",$B$4="R&amp;T Level 7",$B$4="APM Level 8"),B58&lt;&gt;""),INDEX(Points_Lookup!$E:$E,MATCH($Z58,Points_Lookup!$AH:$AH,0)),IF($B$4="R&amp;T Level 5 - Clinical Lecturers (Vet School)",SUMIF(Points_Lookup!$P:$P,$B58,Points_Lookup!$S:$S),IF($B$4="R&amp;T Level 6 - Clinical Associate Professors and Clinical Readers (Vet School)",SUMIF(Points_Lookup!$W:$W,$B58,Points_Lookup!$Z:$Z),IFERROR(INDEX(Points_Lookup!$B:$B,MATCH($Z58,Points_Lookup!$AH:$AH,0)),""))))))))</f>
        <v>62199</v>
      </c>
      <c r="D58" s="40"/>
      <c r="E58" s="25">
        <f ca="1">IF($B58="","",IF(AND($B$4="Salary Points 3 to 57",B58&lt;Thresholds_Rates!$C$16),"-",IF(SUMIF(Grades!$A:$A,$B$4,Grades!$BO:$BO)=0,"-",IF(AND($B$4="Salary Points 3 to 57",B58&gt;=Thresholds_Rates!$C$16),$C58*Thresholds_Rates!$F$15,IF(AND(OR($B$4="New Consultant Contract"),$B58&lt;&gt;""),$C58*Thresholds_Rates!$F$15,IF(AND(OR($B$4="Clinical Lecturer / Medical Research Fellow",$B$4="Clinical Consultant - Old Contract (GP)"),$B58&lt;&gt;""),$C58*Thresholds_Rates!$F$15,IF(OR($B$4="APM Level 7",$B$4="R&amp;T Level 7"),$C58*Thresholds_Rates!$F$15,IF(SUMIF(Grades!$A:$A,$B$4,Grades!$BO:$BO)=1,$C58*Thresholds_Rates!$F$15,""))))))))</f>
        <v>11195.82</v>
      </c>
      <c r="F58" s="25" t="str">
        <f ca="1">IF(B58="","",IF($B$4="Salary Points 3 to 57","-",IF(SUMIF(Grades!$A:$A,$B$4,Grades!$BP:$BP)=0,"-",IF(AND(OR($B$4="New Consultant Contract"),$B58&lt;&gt;""),$C58*Thresholds_Rates!$F$16,IF(AND(OR($B$4="Clinical Lecturer / Medical Research Fellow",$B$4="Clinical Consultant - Old Contract (GP)"),$B58&lt;&gt;""),$C58*Thresholds_Rates!$F$16,IF(AND(OR($B$4="APM Level 7",$B$4="R&amp;T Level 7"),E58&lt;&gt;""),$C58*Thresholds_Rates!$F$16,IF(SUMIF(Grades!$A:$A,$B$4,Grades!$BP:$BP)=1,$C58*Thresholds_Rates!$F$16,"")))))))</f>
        <v>-</v>
      </c>
      <c r="G58" s="25" t="str">
        <f ca="1">IF($B$4="Apprenticeship","-",IF(B58="","",IF(SUMIF(Grades!$A:$A,$B$4,Grades!$BQ:$BQ)=0,"-",IF(AND($B$4="Salary Points 3 to 57",B58&gt;Thresholds_Rates!$C$17),"-",IF(AND($B$4="Salary Points 3 to 57",B58&lt;=Thresholds_Rates!$C$17),$C58*Thresholds_Rates!$F$17,IF(AND(OR($B$4="New Consultant Contract"),$B58&lt;&gt;""),$C58*Thresholds_Rates!$F$17,IF(AND(OR($B$4="Clinical Lecturer / Medical Research Fellow",$B$4="Clinical Consultant - Old Contract (GP)"),$B58&lt;&gt;""),$C58*Thresholds_Rates!$F$17,IF(AND(OR($B$4="APM Level 7",$B$4="R&amp;T Level 7"),F58&lt;&gt;""),$C58*Thresholds_Rates!$F$17,IF(SUMIF(Grades!$A:$A,$B$4,Grades!$BQ:$BQ)=1,$C58*Thresholds_Rates!$F$17,"")))))))))</f>
        <v>-</v>
      </c>
      <c r="H58" s="25">
        <f ca="1">IF($B58="","",ROUND(($C58-(Thresholds_Rates!$C$5*12))*Thresholds_Rates!$C$10,0))</f>
        <v>7457</v>
      </c>
      <c r="I58" s="25">
        <f ca="1">IF(B58="","",(C58*Thresholds_Rates!$C$12))</f>
        <v>310.995</v>
      </c>
      <c r="J58" s="25" t="str">
        <f ca="1">IF(B58="","",IF(AND($B$4="Salary Points 3 to 57",B58&gt;Thresholds_Rates!$C$17),"-",IF(SUMIF(Grades!$A:$A,$B$4,Grades!$BR:$BR)=0,"-",IF(AND($B$4="Salary Points 3 to 57",B58&lt;=Thresholds_Rates!$C$17),$C58*Thresholds_Rates!$F$18,IF(AND(OR($B$4="New Consultant Contract"),$B58&lt;&gt;""),$C58*Thresholds_Rates!$F$18,IF(AND(OR($B$4="Clinical Lecturer / Medical Research Fellow",$B$4="Clinical Consultant - Old Contract (GP)"),$B58&lt;&gt;""),$C58*Thresholds_Rates!$F$18,IF(AND(OR($B$4="APM Level 7",$B$4="R&amp;T Level 7"),H58&lt;&gt;""),$C58*Thresholds_Rates!$F$18,IF(SUMIF(Grades!$A:$A,$B$4,Grades!$BQ:$BQ)=1,$C58*Thresholds_Rates!$F$18,""))))))))</f>
        <v>-</v>
      </c>
      <c r="K58" s="4"/>
      <c r="L58" s="25">
        <f t="shared" ca="1" si="6"/>
        <v>81162.815000000002</v>
      </c>
      <c r="M58" s="25" t="str">
        <f t="shared" ca="1" si="7"/>
        <v>-</v>
      </c>
      <c r="N58" s="25" t="str">
        <f t="shared" ca="1" si="8"/>
        <v>-</v>
      </c>
      <c r="O58" s="25" t="str">
        <f t="shared" ca="1" si="9"/>
        <v>-</v>
      </c>
      <c r="P58" s="25">
        <f t="shared" ca="1" si="10"/>
        <v>69966.994999999995</v>
      </c>
      <c r="R58" s="28" t="str">
        <f ca="1">IF(B58="","",IF($B$4="R&amp;T Level 5 - Clinical Lecturers (Vet School)",SUMIF(Points_Lookup!$P:$P,$B58,Points_Lookup!$Q:$Q),IF($B$4="R&amp;T Level 6 - Clinical Associate Professors and Clinical Readers (Vet School)",SUMIF(Points_Lookup!$W:$W,$B58,Points_Lookup!$X:$X),"")))</f>
        <v/>
      </c>
      <c r="S58" s="29" t="str">
        <f ca="1">IF(B58="","",IF($B$4="R&amp;T Level 5 - Clinical Lecturers (Vet School)",$C58-SUMIF(Points_Lookup!$P:$P,$B58,Points_Lookup!$R:$R),IF($B$4="R&amp;T Level 6 - Clinical Associate Professors and Clinical Readers (Vet School)",$C58-SUMIF(Points_Lookup!$W:$W,$B58,Points_Lookup!$Y:$Y),"")))</f>
        <v/>
      </c>
      <c r="T58" s="28" t="str">
        <f ca="1">IF(B58="","",IF($B$4="R&amp;T Level 5 - Clinical Lecturers (Vet School)",SUMIF(Points_Lookup!$P:$P,$B58,Points_Lookup!$T:$T),IF($B$4="R&amp;T Level 6 - Clinical Associate Professors and Clinical Readers (Vet School)",SUMIF(Points_Lookup!$W:$W,$B58,Points_Lookup!$AA:$AA),"")))</f>
        <v/>
      </c>
      <c r="U58" s="29" t="str">
        <f t="shared" ca="1" si="11"/>
        <v/>
      </c>
      <c r="Z58" s="26">
        <v>50</v>
      </c>
    </row>
    <row r="59" spans="2:26" x14ac:dyDescent="0.25">
      <c r="B59" s="4">
        <f ca="1">IFERROR(INDEX(Points_Lookup!$A:$A,MATCH($Z59,Points_Lookup!$AH:$AH,0)),"")</f>
        <v>53</v>
      </c>
      <c r="C59" s="25">
        <f ca="1">IF(B59="","",IF($B$4="Apprenticeship",SUMIF(Points_Lookup!$AD:$AD,B59,Points_Lookup!$AF:$AF),IF(AND(OR($B$4="New Consultant Contract"),$B59&lt;&gt;""),INDEX(Points_Lookup!$N:$N,MATCH($B59,Points_Lookup!$M:$M,0)),IF(AND(OR($B$4="Clinical Lecturer / Medical Research Fellow",$B$4="Clinical Consultant - Old Contract (GP)"),$B59&lt;&gt;""),INDEX(Points_Lookup!$K:$K,MATCH($B59,Points_Lookup!$J:$J,0)),IF(AND(OR($B$4="APM Level 7",$B$4="R&amp;T Level 7",$B$4="APM Level 8"),B59&lt;&gt;""),INDEX(Points_Lookup!$E:$E,MATCH($Z59,Points_Lookup!$AH:$AH,0)),IF($B$4="R&amp;T Level 5 - Clinical Lecturers (Vet School)",SUMIF(Points_Lookup!$P:$P,$B59,Points_Lookup!$S:$S),IF($B$4="R&amp;T Level 6 - Clinical Associate Professors and Clinical Readers (Vet School)",SUMIF(Points_Lookup!$W:$W,$B59,Points_Lookup!$Z:$Z),IFERROR(INDEX(Points_Lookup!$B:$B,MATCH($Z59,Points_Lookup!$AH:$AH,0)),""))))))))</f>
        <v>64061</v>
      </c>
      <c r="D59" s="40"/>
      <c r="E59" s="25">
        <f ca="1">IF($B59="","",IF(AND($B$4="Salary Points 3 to 57",B59&lt;Thresholds_Rates!$C$16),"-",IF(SUMIF(Grades!$A:$A,$B$4,Grades!$BO:$BO)=0,"-",IF(AND($B$4="Salary Points 3 to 57",B59&gt;=Thresholds_Rates!$C$16),$C59*Thresholds_Rates!$F$15,IF(AND(OR($B$4="New Consultant Contract"),$B59&lt;&gt;""),$C59*Thresholds_Rates!$F$15,IF(AND(OR($B$4="Clinical Lecturer / Medical Research Fellow",$B$4="Clinical Consultant - Old Contract (GP)"),$B59&lt;&gt;""),$C59*Thresholds_Rates!$F$15,IF(OR($B$4="APM Level 7",$B$4="R&amp;T Level 7"),$C59*Thresholds_Rates!$F$15,IF(SUMIF(Grades!$A:$A,$B$4,Grades!$BO:$BO)=1,$C59*Thresholds_Rates!$F$15,""))))))))</f>
        <v>11530.98</v>
      </c>
      <c r="F59" s="25" t="str">
        <f ca="1">IF(B59="","",IF($B$4="Salary Points 3 to 57","-",IF(SUMIF(Grades!$A:$A,$B$4,Grades!$BP:$BP)=0,"-",IF(AND(OR($B$4="New Consultant Contract"),$B59&lt;&gt;""),$C59*Thresholds_Rates!$F$16,IF(AND(OR($B$4="Clinical Lecturer / Medical Research Fellow",$B$4="Clinical Consultant - Old Contract (GP)"),$B59&lt;&gt;""),$C59*Thresholds_Rates!$F$16,IF(AND(OR($B$4="APM Level 7",$B$4="R&amp;T Level 7"),E59&lt;&gt;""),$C59*Thresholds_Rates!$F$16,IF(SUMIF(Grades!$A:$A,$B$4,Grades!$BP:$BP)=1,$C59*Thresholds_Rates!$F$16,"")))))))</f>
        <v>-</v>
      </c>
      <c r="G59" s="25" t="str">
        <f ca="1">IF($B$4="Apprenticeship","-",IF(B59="","",IF(SUMIF(Grades!$A:$A,$B$4,Grades!$BQ:$BQ)=0,"-",IF(AND($B$4="Salary Points 3 to 57",B59&gt;Thresholds_Rates!$C$17),"-",IF(AND($B$4="Salary Points 3 to 57",B59&lt;=Thresholds_Rates!$C$17),$C59*Thresholds_Rates!$F$17,IF(AND(OR($B$4="New Consultant Contract"),$B59&lt;&gt;""),$C59*Thresholds_Rates!$F$17,IF(AND(OR($B$4="Clinical Lecturer / Medical Research Fellow",$B$4="Clinical Consultant - Old Contract (GP)"),$B59&lt;&gt;""),$C59*Thresholds_Rates!$F$17,IF(AND(OR($B$4="APM Level 7",$B$4="R&amp;T Level 7"),F59&lt;&gt;""),$C59*Thresholds_Rates!$F$17,IF(SUMIF(Grades!$A:$A,$B$4,Grades!$BQ:$BQ)=1,$C59*Thresholds_Rates!$F$17,"")))))))))</f>
        <v>-</v>
      </c>
      <c r="H59" s="25">
        <f ca="1">IF($B59="","",ROUND(($C59-(Thresholds_Rates!$C$5*12))*Thresholds_Rates!$C$10,0))</f>
        <v>7714</v>
      </c>
      <c r="I59" s="25">
        <f ca="1">IF(B59="","",(C59*Thresholds_Rates!$C$12))</f>
        <v>320.30500000000001</v>
      </c>
      <c r="J59" s="25" t="str">
        <f ca="1">IF(B59="","",IF(AND($B$4="Salary Points 3 to 57",B59&gt;Thresholds_Rates!$C$17),"-",IF(SUMIF(Grades!$A:$A,$B$4,Grades!$BR:$BR)=0,"-",IF(AND($B$4="Salary Points 3 to 57",B59&lt;=Thresholds_Rates!$C$17),$C59*Thresholds_Rates!$F$18,IF(AND(OR($B$4="New Consultant Contract"),$B59&lt;&gt;""),$C59*Thresholds_Rates!$F$18,IF(AND(OR($B$4="Clinical Lecturer / Medical Research Fellow",$B$4="Clinical Consultant - Old Contract (GP)"),$B59&lt;&gt;""),$C59*Thresholds_Rates!$F$18,IF(AND(OR($B$4="APM Level 7",$B$4="R&amp;T Level 7"),H59&lt;&gt;""),$C59*Thresholds_Rates!$F$18,IF(SUMIF(Grades!$A:$A,$B$4,Grades!$BQ:$BQ)=1,$C59*Thresholds_Rates!$F$18,""))))))))</f>
        <v>-</v>
      </c>
      <c r="K59" s="4"/>
      <c r="L59" s="25">
        <f t="shared" ca="1" si="6"/>
        <v>83626.284999999989</v>
      </c>
      <c r="M59" s="25" t="str">
        <f t="shared" ca="1" si="7"/>
        <v>-</v>
      </c>
      <c r="N59" s="25" t="str">
        <f t="shared" ca="1" si="8"/>
        <v>-</v>
      </c>
      <c r="O59" s="25" t="str">
        <f t="shared" ca="1" si="9"/>
        <v>-</v>
      </c>
      <c r="P59" s="25">
        <f t="shared" ca="1" si="10"/>
        <v>72095.304999999993</v>
      </c>
      <c r="R59" s="28" t="str">
        <f ca="1">IF(B59="","",IF($B$4="R&amp;T Level 5 - Clinical Lecturers (Vet School)",SUMIF(Points_Lookup!$P:$P,$B59,Points_Lookup!$Q:$Q),IF($B$4="R&amp;T Level 6 - Clinical Associate Professors and Clinical Readers (Vet School)",SUMIF(Points_Lookup!$W:$W,$B59,Points_Lookup!$X:$X),"")))</f>
        <v/>
      </c>
      <c r="S59" s="29" t="str">
        <f ca="1">IF(B59="","",IF($B$4="R&amp;T Level 5 - Clinical Lecturers (Vet School)",$C59-SUMIF(Points_Lookup!$P:$P,$B59,Points_Lookup!$R:$R),IF($B$4="R&amp;T Level 6 - Clinical Associate Professors and Clinical Readers (Vet School)",$C59-SUMIF(Points_Lookup!$W:$W,$B59,Points_Lookup!$Y:$Y),"")))</f>
        <v/>
      </c>
      <c r="T59" s="28" t="str">
        <f ca="1">IF(B59="","",IF($B$4="R&amp;T Level 5 - Clinical Lecturers (Vet School)",SUMIF(Points_Lookup!$P:$P,$B59,Points_Lookup!$T:$T),IF($B$4="R&amp;T Level 6 - Clinical Associate Professors and Clinical Readers (Vet School)",SUMIF(Points_Lookup!$W:$W,$B59,Points_Lookup!$AA:$AA),"")))</f>
        <v/>
      </c>
      <c r="U59" s="29" t="str">
        <f t="shared" ca="1" si="11"/>
        <v/>
      </c>
      <c r="Z59" s="26">
        <v>51</v>
      </c>
    </row>
    <row r="60" spans="2:26" x14ac:dyDescent="0.25">
      <c r="B60" s="4">
        <f ca="1">IFERROR(INDEX(Points_Lookup!$A:$A,MATCH($Z60,Points_Lookup!$AH:$AH,0)),"")</f>
        <v>54</v>
      </c>
      <c r="C60" s="25">
        <f ca="1">IF(B60="","",IF($B$4="Apprenticeship",SUMIF(Points_Lookup!$AD:$AD,B60,Points_Lookup!$AF:$AF),IF(AND(OR($B$4="New Consultant Contract"),$B60&lt;&gt;""),INDEX(Points_Lookup!$N:$N,MATCH($B60,Points_Lookup!$M:$M,0)),IF(AND(OR($B$4="Clinical Lecturer / Medical Research Fellow",$B$4="Clinical Consultant - Old Contract (GP)"),$B60&lt;&gt;""),INDEX(Points_Lookup!$K:$K,MATCH($B60,Points_Lookup!$J:$J,0)),IF(AND(OR($B$4="APM Level 7",$B$4="R&amp;T Level 7",$B$4="APM Level 8"),B60&lt;&gt;""),INDEX(Points_Lookup!$E:$E,MATCH($Z60,Points_Lookup!$AH:$AH,0)),IF($B$4="R&amp;T Level 5 - Clinical Lecturers (Vet School)",SUMIF(Points_Lookup!$P:$P,$B60,Points_Lookup!$S:$S),IF($B$4="R&amp;T Level 6 - Clinical Associate Professors and Clinical Readers (Vet School)",SUMIF(Points_Lookup!$W:$W,$B60,Points_Lookup!$Z:$Z),IFERROR(INDEX(Points_Lookup!$B:$B,MATCH($Z60,Points_Lookup!$AH:$AH,0)),""))))))))</f>
        <v>65980</v>
      </c>
      <c r="D60" s="40"/>
      <c r="E60" s="25">
        <f ca="1">IF($B60="","",IF(AND($B$4="Salary Points 3 to 57",B60&lt;Thresholds_Rates!$C$16),"-",IF(SUMIF(Grades!$A:$A,$B$4,Grades!$BO:$BO)=0,"-",IF(AND($B$4="Salary Points 3 to 57",B60&gt;=Thresholds_Rates!$C$16),$C60*Thresholds_Rates!$F$15,IF(AND(OR($B$4="New Consultant Contract"),$B60&lt;&gt;""),$C60*Thresholds_Rates!$F$15,IF(AND(OR($B$4="Clinical Lecturer / Medical Research Fellow",$B$4="Clinical Consultant - Old Contract (GP)"),$B60&lt;&gt;""),$C60*Thresholds_Rates!$F$15,IF(OR($B$4="APM Level 7",$B$4="R&amp;T Level 7"),$C60*Thresholds_Rates!$F$15,IF(SUMIF(Grades!$A:$A,$B$4,Grades!$BO:$BO)=1,$C60*Thresholds_Rates!$F$15,""))))))))</f>
        <v>11876.4</v>
      </c>
      <c r="F60" s="25" t="str">
        <f ca="1">IF(B60="","",IF($B$4="Salary Points 3 to 57","-",IF(SUMIF(Grades!$A:$A,$B$4,Grades!$BP:$BP)=0,"-",IF(AND(OR($B$4="New Consultant Contract"),$B60&lt;&gt;""),$C60*Thresholds_Rates!$F$16,IF(AND(OR($B$4="Clinical Lecturer / Medical Research Fellow",$B$4="Clinical Consultant - Old Contract (GP)"),$B60&lt;&gt;""),$C60*Thresholds_Rates!$F$16,IF(AND(OR($B$4="APM Level 7",$B$4="R&amp;T Level 7"),E60&lt;&gt;""),$C60*Thresholds_Rates!$F$16,IF(SUMIF(Grades!$A:$A,$B$4,Grades!$BP:$BP)=1,$C60*Thresholds_Rates!$F$16,"")))))))</f>
        <v>-</v>
      </c>
      <c r="G60" s="25" t="str">
        <f ca="1">IF($B$4="Apprenticeship","-",IF(B60="","",IF(SUMIF(Grades!$A:$A,$B$4,Grades!$BQ:$BQ)=0,"-",IF(AND($B$4="Salary Points 3 to 57",B60&gt;Thresholds_Rates!$C$17),"-",IF(AND($B$4="Salary Points 3 to 57",B60&lt;=Thresholds_Rates!$C$17),$C60*Thresholds_Rates!$F$17,IF(AND(OR($B$4="New Consultant Contract"),$B60&lt;&gt;""),$C60*Thresholds_Rates!$F$17,IF(AND(OR($B$4="Clinical Lecturer / Medical Research Fellow",$B$4="Clinical Consultant - Old Contract (GP)"),$B60&lt;&gt;""),$C60*Thresholds_Rates!$F$17,IF(AND(OR($B$4="APM Level 7",$B$4="R&amp;T Level 7"),F60&lt;&gt;""),$C60*Thresholds_Rates!$F$17,IF(SUMIF(Grades!$A:$A,$B$4,Grades!$BQ:$BQ)=1,$C60*Thresholds_Rates!$F$17,"")))))))))</f>
        <v>-</v>
      </c>
      <c r="H60" s="25">
        <f ca="1">IF($B60="","",ROUND(($C60-(Thresholds_Rates!$C$5*12))*Thresholds_Rates!$C$10,0))</f>
        <v>7979</v>
      </c>
      <c r="I60" s="25">
        <f ca="1">IF(B60="","",(C60*Thresholds_Rates!$C$12))</f>
        <v>329.90000000000003</v>
      </c>
      <c r="J60" s="25" t="str">
        <f ca="1">IF(B60="","",IF(AND($B$4="Salary Points 3 to 57",B60&gt;Thresholds_Rates!$C$17),"-",IF(SUMIF(Grades!$A:$A,$B$4,Grades!$BR:$BR)=0,"-",IF(AND($B$4="Salary Points 3 to 57",B60&lt;=Thresholds_Rates!$C$17),$C60*Thresholds_Rates!$F$18,IF(AND(OR($B$4="New Consultant Contract"),$B60&lt;&gt;""),$C60*Thresholds_Rates!$F$18,IF(AND(OR($B$4="Clinical Lecturer / Medical Research Fellow",$B$4="Clinical Consultant - Old Contract (GP)"),$B60&lt;&gt;""),$C60*Thresholds_Rates!$F$18,IF(AND(OR($B$4="APM Level 7",$B$4="R&amp;T Level 7"),H60&lt;&gt;""),$C60*Thresholds_Rates!$F$18,IF(SUMIF(Grades!$A:$A,$B$4,Grades!$BQ:$BQ)=1,$C60*Thresholds_Rates!$F$18,""))))))))</f>
        <v>-</v>
      </c>
      <c r="K60" s="4"/>
      <c r="L60" s="25">
        <f t="shared" ca="1" si="6"/>
        <v>86165.299999999988</v>
      </c>
      <c r="M60" s="25" t="str">
        <f t="shared" ca="1" si="7"/>
        <v>-</v>
      </c>
      <c r="N60" s="25" t="str">
        <f t="shared" ca="1" si="8"/>
        <v>-</v>
      </c>
      <c r="O60" s="25" t="str">
        <f t="shared" ca="1" si="9"/>
        <v>-</v>
      </c>
      <c r="P60" s="25">
        <f t="shared" ca="1" si="10"/>
        <v>74288.899999999994</v>
      </c>
      <c r="R60" s="28" t="str">
        <f ca="1">IF(B60="","",IF($B$4="R&amp;T Level 5 - Clinical Lecturers (Vet School)",SUMIF(Points_Lookup!$P:$P,$B60,Points_Lookup!$Q:$Q),IF($B$4="R&amp;T Level 6 - Clinical Associate Professors and Clinical Readers (Vet School)",SUMIF(Points_Lookup!$W:$W,$B60,Points_Lookup!$X:$X),"")))</f>
        <v/>
      </c>
      <c r="S60" s="29" t="str">
        <f ca="1">IF(B60="","",IF($B$4="R&amp;T Level 5 - Clinical Lecturers (Vet School)",$C60-SUMIF(Points_Lookup!$P:$P,$B60,Points_Lookup!$R:$R),IF($B$4="R&amp;T Level 6 - Clinical Associate Professors and Clinical Readers (Vet School)",$C60-SUMIF(Points_Lookup!$W:$W,$B60,Points_Lookup!$Y:$Y),"")))</f>
        <v/>
      </c>
      <c r="T60" s="28" t="str">
        <f ca="1">IF(B60="","",IF($B$4="R&amp;T Level 5 - Clinical Lecturers (Vet School)",SUMIF(Points_Lookup!$P:$P,$B60,Points_Lookup!$T:$T),IF($B$4="R&amp;T Level 6 - Clinical Associate Professors and Clinical Readers (Vet School)",SUMIF(Points_Lookup!$W:$W,$B60,Points_Lookup!$AA:$AA),"")))</f>
        <v/>
      </c>
      <c r="U60" s="29" t="str">
        <f t="shared" ca="1" si="11"/>
        <v/>
      </c>
      <c r="Z60" s="26">
        <v>52</v>
      </c>
    </row>
    <row r="61" spans="2:26" x14ac:dyDescent="0.25">
      <c r="B61" s="4">
        <f ca="1">IFERROR(INDEX(Points_Lookup!$A:$A,MATCH($Z61,Points_Lookup!$AH:$AH,0)),"")</f>
        <v>55</v>
      </c>
      <c r="C61" s="25">
        <f ca="1">IF(B61="","",IF($B$4="Apprenticeship",SUMIF(Points_Lookup!$AD:$AD,B61,Points_Lookup!$AF:$AF),IF(AND(OR($B$4="New Consultant Contract"),$B61&lt;&gt;""),INDEX(Points_Lookup!$N:$N,MATCH($B61,Points_Lookup!$M:$M,0)),IF(AND(OR($B$4="Clinical Lecturer / Medical Research Fellow",$B$4="Clinical Consultant - Old Contract (GP)"),$B61&lt;&gt;""),INDEX(Points_Lookup!$K:$K,MATCH($B61,Points_Lookup!$J:$J,0)),IF(AND(OR($B$4="APM Level 7",$B$4="R&amp;T Level 7",$B$4="APM Level 8"),B61&lt;&gt;""),INDEX(Points_Lookup!$E:$E,MATCH($Z61,Points_Lookup!$AH:$AH,0)),IF($B$4="R&amp;T Level 5 - Clinical Lecturers (Vet School)",SUMIF(Points_Lookup!$P:$P,$B61,Points_Lookup!$S:$S),IF($B$4="R&amp;T Level 6 - Clinical Associate Professors and Clinical Readers (Vet School)",SUMIF(Points_Lookup!$W:$W,$B61,Points_Lookup!$Z:$Z),IFERROR(INDEX(Points_Lookup!$B:$B,MATCH($Z61,Points_Lookup!$AH:$AH,0)),""))))))))</f>
        <v>67954</v>
      </c>
      <c r="D61" s="40"/>
      <c r="E61" s="25">
        <f ca="1">IF($B61="","",IF(AND($B$4="Salary Points 3 to 57",B61&lt;Thresholds_Rates!$C$16),"-",IF(SUMIF(Grades!$A:$A,$B$4,Grades!$BO:$BO)=0,"-",IF(AND($B$4="Salary Points 3 to 57",B61&gt;=Thresholds_Rates!$C$16),$C61*Thresholds_Rates!$F$15,IF(AND(OR($B$4="New Consultant Contract"),$B61&lt;&gt;""),$C61*Thresholds_Rates!$F$15,IF(AND(OR($B$4="Clinical Lecturer / Medical Research Fellow",$B$4="Clinical Consultant - Old Contract (GP)"),$B61&lt;&gt;""),$C61*Thresholds_Rates!$F$15,IF(OR($B$4="APM Level 7",$B$4="R&amp;T Level 7"),$C61*Thresholds_Rates!$F$15,IF(SUMIF(Grades!$A:$A,$B$4,Grades!$BO:$BO)=1,$C61*Thresholds_Rates!$F$15,""))))))))</f>
        <v>12231.72</v>
      </c>
      <c r="F61" s="25" t="str">
        <f ca="1">IF(B61="","",IF($B$4="Salary Points 3 to 57","-",IF(SUMIF(Grades!$A:$A,$B$4,Grades!$BP:$BP)=0,"-",IF(AND(OR($B$4="New Consultant Contract"),$B61&lt;&gt;""),$C61*Thresholds_Rates!$F$16,IF(AND(OR($B$4="Clinical Lecturer / Medical Research Fellow",$B$4="Clinical Consultant - Old Contract (GP)"),$B61&lt;&gt;""),$C61*Thresholds_Rates!$F$16,IF(AND(OR($B$4="APM Level 7",$B$4="R&amp;T Level 7"),E61&lt;&gt;""),$C61*Thresholds_Rates!$F$16,IF(SUMIF(Grades!$A:$A,$B$4,Grades!$BP:$BP)=1,$C61*Thresholds_Rates!$F$16,"")))))))</f>
        <v>-</v>
      </c>
      <c r="G61" s="25" t="str">
        <f ca="1">IF($B$4="Apprenticeship","-",IF(B61="","",IF(SUMIF(Grades!$A:$A,$B$4,Grades!$BQ:$BQ)=0,"-",IF(AND($B$4="Salary Points 3 to 57",B61&gt;Thresholds_Rates!$C$17),"-",IF(AND($B$4="Salary Points 3 to 57",B61&lt;=Thresholds_Rates!$C$17),$C61*Thresholds_Rates!$F$17,IF(AND(OR($B$4="New Consultant Contract"),$B61&lt;&gt;""),$C61*Thresholds_Rates!$F$17,IF(AND(OR($B$4="Clinical Lecturer / Medical Research Fellow",$B$4="Clinical Consultant - Old Contract (GP)"),$B61&lt;&gt;""),$C61*Thresholds_Rates!$F$17,IF(AND(OR($B$4="APM Level 7",$B$4="R&amp;T Level 7"),F61&lt;&gt;""),$C61*Thresholds_Rates!$F$17,IF(SUMIF(Grades!$A:$A,$B$4,Grades!$BQ:$BQ)=1,$C61*Thresholds_Rates!$F$17,"")))))))))</f>
        <v>-</v>
      </c>
      <c r="H61" s="25">
        <f ca="1">IF($B61="","",ROUND(($C61-(Thresholds_Rates!$C$5*12))*Thresholds_Rates!$C$10,0))</f>
        <v>8252</v>
      </c>
      <c r="I61" s="25">
        <f ca="1">IF(B61="","",(C61*Thresholds_Rates!$C$12))</f>
        <v>339.77</v>
      </c>
      <c r="J61" s="25" t="str">
        <f ca="1">IF(B61="","",IF(AND($B$4="Salary Points 3 to 57",B61&gt;Thresholds_Rates!$C$17),"-",IF(SUMIF(Grades!$A:$A,$B$4,Grades!$BR:$BR)=0,"-",IF(AND($B$4="Salary Points 3 to 57",B61&lt;=Thresholds_Rates!$C$17),$C61*Thresholds_Rates!$F$18,IF(AND(OR($B$4="New Consultant Contract"),$B61&lt;&gt;""),$C61*Thresholds_Rates!$F$18,IF(AND(OR($B$4="Clinical Lecturer / Medical Research Fellow",$B$4="Clinical Consultant - Old Contract (GP)"),$B61&lt;&gt;""),$C61*Thresholds_Rates!$F$18,IF(AND(OR($B$4="APM Level 7",$B$4="R&amp;T Level 7"),H61&lt;&gt;""),$C61*Thresholds_Rates!$F$18,IF(SUMIF(Grades!$A:$A,$B$4,Grades!$BQ:$BQ)=1,$C61*Thresholds_Rates!$F$18,""))))))))</f>
        <v>-</v>
      </c>
      <c r="K61" s="4"/>
      <c r="L61" s="25">
        <f t="shared" ca="1" si="6"/>
        <v>88777.49</v>
      </c>
      <c r="M61" s="25" t="str">
        <f t="shared" ca="1" si="7"/>
        <v>-</v>
      </c>
      <c r="N61" s="25" t="str">
        <f t="shared" ca="1" si="8"/>
        <v>-</v>
      </c>
      <c r="O61" s="25" t="str">
        <f t="shared" ca="1" si="9"/>
        <v>-</v>
      </c>
      <c r="P61" s="25">
        <f t="shared" ca="1" si="10"/>
        <v>76545.77</v>
      </c>
      <c r="R61" s="28" t="str">
        <f ca="1">IF(B61="","",IF($B$4="R&amp;T Level 5 - Clinical Lecturers (Vet School)",SUMIF(Points_Lookup!$P:$P,$B61,Points_Lookup!$Q:$Q),IF($B$4="R&amp;T Level 6 - Clinical Associate Professors and Clinical Readers (Vet School)",SUMIF(Points_Lookup!$W:$W,$B61,Points_Lookup!$X:$X),"")))</f>
        <v/>
      </c>
      <c r="S61" s="29" t="str">
        <f ca="1">IF(B61="","",IF($B$4="R&amp;T Level 5 - Clinical Lecturers (Vet School)",$C61-SUMIF(Points_Lookup!$P:$P,$B61,Points_Lookup!$R:$R),IF($B$4="R&amp;T Level 6 - Clinical Associate Professors and Clinical Readers (Vet School)",$C61-SUMIF(Points_Lookup!$W:$W,$B61,Points_Lookup!$Y:$Y),"")))</f>
        <v/>
      </c>
      <c r="T61" s="28" t="str">
        <f ca="1">IF(B61="","",IF($B$4="R&amp;T Level 5 - Clinical Lecturers (Vet School)",SUMIF(Points_Lookup!$P:$P,$B61,Points_Lookup!$T:$T),IF($B$4="R&amp;T Level 6 - Clinical Associate Professors and Clinical Readers (Vet School)",SUMIF(Points_Lookup!$W:$W,$B61,Points_Lookup!$AA:$AA),"")))</f>
        <v/>
      </c>
      <c r="U61" s="29" t="str">
        <f t="shared" ca="1" si="11"/>
        <v/>
      </c>
      <c r="Z61" s="26">
        <v>53</v>
      </c>
    </row>
    <row r="62" spans="2:26" x14ac:dyDescent="0.25">
      <c r="B62" s="4">
        <f ca="1">IFERROR(INDEX(Points_Lookup!$A:$A,MATCH($Z62,Points_Lookup!$AH:$AH,0)),"")</f>
        <v>56</v>
      </c>
      <c r="C62" s="25">
        <f ca="1">IF(B62="","",IF($B$4="Apprenticeship",SUMIF(Points_Lookup!$AD:$AD,B62,Points_Lookup!$AF:$AF),IF(AND(OR($B$4="New Consultant Contract"),$B62&lt;&gt;""),INDEX(Points_Lookup!$N:$N,MATCH($B62,Points_Lookup!$M:$M,0)),IF(AND(OR($B$4="Clinical Lecturer / Medical Research Fellow",$B$4="Clinical Consultant - Old Contract (GP)"),$B62&lt;&gt;""),INDEX(Points_Lookup!$K:$K,MATCH($B62,Points_Lookup!$J:$J,0)),IF(AND(OR($B$4="APM Level 7",$B$4="R&amp;T Level 7",$B$4="APM Level 8"),B62&lt;&gt;""),INDEX(Points_Lookup!$E:$E,MATCH($Z62,Points_Lookup!$AH:$AH,0)),IF($B$4="R&amp;T Level 5 - Clinical Lecturers (Vet School)",SUMIF(Points_Lookup!$P:$P,$B62,Points_Lookup!$S:$S),IF($B$4="R&amp;T Level 6 - Clinical Associate Professors and Clinical Readers (Vet School)",SUMIF(Points_Lookup!$W:$W,$B62,Points_Lookup!$Z:$Z),IFERROR(INDEX(Points_Lookup!$B:$B,MATCH($Z62,Points_Lookup!$AH:$AH,0)),""))))))))</f>
        <v>69987</v>
      </c>
      <c r="D62" s="40"/>
      <c r="E62" s="25">
        <f ca="1">IF($B62="","",IF(AND($B$4="Salary Points 3 to 57",B62&lt;Thresholds_Rates!$C$16),"-",IF(SUMIF(Grades!$A:$A,$B$4,Grades!$BO:$BO)=0,"-",IF(AND($B$4="Salary Points 3 to 57",B62&gt;=Thresholds_Rates!$C$16),$C62*Thresholds_Rates!$F$15,IF(AND(OR($B$4="New Consultant Contract"),$B62&lt;&gt;""),$C62*Thresholds_Rates!$F$15,IF(AND(OR($B$4="Clinical Lecturer / Medical Research Fellow",$B$4="Clinical Consultant - Old Contract (GP)"),$B62&lt;&gt;""),$C62*Thresholds_Rates!$F$15,IF(OR($B$4="APM Level 7",$B$4="R&amp;T Level 7"),$C62*Thresholds_Rates!$F$15,IF(SUMIF(Grades!$A:$A,$B$4,Grades!$BO:$BO)=1,$C62*Thresholds_Rates!$F$15,""))))))))</f>
        <v>12597.66</v>
      </c>
      <c r="F62" s="25" t="str">
        <f ca="1">IF(B62="","",IF($B$4="Salary Points 3 to 57","-",IF(SUMIF(Grades!$A:$A,$B$4,Grades!$BP:$BP)=0,"-",IF(AND(OR($B$4="New Consultant Contract"),$B62&lt;&gt;""),$C62*Thresholds_Rates!$F$16,IF(AND(OR($B$4="Clinical Lecturer / Medical Research Fellow",$B$4="Clinical Consultant - Old Contract (GP)"),$B62&lt;&gt;""),$C62*Thresholds_Rates!$F$16,IF(AND(OR($B$4="APM Level 7",$B$4="R&amp;T Level 7"),E62&lt;&gt;""),$C62*Thresholds_Rates!$F$16,IF(SUMIF(Grades!$A:$A,$B$4,Grades!$BP:$BP)=1,$C62*Thresholds_Rates!$F$16,"")))))))</f>
        <v>-</v>
      </c>
      <c r="G62" s="25" t="str">
        <f ca="1">IF($B$4="Apprenticeship","-",IF(B62="","",IF(SUMIF(Grades!$A:$A,$B$4,Grades!$BQ:$BQ)=0,"-",IF(AND($B$4="Salary Points 3 to 57",B62&gt;Thresholds_Rates!$C$17),"-",IF(AND($B$4="Salary Points 3 to 57",B62&lt;=Thresholds_Rates!$C$17),$C62*Thresholds_Rates!$F$17,IF(AND(OR($B$4="New Consultant Contract"),$B62&lt;&gt;""),$C62*Thresholds_Rates!$F$17,IF(AND(OR($B$4="Clinical Lecturer / Medical Research Fellow",$B$4="Clinical Consultant - Old Contract (GP)"),$B62&lt;&gt;""),$C62*Thresholds_Rates!$F$17,IF(AND(OR($B$4="APM Level 7",$B$4="R&amp;T Level 7"),F62&lt;&gt;""),$C62*Thresholds_Rates!$F$17,IF(SUMIF(Grades!$A:$A,$B$4,Grades!$BQ:$BQ)=1,$C62*Thresholds_Rates!$F$17,"")))))))))</f>
        <v>-</v>
      </c>
      <c r="H62" s="25">
        <f ca="1">IF($B62="","",ROUND(($C62-(Thresholds_Rates!$C$5*12))*Thresholds_Rates!$C$10,0))</f>
        <v>8532</v>
      </c>
      <c r="I62" s="25">
        <f ca="1">IF(B62="","",(C62*Thresholds_Rates!$C$12))</f>
        <v>349.935</v>
      </c>
      <c r="J62" s="25" t="str">
        <f ca="1">IF(B62="","",IF(AND($B$4="Salary Points 3 to 57",B62&gt;Thresholds_Rates!$C$17),"-",IF(SUMIF(Grades!$A:$A,$B$4,Grades!$BR:$BR)=0,"-",IF(AND($B$4="Salary Points 3 to 57",B62&lt;=Thresholds_Rates!$C$17),$C62*Thresholds_Rates!$F$18,IF(AND(OR($B$4="New Consultant Contract"),$B62&lt;&gt;""),$C62*Thresholds_Rates!$F$18,IF(AND(OR($B$4="Clinical Lecturer / Medical Research Fellow",$B$4="Clinical Consultant - Old Contract (GP)"),$B62&lt;&gt;""),$C62*Thresholds_Rates!$F$18,IF(AND(OR($B$4="APM Level 7",$B$4="R&amp;T Level 7"),H62&lt;&gt;""),$C62*Thresholds_Rates!$F$18,IF(SUMIF(Grades!$A:$A,$B$4,Grades!$BQ:$BQ)=1,$C62*Thresholds_Rates!$F$18,""))))))))</f>
        <v>-</v>
      </c>
      <c r="K62" s="4"/>
      <c r="L62" s="25">
        <f t="shared" ca="1" si="6"/>
        <v>91466.595000000001</v>
      </c>
      <c r="M62" s="25" t="str">
        <f t="shared" ca="1" si="7"/>
        <v>-</v>
      </c>
      <c r="N62" s="25" t="str">
        <f t="shared" ca="1" si="8"/>
        <v>-</v>
      </c>
      <c r="O62" s="25" t="str">
        <f t="shared" ca="1" si="9"/>
        <v>-</v>
      </c>
      <c r="P62" s="25">
        <f t="shared" ca="1" si="10"/>
        <v>78868.934999999998</v>
      </c>
      <c r="R62" s="28" t="str">
        <f ca="1">IF(B62="","",IF($B$4="R&amp;T Level 5 - Clinical Lecturers (Vet School)",SUMIF(Points_Lookup!$P:$P,$B62,Points_Lookup!$Q:$Q),IF($B$4="R&amp;T Level 6 - Clinical Associate Professors and Clinical Readers (Vet School)",SUMIF(Points_Lookup!$W:$W,$B62,Points_Lookup!$X:$X),"")))</f>
        <v/>
      </c>
      <c r="S62" s="29" t="str">
        <f ca="1">IF(B62="","",IF($B$4="R&amp;T Level 5 - Clinical Lecturers (Vet School)",$C62-SUMIF(Points_Lookup!$P:$P,$B62,Points_Lookup!$R:$R),IF($B$4="R&amp;T Level 6 - Clinical Associate Professors and Clinical Readers (Vet School)",$C62-SUMIF(Points_Lookup!$W:$W,$B62,Points_Lookup!$Y:$Y),"")))</f>
        <v/>
      </c>
      <c r="T62" s="28" t="str">
        <f ca="1">IF(B62="","",IF($B$4="R&amp;T Level 5 - Clinical Lecturers (Vet School)",SUMIF(Points_Lookup!$P:$P,$B62,Points_Lookup!$T:$T),IF($B$4="R&amp;T Level 6 - Clinical Associate Professors and Clinical Readers (Vet School)",SUMIF(Points_Lookup!$W:$W,$B62,Points_Lookup!$AA:$AA),"")))</f>
        <v/>
      </c>
      <c r="U62" s="29" t="str">
        <f t="shared" ca="1" si="11"/>
        <v/>
      </c>
      <c r="Z62" s="26">
        <v>54</v>
      </c>
    </row>
    <row r="63" spans="2:26" x14ac:dyDescent="0.25">
      <c r="B63" s="4">
        <f ca="1">IFERROR(INDEX(Points_Lookup!$A:$A,MATCH($Z63,Points_Lookup!$AH:$AH,0)),"")</f>
        <v>57</v>
      </c>
      <c r="C63" s="25">
        <f ca="1">IF(B63="","",IF($B$4="Apprenticeship",SUMIF(Points_Lookup!$AD:$AD,B63,Points_Lookup!$AF:$AF),IF(AND(OR($B$4="New Consultant Contract"),$B63&lt;&gt;""),INDEX(Points_Lookup!$N:$N,MATCH($B63,Points_Lookup!$M:$M,0)),IF(AND(OR($B$4="Clinical Lecturer / Medical Research Fellow",$B$4="Clinical Consultant - Old Contract (GP)"),$B63&lt;&gt;""),INDEX(Points_Lookup!$K:$K,MATCH($B63,Points_Lookup!$J:$J,0)),IF(AND(OR($B$4="APM Level 7",$B$4="R&amp;T Level 7",$B$4="APM Level 8"),B63&lt;&gt;""),INDEX(Points_Lookup!$E:$E,MATCH($Z63,Points_Lookup!$AH:$AH,0)),IF($B$4="R&amp;T Level 5 - Clinical Lecturers (Vet School)",SUMIF(Points_Lookup!$P:$P,$B63,Points_Lookup!$S:$S),IF($B$4="R&amp;T Level 6 - Clinical Associate Professors and Clinical Readers (Vet School)",SUMIF(Points_Lookup!$W:$W,$B63,Points_Lookup!$Z:$Z),IFERROR(INDEX(Points_Lookup!$B:$B,MATCH($Z63,Points_Lookup!$AH:$AH,0)),""))))))))</f>
        <v>72082</v>
      </c>
      <c r="D63" s="40"/>
      <c r="E63" s="25">
        <f ca="1">IF($B63="","",IF(AND($B$4="Salary Points 3 to 57",B63&lt;Thresholds_Rates!$C$16),"-",IF(SUMIF(Grades!$A:$A,$B$4,Grades!$BO:$BO)=0,"-",IF(AND($B$4="Salary Points 3 to 57",B63&gt;=Thresholds_Rates!$C$16),$C63*Thresholds_Rates!$F$15,IF(AND(OR($B$4="New Consultant Contract"),$B63&lt;&gt;""),$C63*Thresholds_Rates!$F$15,IF(AND(OR($B$4="Clinical Lecturer / Medical Research Fellow",$B$4="Clinical Consultant - Old Contract (GP)"),$B63&lt;&gt;""),$C63*Thresholds_Rates!$F$15,IF(OR($B$4="APM Level 7",$B$4="R&amp;T Level 7"),$C63*Thresholds_Rates!$F$15,IF(SUMIF(Grades!$A:$A,$B$4,Grades!$BO:$BO)=1,$C63*Thresholds_Rates!$F$15,""))))))))</f>
        <v>12974.76</v>
      </c>
      <c r="F63" s="25" t="str">
        <f ca="1">IF(B63="","",IF($B$4="Salary Points 3 to 57","-",IF(SUMIF(Grades!$A:$A,$B$4,Grades!$BP:$BP)=0,"-",IF(AND(OR($B$4="New Consultant Contract"),$B63&lt;&gt;""),$C63*Thresholds_Rates!$F$16,IF(AND(OR($B$4="Clinical Lecturer / Medical Research Fellow",$B$4="Clinical Consultant - Old Contract (GP)"),$B63&lt;&gt;""),$C63*Thresholds_Rates!$F$16,IF(AND(OR($B$4="APM Level 7",$B$4="R&amp;T Level 7"),E63&lt;&gt;""),$C63*Thresholds_Rates!$F$16,IF(SUMIF(Grades!$A:$A,$B$4,Grades!$BP:$BP)=1,$C63*Thresholds_Rates!$F$16,"")))))))</f>
        <v>-</v>
      </c>
      <c r="G63" s="25" t="str">
        <f ca="1">IF($B$4="Apprenticeship","-",IF(B63="","",IF(SUMIF(Grades!$A:$A,$B$4,Grades!$BQ:$BQ)=0,"-",IF(AND($B$4="Salary Points 3 to 57",B63&gt;Thresholds_Rates!$C$17),"-",IF(AND($B$4="Salary Points 3 to 57",B63&lt;=Thresholds_Rates!$C$17),$C63*Thresholds_Rates!$F$17,IF(AND(OR($B$4="New Consultant Contract"),$B63&lt;&gt;""),$C63*Thresholds_Rates!$F$17,IF(AND(OR($B$4="Clinical Lecturer / Medical Research Fellow",$B$4="Clinical Consultant - Old Contract (GP)"),$B63&lt;&gt;""),$C63*Thresholds_Rates!$F$17,IF(AND(OR($B$4="APM Level 7",$B$4="R&amp;T Level 7"),F63&lt;&gt;""),$C63*Thresholds_Rates!$F$17,IF(SUMIF(Grades!$A:$A,$B$4,Grades!$BQ:$BQ)=1,$C63*Thresholds_Rates!$F$17,"")))))))))</f>
        <v>-</v>
      </c>
      <c r="H63" s="25">
        <f ca="1">IF($B63="","",ROUND(($C63-(Thresholds_Rates!$C$5*12))*Thresholds_Rates!$C$10,0))</f>
        <v>8821</v>
      </c>
      <c r="I63" s="25">
        <f ca="1">IF(B63="","",(C63*Thresholds_Rates!$C$12))</f>
        <v>360.41</v>
      </c>
      <c r="J63" s="25" t="str">
        <f ca="1">IF(B63="","",IF(AND($B$4="Salary Points 3 to 57",B63&gt;Thresholds_Rates!$C$17),"-",IF(SUMIF(Grades!$A:$A,$B$4,Grades!$BR:$BR)=0,"-",IF(AND($B$4="Salary Points 3 to 57",B63&lt;=Thresholds_Rates!$C$17),$C63*Thresholds_Rates!$F$18,IF(AND(OR($B$4="New Consultant Contract"),$B63&lt;&gt;""),$C63*Thresholds_Rates!$F$18,IF(AND(OR($B$4="Clinical Lecturer / Medical Research Fellow",$B$4="Clinical Consultant - Old Contract (GP)"),$B63&lt;&gt;""),$C63*Thresholds_Rates!$F$18,IF(AND(OR($B$4="APM Level 7",$B$4="R&amp;T Level 7"),H63&lt;&gt;""),$C63*Thresholds_Rates!$F$18,IF(SUMIF(Grades!$A:$A,$B$4,Grades!$BQ:$BQ)=1,$C63*Thresholds_Rates!$F$18,""))))))))</f>
        <v>-</v>
      </c>
      <c r="K63" s="4"/>
      <c r="L63" s="25">
        <f t="shared" ca="1" si="6"/>
        <v>94238.17</v>
      </c>
      <c r="M63" s="25" t="str">
        <f t="shared" ca="1" si="7"/>
        <v>-</v>
      </c>
      <c r="N63" s="25" t="str">
        <f t="shared" ca="1" si="8"/>
        <v>-</v>
      </c>
      <c r="O63" s="25" t="str">
        <f t="shared" ca="1" si="9"/>
        <v>-</v>
      </c>
      <c r="P63" s="25">
        <f t="shared" ca="1" si="10"/>
        <v>81263.41</v>
      </c>
      <c r="R63" s="28" t="str">
        <f ca="1">IF(B63="","",IF($B$4="R&amp;T Level 5 - Clinical Lecturers (Vet School)",SUMIF(Points_Lookup!$P:$P,$B63,Points_Lookup!$Q:$Q),IF($B$4="R&amp;T Level 6 - Clinical Associate Professors and Clinical Readers (Vet School)",SUMIF(Points_Lookup!$W:$W,$B63,Points_Lookup!$X:$X),"")))</f>
        <v/>
      </c>
      <c r="S63" s="29" t="str">
        <f ca="1">IF(B63="","",IF($B$4="R&amp;T Level 5 - Clinical Lecturers (Vet School)",$C63-SUMIF(Points_Lookup!$P:$P,$B63,Points_Lookup!$R:$R),IF($B$4="R&amp;T Level 6 - Clinical Associate Professors and Clinical Readers (Vet School)",$C63-SUMIF(Points_Lookup!$W:$W,$B63,Points_Lookup!$Y:$Y),"")))</f>
        <v/>
      </c>
      <c r="T63" s="28" t="str">
        <f ca="1">IF(B63="","",IF($B$4="R&amp;T Level 5 - Clinical Lecturers (Vet School)",SUMIF(Points_Lookup!$P:$P,$B63,Points_Lookup!$T:$T),IF($B$4="R&amp;T Level 6 - Clinical Associate Professors and Clinical Readers (Vet School)",SUMIF(Points_Lookup!$W:$W,$B63,Points_Lookup!$AA:$AA),"")))</f>
        <v/>
      </c>
      <c r="U63" s="29" t="str">
        <f t="shared" ca="1" si="11"/>
        <v/>
      </c>
      <c r="Z63" s="26">
        <v>55</v>
      </c>
    </row>
    <row r="64" spans="2:26" x14ac:dyDescent="0.25">
      <c r="B64" s="4" t="str">
        <f ca="1">IFERROR(INDEX(Points_Lookup!$A:$A,MATCH($Z64,Points_Lookup!$AH:$AH,0)),"")</f>
        <v/>
      </c>
      <c r="C64" s="25" t="str">
        <f ca="1">IF(B64="","",IF($B$4="Apprenticeship",SUMIF(Points_Lookup!$AD:$AD,B64,Points_Lookup!$AF:$AF),IF(AND(OR($B$4="New Consultant Contract"),$B64&lt;&gt;""),INDEX(Points_Lookup!$N:$N,MATCH($B64,Points_Lookup!$M:$M,0)),IF(AND(OR($B$4="Clinical Lecturer / Medical Research Fellow",$B$4="Clinical Consultant - Old Contract (GP)"),$B64&lt;&gt;""),INDEX(Points_Lookup!$K:$K,MATCH($B64,Points_Lookup!$J:$J,0)),IF(AND(OR($B$4="APM Level 7",$B$4="R&amp;T Level 7",$B$4="APM Level 8"),B64&lt;&gt;""),INDEX(Points_Lookup!$E:$E,MATCH($Z64,Points_Lookup!$AH:$AH,0)),IF($B$4="R&amp;T Level 5 - Clinical Lecturers (Vet School)",SUMIF(Points_Lookup!$P:$P,$B64,Points_Lookup!$S:$S),IF($B$4="R&amp;T Level 6 - Clinical Associate Professors and Clinical Readers (Vet School)",SUMIF(Points_Lookup!$W:$W,$B64,Points_Lookup!$Z:$Z),IFERROR(INDEX(Points_Lookup!$B:$B,MATCH($Z64,Points_Lookup!$AH:$AH,0)),""))))))))</f>
        <v/>
      </c>
      <c r="D64" s="40"/>
      <c r="E64" s="25" t="str">
        <f ca="1">IF($B64="","",IF(AND($B$4="Salary Points 3 to 57",B64&lt;Thresholds_Rates!$C$16),"-",IF(SUMIF(Grades!$A:$A,$B$4,Grades!$BO:$BO)=0,"-",IF(AND($B$4="Salary Points 3 to 57",B64&gt;=Thresholds_Rates!$C$16),$C64*Thresholds_Rates!$F$15,IF(AND(OR($B$4="New Consultant Contract"),$B64&lt;&gt;""),$C64*Thresholds_Rates!$F$15,IF(AND(OR($B$4="Clinical Lecturer / Medical Research Fellow",$B$4="Clinical Consultant - Old Contract (GP)"),$B64&lt;&gt;""),$C64*Thresholds_Rates!$F$15,IF(OR($B$4="APM Level 7",$B$4="R&amp;T Level 7"),$C64*Thresholds_Rates!$F$15,IF(SUMIF(Grades!$A:$A,$B$4,Grades!$BO:$BO)=1,$C64*Thresholds_Rates!$F$15,""))))))))</f>
        <v/>
      </c>
      <c r="F64" s="25" t="str">
        <f ca="1">IF(B64="","",IF($B$4="Salary Points 3 to 57","-",IF(SUMIF(Grades!$A:$A,$B$4,Grades!$BP:$BP)=0,"-",IF(AND(OR($B$4="New Consultant Contract"),$B64&lt;&gt;""),$C64*Thresholds_Rates!$F$16,IF(AND(OR($B$4="Clinical Lecturer / Medical Research Fellow",$B$4="Clinical Consultant - Old Contract (GP)"),$B64&lt;&gt;""),$C64*Thresholds_Rates!$F$16,IF(AND(OR($B$4="APM Level 7",$B$4="R&amp;T Level 7"),E64&lt;&gt;""),$C64*Thresholds_Rates!$F$16,IF(SUMIF(Grades!$A:$A,$B$4,Grades!$BP:$BP)=1,$C64*Thresholds_Rates!$F$16,"")))))))</f>
        <v/>
      </c>
      <c r="G64" s="25" t="str">
        <f ca="1">IF($B$4="Apprenticeship","-",IF(B64="","",IF(SUMIF(Grades!$A:$A,$B$4,Grades!$BQ:$BQ)=0,"-",IF(AND($B$4="Salary Points 3 to 57",B64&gt;Thresholds_Rates!$C$17),"-",IF(AND($B$4="Salary Points 3 to 57",B64&lt;=Thresholds_Rates!$C$17),$C64*Thresholds_Rates!$F$17,IF(AND(OR($B$4="New Consultant Contract"),$B64&lt;&gt;""),$C64*Thresholds_Rates!$F$17,IF(AND(OR($B$4="Clinical Lecturer / Medical Research Fellow",$B$4="Clinical Consultant - Old Contract (GP)"),$B64&lt;&gt;""),$C64*Thresholds_Rates!$F$17,IF(AND(OR($B$4="APM Level 7",$B$4="R&amp;T Level 7"),F64&lt;&gt;""),$C64*Thresholds_Rates!$F$17,IF(SUMIF(Grades!$A:$A,$B$4,Grades!$BQ:$BQ)=1,$C64*Thresholds_Rates!$F$17,"")))))))))</f>
        <v/>
      </c>
      <c r="H64" s="25" t="str">
        <f ca="1">IF($B64="","",ROUND(($C64-(Thresholds_Rates!$C$5*12))*Thresholds_Rates!$C$10,0))</f>
        <v/>
      </c>
      <c r="I64" s="25" t="str">
        <f ca="1">IF(B64="","",(C64*Thresholds_Rates!$C$12))</f>
        <v/>
      </c>
      <c r="J64" s="25" t="str">
        <f ca="1">IF(B64="","",IF(AND($B$4="Salary Points 3 to 57",B64&gt;Thresholds_Rates!$C$17),"-",IF(SUMIF(Grades!$A:$A,$B$4,Grades!$BR:$BR)=0,"-",IF(AND($B$4="Salary Points 3 to 57",B64&lt;=Thresholds_Rates!$C$17),$C64*Thresholds_Rates!$F$18,IF(AND(OR($B$4="New Consultant Contract"),$B64&lt;&gt;""),$C64*Thresholds_Rates!$F$18,IF(AND(OR($B$4="Clinical Lecturer / Medical Research Fellow",$B$4="Clinical Consultant - Old Contract (GP)"),$B64&lt;&gt;""),$C64*Thresholds_Rates!$F$18,IF(AND(OR($B$4="APM Level 7",$B$4="R&amp;T Level 7"),H64&lt;&gt;""),$C64*Thresholds_Rates!$F$18,IF(SUMIF(Grades!$A:$A,$B$4,Grades!$BQ:$BQ)=1,$C64*Thresholds_Rates!$F$18,""))))))))</f>
        <v/>
      </c>
      <c r="K64" s="4"/>
      <c r="L64" s="25" t="str">
        <f t="shared" ca="1" si="6"/>
        <v/>
      </c>
      <c r="M64" s="25" t="str">
        <f t="shared" ca="1" si="7"/>
        <v/>
      </c>
      <c r="N64" s="25" t="str">
        <f t="shared" ca="1" si="8"/>
        <v/>
      </c>
      <c r="O64" s="25" t="str">
        <f t="shared" ca="1" si="9"/>
        <v/>
      </c>
      <c r="P64" s="25" t="str">
        <f t="shared" ca="1" si="10"/>
        <v/>
      </c>
      <c r="R64" s="28" t="str">
        <f ca="1">IF(B64="","",IF($B$4="R&amp;T Level 5 - Clinical Lecturers (Vet School)",SUMIF(Points_Lookup!$P:$P,$B64,Points_Lookup!$Q:$Q),IF($B$4="R&amp;T Level 6 - Clinical Associate Professors and Clinical Readers (Vet School)",SUMIF(Points_Lookup!$W:$W,$B64,Points_Lookup!$X:$X),"")))</f>
        <v/>
      </c>
      <c r="S64" s="29" t="str">
        <f ca="1">IF(B64="","",IF($B$4="R&amp;T Level 5 - Clinical Lecturers (Vet School)",$C64-SUMIF(Points_Lookup!$P:$P,$B64,Points_Lookup!$R:$R),IF($B$4="R&amp;T Level 6 - Clinical Associate Professors and Clinical Readers (Vet School)",$C64-SUMIF(Points_Lookup!$W:$W,$B64,Points_Lookup!$Y:$Y),"")))</f>
        <v/>
      </c>
      <c r="T64" s="28" t="str">
        <f ca="1">IF(B64="","",IF($B$4="R&amp;T Level 5 - Clinical Lecturers (Vet School)",SUMIF(Points_Lookup!$P:$P,$B64,Points_Lookup!$T:$T),IF($B$4="R&amp;T Level 6 - Clinical Associate Professors and Clinical Readers (Vet School)",SUMIF(Points_Lookup!$W:$W,$B64,Points_Lookup!$AA:$AA),"")))</f>
        <v/>
      </c>
      <c r="U64" s="29" t="str">
        <f t="shared" ca="1" si="11"/>
        <v/>
      </c>
      <c r="Z64" s="26">
        <v>56</v>
      </c>
    </row>
    <row r="65" spans="2:26" x14ac:dyDescent="0.25">
      <c r="B65" s="4" t="str">
        <f ca="1">IFERROR(INDEX(Points_Lookup!$A:$A,MATCH($Z65,Points_Lookup!$AH:$AH,0)),"")</f>
        <v/>
      </c>
      <c r="C65" s="25" t="str">
        <f ca="1">IF(B65="","",IF($B$4="Apprenticeship",SUMIF(Points_Lookup!$AD:$AD,B65,Points_Lookup!$AF:$AF),IF(AND(OR($B$4="New Consultant Contract"),$B65&lt;&gt;""),INDEX(Points_Lookup!$N:$N,MATCH($B65,Points_Lookup!$M:$M,0)),IF(AND(OR($B$4="Clinical Lecturer / Medical Research Fellow",$B$4="Clinical Consultant - Old Contract (GP)"),$B65&lt;&gt;""),INDEX(Points_Lookup!$K:$K,MATCH($B65,Points_Lookup!$J:$J,0)),IF(AND(OR($B$4="APM Level 7",$B$4="R&amp;T Level 7",$B$4="APM Level 8"),B65&lt;&gt;""),INDEX(Points_Lookup!$E:$E,MATCH($Z65,Points_Lookup!$AH:$AH,0)),IF($B$4="R&amp;T Level 5 - Clinical Lecturers (Vet School)",SUMIF(Points_Lookup!$P:$P,$B65,Points_Lookup!$S:$S),IF($B$4="R&amp;T Level 6 - Clinical Associate Professors and Clinical Readers (Vet School)",SUMIF(Points_Lookup!$W:$W,$B65,Points_Lookup!$Z:$Z),IFERROR(INDEX(Points_Lookup!$B:$B,MATCH($Z65,Points_Lookup!$AH:$AH,0)),""))))))))</f>
        <v/>
      </c>
      <c r="D65" s="40"/>
      <c r="E65" s="25" t="str">
        <f ca="1">IF($B65="","",IF(AND($B$4="Salary Points 3 to 57",B65&lt;Thresholds_Rates!$C$16),"-",IF(SUMIF(Grades!$A:$A,$B$4,Grades!$BO:$BO)=0,"-",IF(AND($B$4="Salary Points 3 to 57",B65&gt;=Thresholds_Rates!$C$16),$C65*Thresholds_Rates!$F$15,IF(AND(OR($B$4="New Consultant Contract"),$B65&lt;&gt;""),$C65*Thresholds_Rates!$F$15,IF(AND(OR($B$4="Clinical Lecturer / Medical Research Fellow",$B$4="Clinical Consultant - Old Contract (GP)"),$B65&lt;&gt;""),$C65*Thresholds_Rates!$F$15,IF(OR($B$4="APM Level 7",$B$4="R&amp;T Level 7"),$C65*Thresholds_Rates!$F$15,IF(SUMIF(Grades!$A:$A,$B$4,Grades!$BO:$BO)=1,$C65*Thresholds_Rates!$F$15,""))))))))</f>
        <v/>
      </c>
      <c r="F65" s="25" t="str">
        <f ca="1">IF(B65="","",IF($B$4="Salary Points 1 to 57","-",IF(SUMIF(Grades!$A:$A,$B$4,Grades!$BP:$BP)=0,"-",IF(AND(OR($B$4="New Consultant Contract"),$B65&lt;&gt;""),$C65*Thresholds_Rates!$F$16,IF(AND(OR($B$4="Clinical Lecturer / Medical Research Fellow",$B$4="Clinical Consultant - Old Contract (GP)"),$B65&lt;&gt;""),$C65*Thresholds_Rates!$F$16,IF(AND(OR($B$4="APM Level 7",$B$4="R&amp;T Level 7"),E65&lt;&gt;""),$C65*Thresholds_Rates!$F$16,IF(SUMIF(Grades!$A:$A,$B$4,Grades!$BP:$BP)=1,$C65*Thresholds_Rates!$F$16,"")))))))</f>
        <v/>
      </c>
      <c r="G65" s="25" t="str">
        <f ca="1">IF(B65="","",IF(SUMIF(Grades!$A:$A,$B$4,Grades!$BQ:$BQ)=0,"-",IF(AND($B$4="Salary Points 1 to 57",B65&gt;Thresholds_Rates!$C$17),"-",IF(AND($B$4="Salary Points 1 to 57",B65&lt;=Thresholds_Rates!$C$17),$C65*Thresholds_Rates!$F$17,IF(AND(OR($B$4="New Consultant Contract"),$B65&lt;&gt;""),$C65*Thresholds_Rates!$F$17,IF(AND(OR($B$4="Clinical Lecturer / Medical Research Fellow",$B$4="Clinical Consultant - Old Contract (GP)"),$B65&lt;&gt;""),$C65*Thresholds_Rates!$F$17,IF(AND(OR($B$4="APM Level 7",$B$4="R&amp;T Level 7"),F65&lt;&gt;""),$C65*Thresholds_Rates!$F$17,IF(SUMIF(Grades!$A:$A,$B$4,Grades!$BQ:$BQ)=1,$C65*Thresholds_Rates!$F$17,""))))))))</f>
        <v/>
      </c>
      <c r="H65" s="25" t="str">
        <f ca="1">IF($B65="","",ROUND(($C65-(Thresholds_Rates!$C$5*12))*Thresholds_Rates!$C$10,0))</f>
        <v/>
      </c>
      <c r="I65" s="25" t="str">
        <f ca="1">IF(B65="","",(C65*Thresholds_Rates!$C$12))</f>
        <v/>
      </c>
      <c r="J65" s="25" t="str">
        <f ca="1">IF(B65="","",IF(AND($B$4="Salary Points 1 to 57",B65&gt;Thresholds_Rates!$C$17),"-",IF(SUMIF(Grades!$A:$A,$B$4,Grades!$BR:$BR)=0,"-",IF(AND($B$4="Salary Points 1 to 57",B65&lt;=Thresholds_Rates!$C$17),$C65*Thresholds_Rates!$F$18,IF(AND(OR($B$4="New Consultant Contract"),$B65&lt;&gt;""),$C65*Thresholds_Rates!$F$18,IF(AND(OR($B$4="Clinical Lecturer / Medical Research Fellow",$B$4="Clinical Consultant - Old Contract (GP)"),$B65&lt;&gt;""),$C65*Thresholds_Rates!$F$18,IF(AND(OR($B$4="APM Level 7",$B$4="R&amp;T Level 7"),H65&lt;&gt;""),$C65*Thresholds_Rates!$F$18,IF(SUMIF(Grades!$A:$A,$B$4,Grades!$BQ:$BQ)=1,$C65*Thresholds_Rates!$F$18,""))))))))</f>
        <v/>
      </c>
      <c r="K65" s="4"/>
      <c r="L65" s="25" t="str">
        <f t="shared" ca="1" si="6"/>
        <v/>
      </c>
      <c r="M65" s="25" t="str">
        <f t="shared" ca="1" si="7"/>
        <v/>
      </c>
      <c r="N65" s="25" t="str">
        <f t="shared" ca="1" si="8"/>
        <v/>
      </c>
      <c r="O65" s="25" t="str">
        <f t="shared" ca="1" si="9"/>
        <v/>
      </c>
      <c r="P65" s="25" t="str">
        <f t="shared" ca="1" si="10"/>
        <v/>
      </c>
      <c r="R65" s="28" t="str">
        <f ca="1">IF(B65="","",IF($B$4="R&amp;T Level 5 - Clinical Lecturers (Vet School)",SUMIF(Points_Lookup!$P:$P,$B65,Points_Lookup!$Q:$Q),IF($B$4="R&amp;T Level 6 - Clinical Associate Professors and Clinical Readers (Vet School)",SUMIF(Points_Lookup!$W:$W,$B65,Points_Lookup!$X:$X),"")))</f>
        <v/>
      </c>
      <c r="S65" s="29" t="str">
        <f ca="1">IF(B65="","",IF($B$4="R&amp;T Level 5 - Clinical Lecturers (Vet School)",$C65-SUMIF(Points_Lookup!$P:$P,$B65,Points_Lookup!$R:$R),IF($B$4="R&amp;T Level 6 - Clinical Associate Professors and Clinical Readers (Vet School)",$C65-SUMIF(Points_Lookup!$W:$W,$B65,Points_Lookup!$Y:$Y),"")))</f>
        <v/>
      </c>
      <c r="T65" s="28" t="str">
        <f ca="1">IF(B65="","",IF($B$4="R&amp;T Level 5 - Clinical Lecturers (Vet School)",SUMIF(Points_Lookup!$P:$P,$B65,Points_Lookup!$T:$T),IF($B$4="R&amp;T Level 6 - Clinical Associate Professors and Clinical Readers (Vet School)",SUMIF(Points_Lookup!$W:$W,$B65,Points_Lookup!$AA:$AA),"")))</f>
        <v/>
      </c>
      <c r="U65" s="29" t="str">
        <f t="shared" ca="1" si="11"/>
        <v/>
      </c>
      <c r="Z65" s="26">
        <v>57</v>
      </c>
    </row>
    <row r="66" spans="2:26" x14ac:dyDescent="0.25">
      <c r="B66" s="4" t="str">
        <f ca="1">IFERROR(INDEX(Points_Lookup!$A:$A,MATCH($Z68,Points_Lookup!$AH:$AH,0)),"")</f>
        <v/>
      </c>
      <c r="C66" s="25" t="str">
        <f ca="1">IF(B66="","",IF($B$4="Apprenticeship",SUMIF(Points_Lookup!$AD:$AD,B66,Points_Lookup!$AF:$AF),IF(AND(OR($B$4="New Consultant Contract"),$B66&lt;&gt;""),INDEX(Points_Lookup!$N:$N,MATCH($B66,Points_Lookup!$M:$M,0)),IF(AND(OR($B$4="Clinical Lecturer / Medical Research Fellow",$B$4="Clinical Consultant - Old Contract (GP)"),$B66&lt;&gt;""),INDEX(Points_Lookup!$K:$K,MATCH($B66,Points_Lookup!$J:$J,0)),IF(AND(OR($B$4="APM Level 7",$B$4="R&amp;T Level 7",$B$4="APM Level 8"),B66&lt;&gt;""),INDEX(Points_Lookup!$E:$E,MATCH($Z66,Points_Lookup!$AH:$AH,0)),IF($B$4="R&amp;T Level 5 - Clinical Lecturers (Vet School)",SUMIF(Points_Lookup!$P:$P,$B66,Points_Lookup!$S:$S),IF($B$4="R&amp;T Level 6 - Clinical Associate Professors and Clinical Readers (Vet School)",SUMIF(Points_Lookup!$W:$W,$B66,Points_Lookup!$Z:$Z),IFERROR(INDEX(Points_Lookup!$B:$B,MATCH($Z66,Points_Lookup!$AH:$AH,0)),""))))))))</f>
        <v/>
      </c>
      <c r="D66" s="40"/>
      <c r="E66" s="25" t="str">
        <f ca="1">IF($B66="","",IF(AND($B$4="Salary Points 3 to 57",B66&lt;Thresholds_Rates!$C$16),"-",IF(SUMIF(Grades!$A:$A,$B$4,Grades!$BO:$BO)=0,"-",IF(AND($B$4="Salary Points 3 to 57",B66&gt;=Thresholds_Rates!$C$16),$C66*Thresholds_Rates!$F$15,IF(AND(OR($B$4="New Consultant Contract"),$B66&lt;&gt;""),$C66*Thresholds_Rates!$F$15,IF(AND(OR($B$4="Clinical Lecturer / Medical Research Fellow",$B$4="Clinical Consultant - Old Contract (GP)"),$B66&lt;&gt;""),$C66*Thresholds_Rates!$F$15,IF(OR($B$4="APM Level 7",$B$4="R&amp;T Level 7"),$C66*Thresholds_Rates!$F$15,IF(SUMIF(Grades!$A:$A,$B$4,Grades!$BO:$BO)=1,$C66*Thresholds_Rates!$F$15,""))))))))</f>
        <v/>
      </c>
      <c r="F66" s="25" t="str">
        <f ca="1">IF(B66="","",IF($B$4="Salary Points 1 to 57","-",IF(SUMIF(Grades!$A:$A,$B$4,Grades!$BP:$BP)=0,"-",IF(AND(OR($B$4="New Consultant Contract"),$B66&lt;&gt;""),$C66*Thresholds_Rates!$F$16,IF(AND(OR($B$4="Clinical Lecturer / Medical Research Fellow",$B$4="Clinical Consultant - Old Contract (GP)"),$B66&lt;&gt;""),$C66*Thresholds_Rates!$F$16,IF(AND(OR($B$4="APM Level 7",$B$4="R&amp;T Level 7"),E66&lt;&gt;""),$C66*Thresholds_Rates!$F$16,IF(SUMIF(Grades!$A:$A,$B$4,Grades!$BP:$BP)=1,$C66*Thresholds_Rates!$F$16,"")))))))</f>
        <v/>
      </c>
      <c r="G66" s="25" t="str">
        <f ca="1">IF(B66="","",IF(SUMIF(Grades!$A:$A,$B$4,Grades!$BQ:$BQ)=0,"-",IF(AND($B$4="Salary Points 1 to 57",B66&gt;Thresholds_Rates!$C$17),"-",IF(AND($B$4="Salary Points 1 to 57",B66&lt;=Thresholds_Rates!$C$17),$C66*Thresholds_Rates!$F$17,IF(AND(OR($B$4="New Consultant Contract"),$B66&lt;&gt;""),$C66*Thresholds_Rates!$F$17,IF(AND(OR($B$4="Clinical Lecturer / Medical Research Fellow",$B$4="Clinical Consultant - Old Contract (GP)"),$B66&lt;&gt;""),$C66*Thresholds_Rates!$F$17,IF(AND(OR($B$4="APM Level 7",$B$4="R&amp;T Level 7"),F66&lt;&gt;""),$C66*Thresholds_Rates!$F$17,IF(SUMIF(Grades!$A:$A,$B$4,Grades!$BQ:$BQ)=1,$C66*Thresholds_Rates!$F$17,""))))))))</f>
        <v/>
      </c>
      <c r="H66" s="25" t="str">
        <f ca="1">IF($B66="","",ROUND(($C66-(Thresholds_Rates!$C$5*12))*Thresholds_Rates!$C$10,0))</f>
        <v/>
      </c>
      <c r="I66" s="25" t="str">
        <f ca="1">IF(B66="","",(C66*Thresholds_Rates!$C$12))</f>
        <v/>
      </c>
      <c r="J66" s="25" t="str">
        <f ca="1">IF(B66="","",IF(AND($B$4="Salary Points 1 to 57",B66&gt;Thresholds_Rates!$C$17),"-",IF(SUMIF(Grades!$A:$A,$B$4,Grades!$BR:$BR)=0,"-",IF(AND($B$4="Salary Points 1 to 57",B66&lt;=Thresholds_Rates!$C$17),$C66*Thresholds_Rates!$F$18,IF(AND(OR($B$4="New Consultant Contract"),$B66&lt;&gt;""),$C66*Thresholds_Rates!$F$18,IF(AND(OR($B$4="Clinical Lecturer / Medical Research Fellow",$B$4="Clinical Consultant - Old Contract (GP)"),$B66&lt;&gt;""),$C66*Thresholds_Rates!$F$18,IF(AND(OR($B$4="APM Level 7",$B$4="R&amp;T Level 7"),H66&lt;&gt;""),$C66*Thresholds_Rates!$F$18,IF(SUMIF(Grades!$A:$A,$B$4,Grades!$BQ:$BQ)=1,$C66*Thresholds_Rates!$F$18,""))))))))</f>
        <v/>
      </c>
      <c r="K66" s="4"/>
      <c r="L66" s="25" t="str">
        <f t="shared" ca="1" si="6"/>
        <v/>
      </c>
      <c r="M66" s="25" t="str">
        <f t="shared" ca="1" si="7"/>
        <v/>
      </c>
      <c r="N66" s="25" t="str">
        <f t="shared" ca="1" si="8"/>
        <v/>
      </c>
      <c r="O66" s="25" t="str">
        <f t="shared" ca="1" si="9"/>
        <v/>
      </c>
      <c r="P66" s="25" t="str">
        <f t="shared" ca="1" si="10"/>
        <v/>
      </c>
      <c r="R66" s="28" t="str">
        <f ca="1">IF(B66="","",IF($B$4="R&amp;T Level 5 - Clinical Lecturers (Vet School)",SUMIF(Points_Lookup!$P:$P,$B66,Points_Lookup!$Q:$Q),IF($B$4="R&amp;T Level 6 - Clinical Associate Professors and Clinical Readers (Vet School)",SUMIF(Points_Lookup!$W:$W,$B66,Points_Lookup!$X:$X),"")))</f>
        <v/>
      </c>
      <c r="S66" s="29" t="str">
        <f ca="1">IF(B66="","",IF($B$4="R&amp;T Level 5 - Clinical Lecturers (Vet School)",$C66-SUMIF(Points_Lookup!$P:$P,$B66,Points_Lookup!$R:$R),IF($B$4="R&amp;T Level 6 - Clinical Associate Professors and Clinical Readers (Vet School)",$C66-SUMIF(Points_Lookup!$W:$W,$B66,Points_Lookup!$Y:$Y),"")))</f>
        <v/>
      </c>
      <c r="T66" s="28" t="str">
        <f ca="1">IF(B66="","",IF($B$4="R&amp;T Level 5 - Clinical Lecturers (Vet School)",SUMIF(Points_Lookup!$P:$P,$B66,Points_Lookup!$T:$T),IF($B$4="R&amp;T Level 6 - Clinical Associate Professors and Clinical Readers (Vet School)",SUMIF(Points_Lookup!$W:$W,$B66,Points_Lookup!$AA:$AA),"")))</f>
        <v/>
      </c>
      <c r="U66" s="29" t="str">
        <f t="shared" ca="1" si="11"/>
        <v/>
      </c>
    </row>
    <row r="67" spans="2:26" x14ac:dyDescent="0.25">
      <c r="B67" s="4" t="str">
        <f ca="1">IFERROR(INDEX(Points_Lookup!$A:$A,MATCH($Z69,Points_Lookup!$AH:$AH,0)),"")</f>
        <v/>
      </c>
      <c r="C67" s="25" t="str">
        <f ca="1">IF(B67="","",IF($B$4="Apprenticeship",SUMIF(Points_Lookup!$AD:$AD,B67,Points_Lookup!$AF:$AF),IF(AND(OR($B$4="New Consultant Contract"),$B67&lt;&gt;""),INDEX(Points_Lookup!$N:$N,MATCH($B67,Points_Lookup!$M:$M,0)),IF(AND(OR($B$4="Clinical Lecturer / Medical Research Fellow",$B$4="Clinical Consultant - Old Contract (GP)"),$B67&lt;&gt;""),INDEX(Points_Lookup!$K:$K,MATCH($B67,Points_Lookup!$J:$J,0)),IF(AND(OR($B$4="APM Level 7",$B$4="R&amp;T Level 7",$B$4="APM Level 8"),B67&lt;&gt;""),INDEX(Points_Lookup!$E:$E,MATCH($Z67,Points_Lookup!$AH:$AH,0)),IF($B$4="R&amp;T Level 5 - Clinical Lecturers (Vet School)",SUMIF(Points_Lookup!$P:$P,$B67,Points_Lookup!$S:$S),IF($B$4="R&amp;T Level 6 - Clinical Associate Professors and Clinical Readers (Vet School)",SUMIF(Points_Lookup!$W:$W,$B67,Points_Lookup!$Z:$Z),IFERROR(INDEX(Points_Lookup!$B:$B,MATCH($Z67,Points_Lookup!$AH:$AH,0)),""))))))))</f>
        <v/>
      </c>
      <c r="D67" s="40"/>
      <c r="E67" s="25" t="str">
        <f ca="1">IF($B67="","",IF(AND($B$4="Salary Points 3 to 57",B67&lt;Thresholds_Rates!$C$16),"-",IF(SUMIF(Grades!$A:$A,$B$4,Grades!$BO:$BO)=0,"-",IF(AND($B$4="Salary Points 3 to 57",B67&gt;=Thresholds_Rates!$C$16),$C67*Thresholds_Rates!$F$15,IF(AND(OR($B$4="New Consultant Contract"),$B67&lt;&gt;""),$C67*Thresholds_Rates!$F$15,IF(AND(OR($B$4="Clinical Lecturer / Medical Research Fellow",$B$4="Clinical Consultant - Old Contract (GP)"),$B67&lt;&gt;""),$C67*Thresholds_Rates!$F$15,IF(OR($B$4="APM Level 7",$B$4="R&amp;T Level 7"),$C67*Thresholds_Rates!$F$15,IF(SUMIF(Grades!$A:$A,$B$4,Grades!$BO:$BO)=1,$C67*Thresholds_Rates!$F$15,""))))))))</f>
        <v/>
      </c>
      <c r="F67" s="25" t="str">
        <f ca="1">IF(B67="","",IF($B$4="Salary Points 1 to 57","-",IF(SUMIF(Grades!$A:$A,$B$4,Grades!$BP:$BP)=0,"-",IF(AND(OR($B$4="New Consultant Contract"),$B67&lt;&gt;""),$C67*Thresholds_Rates!$F$16,IF(AND(OR($B$4="Clinical Lecturer / Medical Research Fellow",$B$4="Clinical Consultant - Old Contract (GP)"),$B67&lt;&gt;""),$C67*Thresholds_Rates!$F$16,IF(AND(OR($B$4="APM Level 7",$B$4="R&amp;T Level 7"),E67&lt;&gt;""),$C67*Thresholds_Rates!$F$16,IF(SUMIF(Grades!$A:$A,$B$4,Grades!$BP:$BP)=1,$C67*Thresholds_Rates!$F$16,"")))))))</f>
        <v/>
      </c>
      <c r="G67" s="25" t="str">
        <f ca="1">IF(B67="","",IF(SUMIF(Grades!$A:$A,$B$4,Grades!$BQ:$BQ)=0,"-",IF(AND($B$4="Salary Points 1 to 57",B67&gt;Thresholds_Rates!$C$17),"-",IF(AND($B$4="Salary Points 1 to 57",B67&lt;=Thresholds_Rates!$C$17),$C67*Thresholds_Rates!$F$17,IF(AND(OR($B$4="New Consultant Contract"),$B67&lt;&gt;""),$C67*Thresholds_Rates!$F$17,IF(AND(OR($B$4="Clinical Lecturer / Medical Research Fellow",$B$4="Clinical Consultant - Old Contract (GP)"),$B67&lt;&gt;""),$C67*Thresholds_Rates!$F$17,IF(AND(OR($B$4="APM Level 7",$B$4="R&amp;T Level 7"),F67&lt;&gt;""),$C67*Thresholds_Rates!$F$17,IF(SUMIF(Grades!$A:$A,$B$4,Grades!$BQ:$BQ)=1,$C67*Thresholds_Rates!$F$17,""))))))))</f>
        <v/>
      </c>
      <c r="H67" s="25" t="str">
        <f ca="1">IF($B67="","",ROUND(($C67-(Thresholds_Rates!$C$5*12))*Thresholds_Rates!$C$10,0))</f>
        <v/>
      </c>
      <c r="I67" s="25" t="str">
        <f ca="1">IF(B67="","",(C67*Thresholds_Rates!$C$12))</f>
        <v/>
      </c>
      <c r="J67" s="25" t="str">
        <f ca="1">IF(B67="","",IF(AND($B$4="Salary Points 1 to 57",B67&gt;Thresholds_Rates!$C$17),"-",IF(SUMIF(Grades!$A:$A,$B$4,Grades!$BR:$BR)=0,"-",IF(AND($B$4="Salary Points 1 to 57",B67&lt;=Thresholds_Rates!$C$17),$C67*Thresholds_Rates!$F$18,IF(AND(OR($B$4="New Consultant Contract"),$B67&lt;&gt;""),$C67*Thresholds_Rates!$F$18,IF(AND(OR($B$4="Clinical Lecturer / Medical Research Fellow",$B$4="Clinical Consultant - Old Contract (GP)"),$B67&lt;&gt;""),$C67*Thresholds_Rates!$F$18,IF(AND(OR($B$4="APM Level 7",$B$4="R&amp;T Level 7"),H67&lt;&gt;""),$C67*Thresholds_Rates!$F$18,IF(SUMIF(Grades!$A:$A,$B$4,Grades!$BQ:$BQ)=1,$C67*Thresholds_Rates!$F$18,""))))))))</f>
        <v/>
      </c>
      <c r="K67" s="4"/>
      <c r="L67" s="25" t="str">
        <f t="shared" ca="1" si="6"/>
        <v/>
      </c>
      <c r="M67" s="25" t="str">
        <f t="shared" ca="1" si="7"/>
        <v/>
      </c>
      <c r="N67" s="25" t="str">
        <f t="shared" ca="1" si="8"/>
        <v/>
      </c>
      <c r="O67" s="25" t="str">
        <f t="shared" ca="1" si="9"/>
        <v/>
      </c>
      <c r="P67" s="25" t="str">
        <f t="shared" ca="1" si="10"/>
        <v/>
      </c>
      <c r="R67" s="28" t="str">
        <f ca="1">IF(B67="","",IF($B$4="R&amp;T Level 5 - Clinical Lecturers (Vet School)",SUMIF(Points_Lookup!$P:$P,$B67,Points_Lookup!$Q:$Q),IF($B$4="R&amp;T Level 6 - Clinical Associate Professors and Clinical Readers (Vet School)",SUMIF(Points_Lookup!$W:$W,$B67,Points_Lookup!$X:$X),"")))</f>
        <v/>
      </c>
      <c r="S67" s="29" t="str">
        <f ca="1">IF(B67="","",IF($B$4="R&amp;T Level 5 - Clinical Lecturers (Vet School)",$C67-SUMIF(Points_Lookup!$P:$P,$B67,Points_Lookup!$R:$R),IF($B$4="R&amp;T Level 6 - Clinical Associate Professors and Clinical Readers (Vet School)",$C67-SUMIF(Points_Lookup!$W:$W,$B67,Points_Lookup!$Y:$Y),"")))</f>
        <v/>
      </c>
      <c r="T67" s="28" t="str">
        <f ca="1">IF(B67="","",IF($B$4="R&amp;T Level 5 - Clinical Lecturers (Vet School)",SUMIF(Points_Lookup!$P:$P,$B67,Points_Lookup!$T:$T),IF($B$4="R&amp;T Level 6 - Clinical Associate Professors and Clinical Readers (Vet School)",SUMIF(Points_Lookup!$W:$W,$B67,Points_Lookup!$AA:$AA),"")))</f>
        <v/>
      </c>
      <c r="U67" s="29" t="str">
        <f t="shared" ca="1" si="11"/>
        <v/>
      </c>
    </row>
    <row r="68" spans="2:26" x14ac:dyDescent="0.25">
      <c r="B68" s="4" t="str">
        <f ca="1">IFERROR(INDEX(Points_Lookup!$A:$A,MATCH($Z70,Points_Lookup!$AH:$AH,0)),"")</f>
        <v/>
      </c>
      <c r="C68" s="25" t="str">
        <f ca="1">IF(B68="","",IF($B$4="Apprenticeship",SUMIF(Points_Lookup!$AD:$AD,B68,Points_Lookup!$AF:$AF),IF(AND(OR($B$4="New Consultant Contract"),$B68&lt;&gt;""),INDEX(Points_Lookup!$N:$N,MATCH($B68,Points_Lookup!$M:$M,0)),IF(AND(OR($B$4="Clinical Lecturer / Medical Research Fellow",$B$4="Clinical Consultant - Old Contract (GP)"),$B68&lt;&gt;""),INDEX(Points_Lookup!$K:$K,MATCH($B68,Points_Lookup!$J:$J,0)),IF(AND(OR($B$4="APM Level 7",$B$4="R&amp;T Level 7",$B$4="APM Level 8"),B68&lt;&gt;""),INDEX(Points_Lookup!$E:$E,MATCH($Z68,Points_Lookup!$AH:$AH,0)),IF($B$4="R&amp;T Level 5 - Clinical Lecturers (Vet School)",SUMIF(Points_Lookup!$P:$P,$B68,Points_Lookup!$S:$S),IF($B$4="R&amp;T Level 6 - Clinical Associate Professors and Clinical Readers (Vet School)",SUMIF(Points_Lookup!$W:$W,$B68,Points_Lookup!$Z:$Z),IFERROR(INDEX(Points_Lookup!$B:$B,MATCH($Z68,Points_Lookup!$AH:$AH,0)),""))))))))</f>
        <v/>
      </c>
      <c r="D68" s="40"/>
      <c r="E68" s="25" t="str">
        <f ca="1">IF($B68="","",IF(AND($B$4="Salary Points 3 to 57",B68&lt;Thresholds_Rates!$C$16),"-",IF(SUMIF(Grades!$A:$A,$B$4,Grades!$BO:$BO)=0,"-",IF(AND($B$4="Salary Points 3 to 57",B68&gt;=Thresholds_Rates!$C$16),$C68*Thresholds_Rates!$F$15,IF(AND(OR($B$4="New Consultant Contract"),$B68&lt;&gt;""),$C68*Thresholds_Rates!$F$15,IF(AND(OR($B$4="Clinical Lecturer / Medical Research Fellow",$B$4="Clinical Consultant - Old Contract (GP)"),$B68&lt;&gt;""),$C68*Thresholds_Rates!$F$15,IF(OR($B$4="APM Level 7",$B$4="R&amp;T Level 7"),$C68*Thresholds_Rates!$F$15,IF(SUMIF(Grades!$A:$A,$B$4,Grades!$BO:$BO)=1,$C68*Thresholds_Rates!$F$15,""))))))))</f>
        <v/>
      </c>
      <c r="F68" s="25" t="str">
        <f ca="1">IF(B68="","",IF($B$4="Salary Points 1 to 57","-",IF(SUMIF(Grades!$A:$A,$B$4,Grades!$BP:$BP)=0,"-",IF(AND(OR($B$4="New Consultant Contract"),$B68&lt;&gt;""),$C68*Thresholds_Rates!$F$16,IF(AND(OR($B$4="Clinical Lecturer / Medical Research Fellow",$B$4="Clinical Consultant - Old Contract (GP)"),$B68&lt;&gt;""),$C68*Thresholds_Rates!$F$16,IF(AND(OR($B$4="APM Level 7",$B$4="R&amp;T Level 7"),E68&lt;&gt;""),$C68*Thresholds_Rates!$F$16,IF(SUMIF(Grades!$A:$A,$B$4,Grades!$BP:$BP)=1,$C68*Thresholds_Rates!$F$16,"")))))))</f>
        <v/>
      </c>
      <c r="G68" s="25" t="str">
        <f ca="1">IF(B68="","",IF(SUMIF(Grades!$A:$A,$B$4,Grades!$BQ:$BQ)=0,"-",IF(AND($B$4="Salary Points 1 to 57",B68&gt;Thresholds_Rates!$C$17),"-",IF(AND($B$4="Salary Points 1 to 57",B68&lt;=Thresholds_Rates!$C$17),$C68*Thresholds_Rates!$F$17,IF(AND(OR($B$4="New Consultant Contract"),$B68&lt;&gt;""),$C68*Thresholds_Rates!$F$17,IF(AND(OR($B$4="Clinical Lecturer / Medical Research Fellow",$B$4="Clinical Consultant - Old Contract (GP)"),$B68&lt;&gt;""),$C68*Thresholds_Rates!$F$17,IF(AND(OR($B$4="APM Level 7",$B$4="R&amp;T Level 7"),F68&lt;&gt;""),$C68*Thresholds_Rates!$F$17,IF(SUMIF(Grades!$A:$A,$B$4,Grades!$BQ:$BQ)=1,$C68*Thresholds_Rates!$F$17,""))))))))</f>
        <v/>
      </c>
      <c r="H68" s="25" t="str">
        <f ca="1">IF($B68="","",ROUND(($C68-(Thresholds_Rates!$C$5*12))*Thresholds_Rates!$C$10,0))</f>
        <v/>
      </c>
      <c r="I68" s="25" t="str">
        <f ca="1">IF(B68="","",(C68*Thresholds_Rates!$C$12))</f>
        <v/>
      </c>
      <c r="J68" s="25" t="str">
        <f ca="1">IF(B68="","",IF(AND($B$4="Salary Points 1 to 57",B68&gt;Thresholds_Rates!$C$17),"-",IF(SUMIF(Grades!$A:$A,$B$4,Grades!$BR:$BR)=0,"-",IF(AND($B$4="Salary Points 1 to 57",B68&lt;=Thresholds_Rates!$C$17),$C68*Thresholds_Rates!$F$18,IF(AND(OR($B$4="New Consultant Contract"),$B68&lt;&gt;""),$C68*Thresholds_Rates!$F$18,IF(AND(OR($B$4="Clinical Lecturer / Medical Research Fellow",$B$4="Clinical Consultant - Old Contract (GP)"),$B68&lt;&gt;""),$C68*Thresholds_Rates!$F$18,IF(AND(OR($B$4="APM Level 7",$B$4="R&amp;T Level 7"),H68&lt;&gt;""),$C68*Thresholds_Rates!$F$18,IF(SUMIF(Grades!$A:$A,$B$4,Grades!$BQ:$BQ)=1,$C68*Thresholds_Rates!$F$18,""))))))))</f>
        <v/>
      </c>
      <c r="K68" s="4"/>
      <c r="L68" s="25" t="str">
        <f t="shared" ca="1" si="6"/>
        <v/>
      </c>
      <c r="M68" s="25" t="str">
        <f t="shared" ca="1" si="7"/>
        <v/>
      </c>
      <c r="N68" s="25" t="str">
        <f t="shared" ca="1" si="8"/>
        <v/>
      </c>
      <c r="O68" s="25" t="str">
        <f t="shared" ca="1" si="9"/>
        <v/>
      </c>
      <c r="P68" s="25" t="str">
        <f t="shared" ca="1" si="10"/>
        <v/>
      </c>
      <c r="R68" s="28" t="str">
        <f ca="1">IF(B68="","",IF($B$4="R&amp;T Level 5 - Clinical Lecturers (Vet School)",SUMIF(Points_Lookup!$P:$P,$B68,Points_Lookup!$Q:$Q),IF($B$4="R&amp;T Level 6 - Clinical Associate Professors and Clinical Readers (Vet School)",SUMIF(Points_Lookup!$W:$W,$B68,Points_Lookup!$X:$X),"")))</f>
        <v/>
      </c>
      <c r="S68" s="29" t="str">
        <f ca="1">IF(B68="","",IF($B$4="R&amp;T Level 5 - Clinical Lecturers (Vet School)",$C68-SUMIF(Points_Lookup!$P:$P,$B68,Points_Lookup!$R:$R),IF($B$4="R&amp;T Level 6 - Clinical Associate Professors and Clinical Readers (Vet School)",$C68-SUMIF(Points_Lookup!$W:$W,$B68,Points_Lookup!$Y:$Y),"")))</f>
        <v/>
      </c>
      <c r="T68" s="28" t="str">
        <f ca="1">IF(B68="","",IF($B$4="R&amp;T Level 5 - Clinical Lecturers (Vet School)",SUMIF(Points_Lookup!$P:$P,$B68,Points_Lookup!$T:$T),IF($B$4="R&amp;T Level 6 - Clinical Associate Professors and Clinical Readers (Vet School)",SUMIF(Points_Lookup!$W:$W,$B68,Points_Lookup!$AA:$AA),"")))</f>
        <v/>
      </c>
      <c r="U68" s="29" t="str">
        <f t="shared" ca="1" si="11"/>
        <v/>
      </c>
    </row>
    <row r="69" spans="2:26" x14ac:dyDescent="0.25">
      <c r="B69" s="4" t="str">
        <f ca="1">IFERROR(INDEX(Points_Lookup!$A:$A,MATCH($Z71,Points_Lookup!$AH:$AH,0)),"")</f>
        <v/>
      </c>
      <c r="C69" s="25" t="str">
        <f ca="1">IF(B69="","",IF($B$4="Apprenticeship",SUMIF(Points_Lookup!$AD:$AD,B69,Points_Lookup!$AF:$AF),IF(AND(OR($B$4="New Consultant Contract"),$B69&lt;&gt;""),INDEX(Points_Lookup!$N:$N,MATCH($B69,Points_Lookup!$M:$M,0)),IF(AND(OR($B$4="Clinical Lecturer / Medical Research Fellow",$B$4="Clinical Consultant - Old Contract (GP)"),$B69&lt;&gt;""),INDEX(Points_Lookup!$K:$K,MATCH($B69,Points_Lookup!$J:$J,0)),IF(AND(OR($B$4="APM Level 7",$B$4="R&amp;T Level 7",$B$4="APM Level 8"),B69&lt;&gt;""),INDEX(Points_Lookup!$E:$E,MATCH($Z69,Points_Lookup!$AH:$AH,0)),IF($B$4="R&amp;T Level 5 - Clinical Lecturers (Vet School)",SUMIF(Points_Lookup!$P:$P,$B69,Points_Lookup!$S:$S),IF($B$4="R&amp;T Level 6 - Clinical Associate Professors and Clinical Readers (Vet School)",SUMIF(Points_Lookup!$W:$W,$B69,Points_Lookup!$Z:$Z),IFERROR(INDEX(Points_Lookup!$B:$B,MATCH($Z69,Points_Lookup!$AH:$AH,0)),""))))))))</f>
        <v/>
      </c>
      <c r="D69" s="40"/>
      <c r="E69" s="25" t="str">
        <f ca="1">IF($B69="","",IF(AND($B$4="Salary Points 3 to 57",B69&lt;Thresholds_Rates!$C$16),"-",IF(SUMIF(Grades!$A:$A,$B$4,Grades!$BO:$BO)=0,"-",IF(AND($B$4="Salary Points 3 to 57",B69&gt;=Thresholds_Rates!$C$16),$C69*Thresholds_Rates!$F$15,IF(AND(OR($B$4="New Consultant Contract"),$B69&lt;&gt;""),$C69*Thresholds_Rates!$F$15,IF(AND(OR($B$4="Clinical Lecturer / Medical Research Fellow",$B$4="Clinical Consultant - Old Contract (GP)"),$B69&lt;&gt;""),$C69*Thresholds_Rates!$F$15,IF(OR($B$4="APM Level 7",$B$4="R&amp;T Level 7"),$C69*Thresholds_Rates!$F$15,IF(SUMIF(Grades!$A:$A,$B$4,Grades!$BO:$BO)=1,$C69*Thresholds_Rates!$F$15,""))))))))</f>
        <v/>
      </c>
      <c r="F69" s="25" t="str">
        <f ca="1">IF(B69="","",IF($B$4="Salary Points 1 to 57","-",IF(SUMIF(Grades!$A:$A,$B$4,Grades!$BP:$BP)=0,"-",IF(AND(OR($B$4="New Consultant Contract"),$B69&lt;&gt;""),$C69*Thresholds_Rates!$F$16,IF(AND(OR($B$4="Clinical Lecturer / Medical Research Fellow",$B$4="Clinical Consultant - Old Contract (GP)"),$B69&lt;&gt;""),$C69*Thresholds_Rates!$F$16,IF(AND(OR($B$4="APM Level 7",$B$4="R&amp;T Level 7"),E69&lt;&gt;""),$C69*Thresholds_Rates!$F$16,IF(SUMIF(Grades!$A:$A,$B$4,Grades!$BP:$BP)=1,$C69*Thresholds_Rates!$F$16,"")))))))</f>
        <v/>
      </c>
      <c r="G69" s="25" t="str">
        <f ca="1">IF(B69="","",IF(SUMIF(Grades!$A:$A,$B$4,Grades!$BQ:$BQ)=0,"-",IF(AND($B$4="Salary Points 1 to 57",B69&gt;Thresholds_Rates!$C$17),"-",IF(AND($B$4="Salary Points 1 to 57",B69&lt;=Thresholds_Rates!$C$17),$C69*Thresholds_Rates!$F$17,IF(AND(OR($B$4="New Consultant Contract"),$B69&lt;&gt;""),$C69*Thresholds_Rates!$F$17,IF(AND(OR($B$4="Clinical Lecturer / Medical Research Fellow",$B$4="Clinical Consultant - Old Contract (GP)"),$B69&lt;&gt;""),$C69*Thresholds_Rates!$F$17,IF(AND(OR($B$4="APM Level 7",$B$4="R&amp;T Level 7"),F69&lt;&gt;""),$C69*Thresholds_Rates!$F$17,IF(SUMIF(Grades!$A:$A,$B$4,Grades!$BQ:$BQ)=1,$C69*Thresholds_Rates!$F$17,""))))))))</f>
        <v/>
      </c>
      <c r="H69" s="25" t="str">
        <f ca="1">IF($B69="","",ROUND(($C69-(Thresholds_Rates!$C$5*12))*Thresholds_Rates!$C$10,0))</f>
        <v/>
      </c>
      <c r="I69" s="25" t="str">
        <f ca="1">IF(B69="","",(C69*Thresholds_Rates!$C$12))</f>
        <v/>
      </c>
      <c r="J69" s="25" t="str">
        <f ca="1">IF(B69="","",IF(AND($B$4="Salary Points 1 to 57",B69&gt;Thresholds_Rates!$C$17),"-",IF(SUMIF(Grades!$A:$A,$B$4,Grades!$BR:$BR)=0,"-",IF(AND($B$4="Salary Points 1 to 57",B69&lt;=Thresholds_Rates!$C$17),$C69*Thresholds_Rates!$F$18,IF(AND(OR($B$4="New Consultant Contract"),$B69&lt;&gt;""),$C69*Thresholds_Rates!$F$18,IF(AND(OR($B$4="Clinical Lecturer / Medical Research Fellow",$B$4="Clinical Consultant - Old Contract (GP)"),$B69&lt;&gt;""),$C69*Thresholds_Rates!$F$18,IF(AND(OR($B$4="APM Level 7",$B$4="R&amp;T Level 7"),H69&lt;&gt;""),$C69*Thresholds_Rates!$F$18,IF(SUMIF(Grades!$A:$A,$B$4,Grades!$BQ:$BQ)=1,$C69*Thresholds_Rates!$F$18,""))))))))</f>
        <v/>
      </c>
      <c r="K69" s="4"/>
      <c r="L69" s="25" t="str">
        <f t="shared" ca="1" si="6"/>
        <v/>
      </c>
      <c r="M69" s="25" t="str">
        <f t="shared" ca="1" si="7"/>
        <v/>
      </c>
      <c r="N69" s="25" t="str">
        <f t="shared" ca="1" si="8"/>
        <v/>
      </c>
      <c r="O69" s="25" t="str">
        <f t="shared" ca="1" si="9"/>
        <v/>
      </c>
      <c r="P69" s="25" t="str">
        <f t="shared" ca="1" si="10"/>
        <v/>
      </c>
      <c r="R69" s="28" t="str">
        <f ca="1">IF(B69="","",IF($B$4="R&amp;T Level 5 - Clinical Lecturers (Vet School)",SUMIF(Points_Lookup!$P:$P,$B69,Points_Lookup!$Q:$Q),IF($B$4="R&amp;T Level 6 - Clinical Associate Professors and Clinical Readers (Vet School)",SUMIF(Points_Lookup!$W:$W,$B69,Points_Lookup!$X:$X),"")))</f>
        <v/>
      </c>
      <c r="S69" s="29" t="str">
        <f ca="1">IF(B69="","",IF($B$4="R&amp;T Level 5 - Clinical Lecturers (Vet School)",$C69-SUMIF(Points_Lookup!$P:$P,$B69,Points_Lookup!$R:$R),IF($B$4="R&amp;T Level 6 - Clinical Associate Professors and Clinical Readers (Vet School)",$C69-SUMIF(Points_Lookup!$W:$W,$B69,Points_Lookup!$Y:$Y),"")))</f>
        <v/>
      </c>
      <c r="T69" s="28" t="str">
        <f ca="1">IF(B69="","",IF($B$4="R&amp;T Level 5 - Clinical Lecturers (Vet School)",SUMIF(Points_Lookup!$P:$P,$B69,Points_Lookup!$T:$T),IF($B$4="R&amp;T Level 6 - Clinical Associate Professors and Clinical Readers (Vet School)",SUMIF(Points_Lookup!$W:$W,$B69,Points_Lookup!$AA:$AA),"")))</f>
        <v/>
      </c>
      <c r="U69" s="29" t="str">
        <f t="shared" ca="1" si="11"/>
        <v/>
      </c>
    </row>
    <row r="70" spans="2:26" x14ac:dyDescent="0.25">
      <c r="B70" s="4" t="str">
        <f ca="1">IFERROR(INDEX(Points_Lookup!$A:$A,MATCH($Z72,Points_Lookup!$AH:$AH,0)),"")</f>
        <v/>
      </c>
      <c r="C70" s="25" t="str">
        <f ca="1">IF(B70="","",IF($B$4="Apprenticeship",SUMIF(Points_Lookup!$AD:$AD,B70,Points_Lookup!$AF:$AF),IF(AND(OR($B$4="New Consultant Contract"),$B70&lt;&gt;""),INDEX(Points_Lookup!$N:$N,MATCH($B70,Points_Lookup!$M:$M,0)),IF(AND(OR($B$4="Clinical Lecturer / Medical Research Fellow",$B$4="Clinical Consultant - Old Contract (GP)"),$B70&lt;&gt;""),INDEX(Points_Lookup!$K:$K,MATCH($B70,Points_Lookup!$J:$J,0)),IF(AND(OR($B$4="APM Level 7",$B$4="R&amp;T Level 7",$B$4="APM Level 8"),B70&lt;&gt;""),INDEX(Points_Lookup!$E:$E,MATCH($Z70,Points_Lookup!$AH:$AH,0)),IF($B$4="R&amp;T Level 5 - Clinical Lecturers (Vet School)",SUMIF(Points_Lookup!$P:$P,$B70,Points_Lookup!$S:$S),IF($B$4="R&amp;T Level 6 - Clinical Associate Professors and Clinical Readers (Vet School)",SUMIF(Points_Lookup!$W:$W,$B70,Points_Lookup!$Z:$Z),IFERROR(INDEX(Points_Lookup!$B:$B,MATCH($Z70,Points_Lookup!$AH:$AH,0)),""))))))))</f>
        <v/>
      </c>
      <c r="D70" s="40"/>
      <c r="E70" s="25" t="str">
        <f ca="1">IF($B70="","",IF(AND($B$4="Salary Points 3 to 57",B70&lt;Thresholds_Rates!$C$16),"-",IF(SUMIF(Grades!$A:$A,$B$4,Grades!$BO:$BO)=0,"-",IF(AND($B$4="Salary Points 3 to 57",B70&gt;=Thresholds_Rates!$C$16),$C70*Thresholds_Rates!$F$15,IF(AND(OR($B$4="New Consultant Contract"),$B70&lt;&gt;""),$C70*Thresholds_Rates!$F$15,IF(AND(OR($B$4="Clinical Lecturer / Medical Research Fellow",$B$4="Clinical Consultant - Old Contract (GP)"),$B70&lt;&gt;""),$C70*Thresholds_Rates!$F$15,IF(OR($B$4="APM Level 7",$B$4="R&amp;T Level 7"),$C70*Thresholds_Rates!$F$15,IF(SUMIF(Grades!$A:$A,$B$4,Grades!$BO:$BO)=1,$C70*Thresholds_Rates!$F$15,""))))))))</f>
        <v/>
      </c>
      <c r="F70" s="25" t="str">
        <f ca="1">IF(B70="","",IF($B$4="Salary Points 1 to 57","-",IF(SUMIF(Grades!$A:$A,$B$4,Grades!$BP:$BP)=0,"-",IF(AND(OR($B$4="New Consultant Contract"),$B70&lt;&gt;""),$C70*Thresholds_Rates!$F$16,IF(AND(OR($B$4="Clinical Lecturer / Medical Research Fellow",$B$4="Clinical Consultant - Old Contract (GP)"),$B70&lt;&gt;""),$C70*Thresholds_Rates!$F$16,IF(AND(OR($B$4="APM Level 7",$B$4="R&amp;T Level 7"),E70&lt;&gt;""),$C70*Thresholds_Rates!$F$16,IF(SUMIF(Grades!$A:$A,$B$4,Grades!$BP:$BP)=1,$C70*Thresholds_Rates!$F$16,"")))))))</f>
        <v/>
      </c>
      <c r="G70" s="25" t="str">
        <f ca="1">IF(B70="","",IF(SUMIF(Grades!$A:$A,$B$4,Grades!$BQ:$BQ)=0,"-",IF(AND($B$4="Salary Points 1 to 57",B70&gt;Thresholds_Rates!$C$17),"-",IF(AND($B$4="Salary Points 1 to 57",B70&lt;=Thresholds_Rates!$C$17),$C70*Thresholds_Rates!$F$17,IF(AND(OR($B$4="New Consultant Contract"),$B70&lt;&gt;""),$C70*Thresholds_Rates!$F$17,IF(AND(OR($B$4="Clinical Lecturer / Medical Research Fellow",$B$4="Clinical Consultant - Old Contract (GP)"),$B70&lt;&gt;""),$C70*Thresholds_Rates!$F$17,IF(AND(OR($B$4="APM Level 7",$B$4="R&amp;T Level 7"),F70&lt;&gt;""),$C70*Thresholds_Rates!$F$17,IF(SUMIF(Grades!$A:$A,$B$4,Grades!$BQ:$BQ)=1,$C70*Thresholds_Rates!$F$17,""))))))))</f>
        <v/>
      </c>
      <c r="H70" s="25" t="str">
        <f ca="1">IF($B70="","",ROUND(($C70-(Thresholds_Rates!$C$5*12))*Thresholds_Rates!$C$10,0))</f>
        <v/>
      </c>
      <c r="I70" s="25" t="str">
        <f ca="1">IF(B70="","",(C70*Thresholds_Rates!$C$12))</f>
        <v/>
      </c>
      <c r="J70" s="25" t="str">
        <f ca="1">IF(B70="","",IF(AND($B$4="Salary Points 1 to 57",B70&gt;Thresholds_Rates!$C$17),"-",IF(SUMIF(Grades!$A:$A,$B$4,Grades!$BR:$BR)=0,"-",IF(AND($B$4="Salary Points 1 to 57",B70&lt;=Thresholds_Rates!$C$17),$C70*Thresholds_Rates!$F$18,IF(AND(OR($B$4="New Consultant Contract"),$B70&lt;&gt;""),$C70*Thresholds_Rates!$F$18,IF(AND(OR($B$4="Clinical Lecturer / Medical Research Fellow",$B$4="Clinical Consultant - Old Contract (GP)"),$B70&lt;&gt;""),$C70*Thresholds_Rates!$F$18,IF(AND(OR($B$4="APM Level 7",$B$4="R&amp;T Level 7"),H70&lt;&gt;""),$C70*Thresholds_Rates!$F$18,IF(SUMIF(Grades!$A:$A,$B$4,Grades!$BQ:$BQ)=1,$C70*Thresholds_Rates!$F$18,""))))))))</f>
        <v/>
      </c>
      <c r="K70" s="4"/>
      <c r="L70" s="25" t="str">
        <f t="shared" ca="1" si="6"/>
        <v/>
      </c>
      <c r="M70" s="25" t="str">
        <f t="shared" ca="1" si="7"/>
        <v/>
      </c>
      <c r="N70" s="25" t="str">
        <f t="shared" ca="1" si="8"/>
        <v/>
      </c>
      <c r="O70" s="25" t="str">
        <f t="shared" ca="1" si="9"/>
        <v/>
      </c>
      <c r="P70" s="25" t="str">
        <f t="shared" ca="1" si="10"/>
        <v/>
      </c>
      <c r="R70" s="28" t="str">
        <f ca="1">IF(B70="","",IF($B$4="R&amp;T Level 5 - Clinical Lecturers (Vet School)",SUMIF(Points_Lookup!$P:$P,$B70,Points_Lookup!$Q:$Q),IF($B$4="R&amp;T Level 6 - Clinical Associate Professors and Clinical Readers (Vet School)",SUMIF(Points_Lookup!$W:$W,$B70,Points_Lookup!$X:$X),"")))</f>
        <v/>
      </c>
      <c r="S70" s="29" t="str">
        <f ca="1">IF(B70="","",IF($B$4="R&amp;T Level 5 - Clinical Lecturers (Vet School)",$C70-SUMIF(Points_Lookup!$P:$P,$B70,Points_Lookup!$R:$R),IF($B$4="R&amp;T Level 6 - Clinical Associate Professors and Clinical Readers (Vet School)",$C70-SUMIF(Points_Lookup!$W:$W,$B70,Points_Lookup!$Y:$Y),"")))</f>
        <v/>
      </c>
      <c r="T70" s="28" t="str">
        <f ca="1">IF(B70="","",IF($B$4="R&amp;T Level 5 - Clinical Lecturers (Vet School)",SUMIF(Points_Lookup!$P:$P,$B70,Points_Lookup!$T:$T),IF($B$4="R&amp;T Level 6 - Clinical Associate Professors and Clinical Readers (Vet School)",SUMIF(Points_Lookup!$W:$W,$B70,Points_Lookup!$AA:$AA),"")))</f>
        <v/>
      </c>
      <c r="U70" s="29" t="str">
        <f t="shared" ca="1" si="11"/>
        <v/>
      </c>
    </row>
    <row r="71" spans="2:26" x14ac:dyDescent="0.25">
      <c r="B71" s="4" t="str">
        <f ca="1">IFERROR(INDEX(Points_Lookup!$A:$A,MATCH($Z73,Points_Lookup!$AH:$AH,0)),"")</f>
        <v/>
      </c>
      <c r="C71" s="25" t="str">
        <f ca="1">IF(B71="","",IF($B$4="Apprenticeship",SUMIF(Points_Lookup!$AD:$AD,B71,Points_Lookup!$AF:$AF),IF(AND(OR($B$4="New Consultant Contract"),$B71&lt;&gt;""),INDEX(Points_Lookup!$N:$N,MATCH($B71,Points_Lookup!$M:$M,0)),IF(AND(OR($B$4="Clinical Lecturer / Medical Research Fellow",$B$4="Clinical Consultant - Old Contract (GP)"),$B71&lt;&gt;""),INDEX(Points_Lookup!$K:$K,MATCH($B71,Points_Lookup!$J:$J,0)),IF(AND(OR($B$4="APM Level 7",$B$4="R&amp;T Level 7",$B$4="APM Level 8"),B71&lt;&gt;""),INDEX(Points_Lookup!$E:$E,MATCH($Z71,Points_Lookup!$AH:$AH,0)),IF($B$4="R&amp;T Level 5 - Clinical Lecturers (Vet School)",SUMIF(Points_Lookup!$P:$P,$B71,Points_Lookup!$S:$S),IF($B$4="R&amp;T Level 6 - Clinical Associate Professors and Clinical Readers (Vet School)",SUMIF(Points_Lookup!$W:$W,$B71,Points_Lookup!$Z:$Z),IFERROR(INDEX(Points_Lookup!$B:$B,MATCH($Z71,Points_Lookup!$AH:$AH,0)),""))))))))</f>
        <v/>
      </c>
      <c r="D71" s="40"/>
      <c r="E71" s="25" t="str">
        <f ca="1">IF($B71="","",IF(AND($B$4="Salary Points 3 to 57",B71&lt;Thresholds_Rates!$C$16),"-",IF(SUMIF(Grades!$A:$A,$B$4,Grades!$BO:$BO)=0,"-",IF(AND($B$4="Salary Points 3 to 57",B71&gt;=Thresholds_Rates!$C$16),$C71*Thresholds_Rates!$F$15,IF(AND(OR($B$4="New Consultant Contract"),$B71&lt;&gt;""),$C71*Thresholds_Rates!$F$15,IF(AND(OR($B$4="Clinical Lecturer / Medical Research Fellow",$B$4="Clinical Consultant - Old Contract (GP)"),$B71&lt;&gt;""),$C71*Thresholds_Rates!$F$15,IF(OR($B$4="APM Level 7",$B$4="R&amp;T Level 7"),$C71*Thresholds_Rates!$F$15,IF(SUMIF(Grades!$A:$A,$B$4,Grades!$BO:$BO)=1,$C71*Thresholds_Rates!$F$15,""))))))))</f>
        <v/>
      </c>
      <c r="F71" s="25" t="str">
        <f ca="1">IF(B71="","",IF($B$4="Salary Points 1 to 57","-",IF(SUMIF(Grades!$A:$A,$B$4,Grades!$BP:$BP)=0,"-",IF(AND(OR($B$4="New Consultant Contract"),$B71&lt;&gt;""),$C71*Thresholds_Rates!$F$16,IF(AND(OR($B$4="Clinical Lecturer / Medical Research Fellow",$B$4="Clinical Consultant - Old Contract (GP)"),$B71&lt;&gt;""),$C71*Thresholds_Rates!$F$16,IF(AND(OR($B$4="APM Level 7",$B$4="R&amp;T Level 7"),E71&lt;&gt;""),$C71*Thresholds_Rates!$F$16,IF(SUMIF(Grades!$A:$A,$B$4,Grades!$BP:$BP)=1,$C71*Thresholds_Rates!$F$16,"")))))))</f>
        <v/>
      </c>
      <c r="G71" s="25" t="str">
        <f ca="1">IF(B71="","",IF(SUMIF(Grades!$A:$A,$B$4,Grades!$BQ:$BQ)=0,"-",IF(AND($B$4="Salary Points 1 to 57",B71&gt;Thresholds_Rates!$C$17),"-",IF(AND($B$4="Salary Points 1 to 57",B71&lt;=Thresholds_Rates!$C$17),$C71*Thresholds_Rates!$F$17,IF(AND(OR($B$4="New Consultant Contract"),$B71&lt;&gt;""),$C71*Thresholds_Rates!$F$17,IF(AND(OR($B$4="Clinical Lecturer / Medical Research Fellow",$B$4="Clinical Consultant - Old Contract (GP)"),$B71&lt;&gt;""),$C71*Thresholds_Rates!$F$17,IF(AND(OR($B$4="APM Level 7",$B$4="R&amp;T Level 7"),F71&lt;&gt;""),$C71*Thresholds_Rates!$F$17,IF(SUMIF(Grades!$A:$A,$B$4,Grades!$BQ:$BQ)=1,$C71*Thresholds_Rates!$F$17,""))))))))</f>
        <v/>
      </c>
      <c r="H71" s="25" t="str">
        <f ca="1">IF($B71="","",ROUND(($C71-(Thresholds_Rates!$C$5*12))*Thresholds_Rates!$C$10,0))</f>
        <v/>
      </c>
      <c r="I71" s="25" t="str">
        <f ca="1">IF(B71="","",(C71*Thresholds_Rates!$C$12))</f>
        <v/>
      </c>
      <c r="J71" s="25" t="str">
        <f ca="1">IF(B71="","",IF(AND($B$4="Salary Points 1 to 57",B71&gt;Thresholds_Rates!$C$17),"-",IF(SUMIF(Grades!$A:$A,$B$4,Grades!$BR:$BR)=0,"-",IF(AND($B$4="Salary Points 1 to 57",B71&lt;=Thresholds_Rates!$C$17),$C71*Thresholds_Rates!$F$18,IF(AND(OR($B$4="New Consultant Contract"),$B71&lt;&gt;""),$C71*Thresholds_Rates!$F$18,IF(AND(OR($B$4="Clinical Lecturer / Medical Research Fellow",$B$4="Clinical Consultant - Old Contract (GP)"),$B71&lt;&gt;""),$C71*Thresholds_Rates!$F$18,IF(AND(OR($B$4="APM Level 7",$B$4="R&amp;T Level 7"),H71&lt;&gt;""),$C71*Thresholds_Rates!$F$18,IF(SUMIF(Grades!$A:$A,$B$4,Grades!$BQ:$BQ)=1,$C71*Thresholds_Rates!$F$18,""))))))))</f>
        <v/>
      </c>
      <c r="K71" s="4"/>
      <c r="L71" s="25" t="str">
        <f t="shared" ca="1" si="6"/>
        <v/>
      </c>
      <c r="M71" s="25" t="str">
        <f t="shared" ca="1" si="7"/>
        <v/>
      </c>
      <c r="N71" s="25" t="str">
        <f t="shared" ca="1" si="8"/>
        <v/>
      </c>
      <c r="O71" s="25" t="str">
        <f t="shared" ca="1" si="9"/>
        <v/>
      </c>
      <c r="P71" s="25" t="str">
        <f t="shared" ca="1" si="10"/>
        <v/>
      </c>
      <c r="R71" s="28" t="str">
        <f ca="1">IF(B71="","",IF($B$4="R&amp;T Level 5 - Clinical Lecturers (Vet School)",SUMIF(Points_Lookup!$P:$P,$B71,Points_Lookup!$Q:$Q),IF($B$4="R&amp;T Level 6 - Clinical Associate Professors and Clinical Readers (Vet School)",SUMIF(Points_Lookup!$W:$W,$B71,Points_Lookup!$X:$X),"")))</f>
        <v/>
      </c>
      <c r="S71" s="29" t="str">
        <f ca="1">IF(B71="","",IF($B$4="R&amp;T Level 5 - Clinical Lecturers (Vet School)",$C71-SUMIF(Points_Lookup!$P:$P,$B71,Points_Lookup!$R:$R),IF($B$4="R&amp;T Level 6 - Clinical Associate Professors and Clinical Readers (Vet School)",$C71-SUMIF(Points_Lookup!$W:$W,$B71,Points_Lookup!$Y:$Y),"")))</f>
        <v/>
      </c>
      <c r="T71" s="28" t="str">
        <f ca="1">IF(B71="","",IF($B$4="R&amp;T Level 5 - Clinical Lecturers (Vet School)",SUMIF(Points_Lookup!$P:$P,$B71,Points_Lookup!$T:$T),IF($B$4="R&amp;T Level 6 - Clinical Associate Professors and Clinical Readers (Vet School)",SUMIF(Points_Lookup!$W:$W,$B71,Points_Lookup!$AA:$AA),"")))</f>
        <v/>
      </c>
      <c r="U71" s="29" t="str">
        <f t="shared" ca="1" si="11"/>
        <v/>
      </c>
    </row>
    <row r="72" spans="2:26" x14ac:dyDescent="0.25">
      <c r="B72" s="4" t="str">
        <f ca="1">IFERROR(INDEX(Points_Lookup!$A:$A,MATCH($Z74,Points_Lookup!$AH:$AH,0)),"")</f>
        <v/>
      </c>
      <c r="C72" s="25" t="str">
        <f ca="1">IF(B72="","",IF($B$4="Apprenticeship",SUMIF(Points_Lookup!$AD:$AD,B72,Points_Lookup!$AF:$AF),IF(AND(OR($B$4="New Consultant Contract"),$B72&lt;&gt;""),INDEX(Points_Lookup!$N:$N,MATCH($B72,Points_Lookup!$M:$M,0)),IF(AND(OR($B$4="Clinical Lecturer / Medical Research Fellow",$B$4="Clinical Consultant - Old Contract (GP)"),$B72&lt;&gt;""),INDEX(Points_Lookup!$K:$K,MATCH($B72,Points_Lookup!$J:$J,0)),IF(AND(OR($B$4="APM Level 7",$B$4="R&amp;T Level 7",$B$4="APM Level 8"),B72&lt;&gt;""),INDEX(Points_Lookup!$E:$E,MATCH($Z72,Points_Lookup!$AH:$AH,0)),IF($B$4="R&amp;T Level 5 - Clinical Lecturers (Vet School)",SUMIF(Points_Lookup!$P:$P,$B72,Points_Lookup!$S:$S),IF($B$4="R&amp;T Level 6 - Clinical Associate Professors and Clinical Readers (Vet School)",SUMIF(Points_Lookup!$W:$W,$B72,Points_Lookup!$Z:$Z),IFERROR(INDEX(Points_Lookup!$B:$B,MATCH($Z72,Points_Lookup!$AH:$AH,0)),""))))))))</f>
        <v/>
      </c>
      <c r="D72" s="40"/>
      <c r="E72" s="25" t="str">
        <f ca="1">IF($B72="","",IF(AND($B$4="Salary Points 3 to 57",B72&lt;Thresholds_Rates!$C$16),"-",IF(SUMIF(Grades!$A:$A,$B$4,Grades!$BO:$BO)=0,"-",IF(AND($B$4="Salary Points 3 to 57",B72&gt;=Thresholds_Rates!$C$16),$C72*Thresholds_Rates!$F$15,IF(AND(OR($B$4="New Consultant Contract"),$B72&lt;&gt;""),$C72*Thresholds_Rates!$F$15,IF(AND(OR($B$4="Clinical Lecturer / Medical Research Fellow",$B$4="Clinical Consultant - Old Contract (GP)"),$B72&lt;&gt;""),$C72*Thresholds_Rates!$F$15,IF(OR($B$4="APM Level 7",$B$4="R&amp;T Level 7"),$C72*Thresholds_Rates!$F$15,IF(SUMIF(Grades!$A:$A,$B$4,Grades!$BO:$BO)=1,$C72*Thresholds_Rates!$F$15,""))))))))</f>
        <v/>
      </c>
      <c r="F72" s="25" t="str">
        <f ca="1">IF(B72="","",IF($B$4="Salary Points 1 to 57","-",IF(SUMIF(Grades!$A:$A,$B$4,Grades!$BP:$BP)=0,"-",IF(AND(OR($B$4="New Consultant Contract"),$B72&lt;&gt;""),$C72*Thresholds_Rates!$F$16,IF(AND(OR($B$4="Clinical Lecturer / Medical Research Fellow",$B$4="Clinical Consultant - Old Contract (GP)"),$B72&lt;&gt;""),$C72*Thresholds_Rates!$F$16,IF(AND(OR($B$4="APM Level 7",$B$4="R&amp;T Level 7"),E72&lt;&gt;""),$C72*Thresholds_Rates!$F$16,IF(SUMIF(Grades!$A:$A,$B$4,Grades!$BP:$BP)=1,$C72*Thresholds_Rates!$F$16,"")))))))</f>
        <v/>
      </c>
      <c r="G72" s="25" t="str">
        <f ca="1">IF(B72="","",IF(SUMIF(Grades!$A:$A,$B$4,Grades!$BQ:$BQ)=0,"-",IF(AND($B$4="Salary Points 1 to 57",B72&gt;Thresholds_Rates!$C$17),"-",IF(AND($B$4="Salary Points 1 to 57",B72&lt;=Thresholds_Rates!$C$17),$C72*Thresholds_Rates!$F$17,IF(AND(OR($B$4="New Consultant Contract"),$B72&lt;&gt;""),$C72*Thresholds_Rates!$F$17,IF(AND(OR($B$4="Clinical Lecturer / Medical Research Fellow",$B$4="Clinical Consultant - Old Contract (GP)"),$B72&lt;&gt;""),$C72*Thresholds_Rates!$F$17,IF(AND(OR($B$4="APM Level 7",$B$4="R&amp;T Level 7"),F72&lt;&gt;""),$C72*Thresholds_Rates!$F$17,IF(SUMIF(Grades!$A:$A,$B$4,Grades!$BQ:$BQ)=1,$C72*Thresholds_Rates!$F$17,""))))))))</f>
        <v/>
      </c>
      <c r="H72" s="25" t="str">
        <f ca="1">IF($B72="","",ROUND(($C72-(Thresholds_Rates!$C$5*12))*Thresholds_Rates!$C$10,0))</f>
        <v/>
      </c>
      <c r="I72" s="25" t="str">
        <f ca="1">IF(B72="","",(C72*Thresholds_Rates!$C$12))</f>
        <v/>
      </c>
      <c r="J72" s="25" t="str">
        <f ca="1">IF(B72="","",IF(AND($B$4="Salary Points 1 to 57",B72&gt;Thresholds_Rates!$C$17),"-",IF(SUMIF(Grades!$A:$A,$B$4,Grades!$BR:$BR)=0,"-",IF(AND($B$4="Salary Points 1 to 57",B72&lt;=Thresholds_Rates!$C$17),$C72*Thresholds_Rates!$F$18,IF(AND(OR($B$4="New Consultant Contract"),$B72&lt;&gt;""),$C72*Thresholds_Rates!$F$18,IF(AND(OR($B$4="Clinical Lecturer / Medical Research Fellow",$B$4="Clinical Consultant - Old Contract (GP)"),$B72&lt;&gt;""),$C72*Thresholds_Rates!$F$18,IF(AND(OR($B$4="APM Level 7",$B$4="R&amp;T Level 7"),H72&lt;&gt;""),$C72*Thresholds_Rates!$F$18,IF(SUMIF(Grades!$A:$A,$B$4,Grades!$BQ:$BQ)=1,$C72*Thresholds_Rates!$F$18,""))))))))</f>
        <v/>
      </c>
      <c r="K72" s="4"/>
      <c r="L72" s="25" t="str">
        <f t="shared" ca="1" si="6"/>
        <v/>
      </c>
      <c r="M72" s="25" t="str">
        <f t="shared" ca="1" si="7"/>
        <v/>
      </c>
      <c r="N72" s="25" t="str">
        <f t="shared" ca="1" si="8"/>
        <v/>
      </c>
      <c r="O72" s="25" t="str">
        <f t="shared" ca="1" si="9"/>
        <v/>
      </c>
      <c r="P72" s="25" t="str">
        <f t="shared" ca="1" si="10"/>
        <v/>
      </c>
      <c r="R72" s="28" t="str">
        <f ca="1">IF(B72="","",IF($B$4="R&amp;T Level 5 - Clinical Lecturers (Vet School)",SUMIF(Points_Lookup!$P:$P,$B72,Points_Lookup!$Q:$Q),IF($B$4="R&amp;T Level 6 - Clinical Associate Professors and Clinical Readers (Vet School)",SUMIF(Points_Lookup!$W:$W,$B72,Points_Lookup!$X:$X),"")))</f>
        <v/>
      </c>
      <c r="S72" s="29" t="str">
        <f ca="1">IF(B72="","",IF($B$4="R&amp;T Level 5 - Clinical Lecturers (Vet School)",$C72-SUMIF(Points_Lookup!$P:$P,$B72,Points_Lookup!$R:$R),IF($B$4="R&amp;T Level 6 - Clinical Associate Professors and Clinical Readers (Vet School)",$C72-SUMIF(Points_Lookup!$W:$W,$B72,Points_Lookup!$Y:$Y),"")))</f>
        <v/>
      </c>
      <c r="T72" s="28" t="str">
        <f ca="1">IF(B72="","",IF($B$4="R&amp;T Level 5 - Clinical Lecturers (Vet School)",SUMIF(Points_Lookup!$P:$P,$B72,Points_Lookup!$T:$T),IF($B$4="R&amp;T Level 6 - Clinical Associate Professors and Clinical Readers (Vet School)",SUMIF(Points_Lookup!$W:$W,$B72,Points_Lookup!$AA:$AA),"")))</f>
        <v/>
      </c>
      <c r="U72" s="29" t="str">
        <f t="shared" ca="1" si="11"/>
        <v/>
      </c>
    </row>
    <row r="73" spans="2:26" x14ac:dyDescent="0.25">
      <c r="B73" s="4" t="str">
        <f ca="1">IFERROR(INDEX(Points_Lookup!$A:$A,MATCH($Z75,Points_Lookup!$AH:$AH,0)),"")</f>
        <v/>
      </c>
      <c r="C73" s="25" t="str">
        <f ca="1">IF(B73="","",IF($B$4="Apprenticeship",SUMIF(Points_Lookup!$AD:$AD,B73,Points_Lookup!$AF:$AF),IF(AND(OR($B$4="New Consultant Contract"),$B73&lt;&gt;""),INDEX(Points_Lookup!$N:$N,MATCH($B73,Points_Lookup!$M:$M,0)),IF(AND(OR($B$4="Clinical Lecturer / Medical Research Fellow",$B$4="Clinical Consultant - Old Contract (GP)"),$B73&lt;&gt;""),INDEX(Points_Lookup!$K:$K,MATCH($B73,Points_Lookup!$J:$J,0)),IF(AND(OR($B$4="APM Level 7",$B$4="R&amp;T Level 7",$B$4="APM Level 8"),B73&lt;&gt;""),INDEX(Points_Lookup!$E:$E,MATCH($Z73,Points_Lookup!$AH:$AH,0)),IF($B$4="R&amp;T Level 5 - Clinical Lecturers (Vet School)",SUMIF(Points_Lookup!$P:$P,$B73,Points_Lookup!$S:$S),IF($B$4="R&amp;T Level 6 - Clinical Associate Professors and Clinical Readers (Vet School)",SUMIF(Points_Lookup!$W:$W,$B73,Points_Lookup!$Z:$Z),IFERROR(INDEX(Points_Lookup!$B:$B,MATCH($Z73,Points_Lookup!$AH:$AH,0)),""))))))))</f>
        <v/>
      </c>
      <c r="D73" s="40"/>
      <c r="E73" s="25" t="str">
        <f ca="1">IF($B73="","",IF(AND($B$4="Salary Points 3 to 57",B73&lt;Thresholds_Rates!$C$16),"-",IF(SUMIF(Grades!$A:$A,$B$4,Grades!$BO:$BO)=0,"-",IF(AND($B$4="Salary Points 3 to 57",B73&gt;=Thresholds_Rates!$C$16),$C73*Thresholds_Rates!$F$15,IF(AND(OR($B$4="New Consultant Contract"),$B73&lt;&gt;""),$C73*Thresholds_Rates!$F$15,IF(AND(OR($B$4="Clinical Lecturer / Medical Research Fellow",$B$4="Clinical Consultant - Old Contract (GP)"),$B73&lt;&gt;""),$C73*Thresholds_Rates!$F$15,IF(OR($B$4="APM Level 7",$B$4="R&amp;T Level 7"),$C73*Thresholds_Rates!$F$15,IF(SUMIF(Grades!$A:$A,$B$4,Grades!$BO:$BO)=1,$C73*Thresholds_Rates!$F$15,""))))))))</f>
        <v/>
      </c>
      <c r="F73" s="25" t="str">
        <f ca="1">IF(B73="","",IF($B$4="Salary Points 1 to 57","-",IF(SUMIF(Grades!$A:$A,$B$4,Grades!$BP:$BP)=0,"-",IF(AND(OR($B$4="New Consultant Contract"),$B73&lt;&gt;""),$C73*Thresholds_Rates!$F$16,IF(AND(OR($B$4="Clinical Lecturer / Medical Research Fellow",$B$4="Clinical Consultant - Old Contract (GP)"),$B73&lt;&gt;""),$C73*Thresholds_Rates!$F$16,IF(AND(OR($B$4="APM Level 7",$B$4="R&amp;T Level 7"),E73&lt;&gt;""),$C73*Thresholds_Rates!$F$16,IF(SUMIF(Grades!$A:$A,$B$4,Grades!$BP:$BP)=1,$C73*Thresholds_Rates!$F$16,"")))))))</f>
        <v/>
      </c>
      <c r="G73" s="25" t="str">
        <f ca="1">IF(B73="","",IF(SUMIF(Grades!$A:$A,$B$4,Grades!$BQ:$BQ)=0,"-",IF(AND($B$4="Salary Points 1 to 57",B73&gt;Thresholds_Rates!$C$17),"-",IF(AND($B$4="Salary Points 1 to 57",B73&lt;=Thresholds_Rates!$C$17),$C73*Thresholds_Rates!$F$17,IF(AND(OR($B$4="New Consultant Contract"),$B73&lt;&gt;""),$C73*Thresholds_Rates!$F$17,IF(AND(OR($B$4="Clinical Lecturer / Medical Research Fellow",$B$4="Clinical Consultant - Old Contract (GP)"),$B73&lt;&gt;""),$C73*Thresholds_Rates!$F$17,IF(AND(OR($B$4="APM Level 7",$B$4="R&amp;T Level 7"),F73&lt;&gt;""),$C73*Thresholds_Rates!$F$17,IF(SUMIF(Grades!$A:$A,$B$4,Grades!$BQ:$BQ)=1,$C73*Thresholds_Rates!$F$17,""))))))))</f>
        <v/>
      </c>
      <c r="H73" s="25" t="str">
        <f ca="1">IF($B73="","",ROUND(($C73-(Thresholds_Rates!$C$5*12))*Thresholds_Rates!$C$10,0))</f>
        <v/>
      </c>
      <c r="I73" s="25" t="str">
        <f ca="1">IF(B73="","",(C73*Thresholds_Rates!$C$12))</f>
        <v/>
      </c>
      <c r="J73" s="25" t="str">
        <f ca="1">IF(B73="","",IF(AND($B$4="Salary Points 1 to 57",B73&gt;Thresholds_Rates!$C$17),"-",IF(SUMIF(Grades!$A:$A,$B$4,Grades!$BR:$BR)=0,"-",IF(AND($B$4="Salary Points 1 to 57",B73&lt;=Thresholds_Rates!$C$17),$C73*Thresholds_Rates!$F$18,IF(AND(OR($B$4="New Consultant Contract"),$B73&lt;&gt;""),$C73*Thresholds_Rates!$F$18,IF(AND(OR($B$4="Clinical Lecturer / Medical Research Fellow",$B$4="Clinical Consultant - Old Contract (GP)"),$B73&lt;&gt;""),$C73*Thresholds_Rates!$F$18,IF(AND(OR($B$4="APM Level 7",$B$4="R&amp;T Level 7"),H73&lt;&gt;""),$C73*Thresholds_Rates!$F$18,IF(SUMIF(Grades!$A:$A,$B$4,Grades!$BQ:$BQ)=1,$C73*Thresholds_Rates!$F$18,""))))))))</f>
        <v/>
      </c>
      <c r="K73" s="4"/>
      <c r="L73" s="25" t="str">
        <f t="shared" ca="1" si="6"/>
        <v/>
      </c>
      <c r="M73" s="25" t="str">
        <f t="shared" ca="1" si="7"/>
        <v/>
      </c>
      <c r="N73" s="25" t="str">
        <f t="shared" ca="1" si="8"/>
        <v/>
      </c>
      <c r="O73" s="25" t="str">
        <f t="shared" ca="1" si="9"/>
        <v/>
      </c>
      <c r="P73" s="25" t="str">
        <f t="shared" ca="1" si="10"/>
        <v/>
      </c>
      <c r="R73" s="28" t="str">
        <f ca="1">IF(B73="","",IF($B$4="R&amp;T Level 5 - Clinical Lecturers (Vet School)",SUMIF(Points_Lookup!$P:$P,$B73,Points_Lookup!$Q:$Q),IF($B$4="R&amp;T Level 6 - Clinical Associate Professors and Clinical Readers (Vet School)",SUMIF(Points_Lookup!$W:$W,$B73,Points_Lookup!$X:$X),"")))</f>
        <v/>
      </c>
      <c r="S73" s="29" t="str">
        <f ca="1">IF(B73="","",IF($B$4="R&amp;T Level 5 - Clinical Lecturers (Vet School)",$C73-SUMIF(Points_Lookup!$P:$P,$B73,Points_Lookup!$R:$R),IF($B$4="R&amp;T Level 6 - Clinical Associate Professors and Clinical Readers (Vet School)",$C73-SUMIF(Points_Lookup!$W:$W,$B73,Points_Lookup!$Y:$Y),"")))</f>
        <v/>
      </c>
      <c r="T73" s="28" t="str">
        <f ca="1">IF(B73="","",IF($B$4="R&amp;T Level 5 - Clinical Lecturers (Vet School)",SUMIF(Points_Lookup!$P:$P,$B73,Points_Lookup!$T:$T),IF($B$4="R&amp;T Level 6 - Clinical Associate Professors and Clinical Readers (Vet School)",SUMIF(Points_Lookup!$W:$W,$B73,Points_Lookup!$AA:$AA),"")))</f>
        <v/>
      </c>
      <c r="U73" s="29" t="str">
        <f t="shared" ref="U73:U103" ca="1" si="12">IF(B73="","",IF($B$4="R&amp;T Level 5 - Clinical Lecturers (Vet School)",ROUND(C73*T73,0),IF($B$4="R&amp;T Level 6 - Clinical Associate Professors and Clinical Readers (Vet School)",ROUND(C73*T73,0),"")))</f>
        <v/>
      </c>
    </row>
    <row r="74" spans="2:26" x14ac:dyDescent="0.25">
      <c r="B74" s="4" t="str">
        <f ca="1">IFERROR(INDEX(Points_Lookup!$A:$A,MATCH($Z76,Points_Lookup!$AH:$AH,0)),"")</f>
        <v/>
      </c>
      <c r="C74" s="25" t="str">
        <f ca="1">IF(B74="","",IF($B$4="Apprenticeship",SUMIF(Points_Lookup!$AD:$AD,B74,Points_Lookup!$AF:$AF),IF(AND(OR($B$4="New Consultant Contract"),$B74&lt;&gt;""),INDEX(Points_Lookup!$N:$N,MATCH($B74,Points_Lookup!$M:$M,0)),IF(AND(OR($B$4="Clinical Lecturer / Medical Research Fellow",$B$4="Clinical Consultant - Old Contract (GP)"),$B74&lt;&gt;""),INDEX(Points_Lookup!$K:$K,MATCH($B74,Points_Lookup!$J:$J,0)),IF(AND(OR($B$4="APM Level 7",$B$4="R&amp;T Level 7",$B$4="APM Level 8"),B74&lt;&gt;""),INDEX(Points_Lookup!$E:$E,MATCH($Z74,Points_Lookup!$AH:$AH,0)),IF($B$4="R&amp;T Level 5 - Clinical Lecturers (Vet School)",SUMIF(Points_Lookup!$P:$P,$B74,Points_Lookup!$S:$S),IF($B$4="R&amp;T Level 6 - Clinical Associate Professors and Clinical Readers (Vet School)",SUMIF(Points_Lookup!$W:$W,$B74,Points_Lookup!$Z:$Z),IFERROR(INDEX(Points_Lookup!$B:$B,MATCH($Z74,Points_Lookup!$AH:$AH,0)),""))))))))</f>
        <v/>
      </c>
      <c r="D74" s="40"/>
      <c r="E74" s="25" t="str">
        <f ca="1">IF($B74="","",IF(AND($B$4="Salary Points 3 to 57",B74&lt;Thresholds_Rates!$C$16),"-",IF(SUMIF(Grades!$A:$A,$B$4,Grades!$BO:$BO)=0,"-",IF(AND($B$4="Salary Points 3 to 57",B74&gt;=Thresholds_Rates!$C$16),$C74*Thresholds_Rates!$F$15,IF(AND(OR($B$4="New Consultant Contract"),$B74&lt;&gt;""),$C74*Thresholds_Rates!$F$15,IF(AND(OR($B$4="Clinical Lecturer / Medical Research Fellow",$B$4="Clinical Consultant - Old Contract (GP)"),$B74&lt;&gt;""),$C74*Thresholds_Rates!$F$15,IF(OR($B$4="APM Level 7",$B$4="R&amp;T Level 7"),$C74*Thresholds_Rates!$F$15,IF(SUMIF(Grades!$A:$A,$B$4,Grades!$BO:$BO)=1,$C74*Thresholds_Rates!$F$15,""))))))))</f>
        <v/>
      </c>
      <c r="F74" s="25" t="str">
        <f ca="1">IF(B74="","",IF($B$4="Salary Points 1 to 57","-",IF(SUMIF(Grades!$A:$A,$B$4,Grades!$BP:$BP)=0,"-",IF(AND(OR($B$4="New Consultant Contract"),$B74&lt;&gt;""),$C74*Thresholds_Rates!$F$16,IF(AND(OR($B$4="Clinical Lecturer / Medical Research Fellow",$B$4="Clinical Consultant - Old Contract (GP)"),$B74&lt;&gt;""),$C74*Thresholds_Rates!$F$16,IF(AND(OR($B$4="APM Level 7",$B$4="R&amp;T Level 7"),E74&lt;&gt;""),$C74*Thresholds_Rates!$F$16,IF(SUMIF(Grades!$A:$A,$B$4,Grades!$BP:$BP)=1,$C74*Thresholds_Rates!$F$16,"")))))))</f>
        <v/>
      </c>
      <c r="G74" s="25" t="str">
        <f ca="1">IF(B74="","",IF(SUMIF(Grades!$A:$A,$B$4,Grades!$BQ:$BQ)=0,"-",IF(AND($B$4="Salary Points 1 to 57",B74&gt;Thresholds_Rates!$C$17),"-",IF(AND($B$4="Salary Points 1 to 57",B74&lt;=Thresholds_Rates!$C$17),$C74*Thresholds_Rates!$F$17,IF(AND(OR($B$4="New Consultant Contract"),$B74&lt;&gt;""),$C74*Thresholds_Rates!$F$17,IF(AND(OR($B$4="Clinical Lecturer / Medical Research Fellow",$B$4="Clinical Consultant - Old Contract (GP)"),$B74&lt;&gt;""),$C74*Thresholds_Rates!$F$17,IF(AND(OR($B$4="APM Level 7",$B$4="R&amp;T Level 7"),F74&lt;&gt;""),$C74*Thresholds_Rates!$F$17,IF(SUMIF(Grades!$A:$A,$B$4,Grades!$BQ:$BQ)=1,$C74*Thresholds_Rates!$F$17,""))))))))</f>
        <v/>
      </c>
      <c r="H74" s="25" t="str">
        <f ca="1">IF($B74="","",ROUND(($C74-(Thresholds_Rates!$C$5*12))*Thresholds_Rates!$C$10,0))</f>
        <v/>
      </c>
      <c r="I74" s="25" t="str">
        <f ca="1">IF(B74="","",(C74*Thresholds_Rates!$C$12))</f>
        <v/>
      </c>
      <c r="J74" s="25" t="str">
        <f ca="1">IF(B74="","",IF(AND($B$4="Salary Points 1 to 57",B74&gt;Thresholds_Rates!$C$17),"-",IF(SUMIF(Grades!$A:$A,$B$4,Grades!$BR:$BR)=0,"-",IF(AND($B$4="Salary Points 1 to 57",B74&lt;=Thresholds_Rates!$C$17),$C74*Thresholds_Rates!$F$18,IF(AND(OR($B$4="New Consultant Contract"),$B74&lt;&gt;""),$C74*Thresholds_Rates!$F$18,IF(AND(OR($B$4="Clinical Lecturer / Medical Research Fellow",$B$4="Clinical Consultant - Old Contract (GP)"),$B74&lt;&gt;""),$C74*Thresholds_Rates!$F$18,IF(AND(OR($B$4="APM Level 7",$B$4="R&amp;T Level 7"),H74&lt;&gt;""),$C74*Thresholds_Rates!$F$18,IF(SUMIF(Grades!$A:$A,$B$4,Grades!$BQ:$BQ)=1,$C74*Thresholds_Rates!$F$18,""))))))))</f>
        <v/>
      </c>
      <c r="K74" s="4"/>
      <c r="L74" s="25" t="str">
        <f t="shared" ref="L74:L137" ca="1" si="13">IF(B74="","",IF(E74="-","-",$C74+$H74+E74+I74))</f>
        <v/>
      </c>
      <c r="M74" s="25" t="str">
        <f t="shared" ref="M74:M137" ca="1" si="14">IF(B74="","",IF(F74="-","-",$C74+$H74+F74+I74))</f>
        <v/>
      </c>
      <c r="N74" s="25" t="str">
        <f t="shared" ref="N74:N137" ca="1" si="15">IF(B74="","",IF(G74="-","-",$C74+$H74+G74+I74))</f>
        <v/>
      </c>
      <c r="O74" s="25" t="str">
        <f t="shared" ref="O74:O137" ca="1" si="16">IF(B74="","",IF(J74="-","-",$C74+$H74+J74+I74))</f>
        <v/>
      </c>
      <c r="P74" s="25" t="str">
        <f t="shared" ref="P74:P137" ca="1" si="17">IF(B74="","",C74+H74+I74)</f>
        <v/>
      </c>
      <c r="R74" s="28" t="str">
        <f ca="1">IF(B74="","",IF($B$4="R&amp;T Level 5 - Clinical Lecturers (Vet School)",SUMIF(Points_Lookup!$P:$P,$B74,Points_Lookup!$Q:$Q),IF($B$4="R&amp;T Level 6 - Clinical Associate Professors and Clinical Readers (Vet School)",SUMIF(Points_Lookup!$W:$W,$B74,Points_Lookup!$X:$X),"")))</f>
        <v/>
      </c>
      <c r="S74" s="29" t="str">
        <f ca="1">IF(B74="","",IF($B$4="R&amp;T Level 5 - Clinical Lecturers (Vet School)",$C74-SUMIF(Points_Lookup!$P:$P,$B74,Points_Lookup!$R:$R),IF($B$4="R&amp;T Level 6 - Clinical Associate Professors and Clinical Readers (Vet School)",$C74-SUMIF(Points_Lookup!$W:$W,$B74,Points_Lookup!$Y:$Y),"")))</f>
        <v/>
      </c>
      <c r="T74" s="28" t="str">
        <f ca="1">IF(B74="","",IF($B$4="R&amp;T Level 5 - Clinical Lecturers (Vet School)",SUMIF(Points_Lookup!$P:$P,$B74,Points_Lookup!$T:$T),IF($B$4="R&amp;T Level 6 - Clinical Associate Professors and Clinical Readers (Vet School)",SUMIF(Points_Lookup!$W:$W,$B74,Points_Lookup!$AA:$AA),"")))</f>
        <v/>
      </c>
      <c r="U74" s="29" t="str">
        <f t="shared" ca="1" si="12"/>
        <v/>
      </c>
    </row>
    <row r="75" spans="2:26" x14ac:dyDescent="0.25">
      <c r="B75" s="4" t="str">
        <f ca="1">IFERROR(INDEX(Points_Lookup!$A:$A,MATCH($Z77,Points_Lookup!$AH:$AH,0)),"")</f>
        <v/>
      </c>
      <c r="C75" s="25" t="str">
        <f ca="1">IF(B75="","",IF($B$4="Apprenticeship",SUMIF(Points_Lookup!$AD:$AD,B75,Points_Lookup!$AF:$AF),IF(AND(OR($B$4="New Consultant Contract"),$B75&lt;&gt;""),INDEX(Points_Lookup!$N:$N,MATCH($B75,Points_Lookup!$M:$M,0)),IF(AND(OR($B$4="Clinical Lecturer / Medical Research Fellow",$B$4="Clinical Consultant - Old Contract (GP)"),$B75&lt;&gt;""),INDEX(Points_Lookup!$K:$K,MATCH($B75,Points_Lookup!$J:$J,0)),IF(AND(OR($B$4="APM Level 7",$B$4="R&amp;T Level 7",$B$4="APM Level 8"),B75&lt;&gt;""),INDEX(Points_Lookup!$E:$E,MATCH($Z75,Points_Lookup!$AH:$AH,0)),IF($B$4="R&amp;T Level 5 - Clinical Lecturers (Vet School)",SUMIF(Points_Lookup!$P:$P,$B75,Points_Lookup!$S:$S),IF($B$4="R&amp;T Level 6 - Clinical Associate Professors and Clinical Readers (Vet School)",SUMIF(Points_Lookup!$W:$W,$B75,Points_Lookup!$Z:$Z),IFERROR(INDEX(Points_Lookup!$B:$B,MATCH($Z75,Points_Lookup!$AH:$AH,0)),""))))))))</f>
        <v/>
      </c>
      <c r="D75" s="40"/>
      <c r="E75" s="25" t="str">
        <f ca="1">IF($B75="","",IF(AND($B$4="Salary Points 3 to 57",B75&lt;Thresholds_Rates!$C$16),"-",IF(SUMIF(Grades!$A:$A,$B$4,Grades!$BO:$BO)=0,"-",IF(AND($B$4="Salary Points 3 to 57",B75&gt;=Thresholds_Rates!$C$16),$C75*Thresholds_Rates!$F$15,IF(AND(OR($B$4="New Consultant Contract"),$B75&lt;&gt;""),$C75*Thresholds_Rates!$F$15,IF(AND(OR($B$4="Clinical Lecturer / Medical Research Fellow",$B$4="Clinical Consultant - Old Contract (GP)"),$B75&lt;&gt;""),$C75*Thresholds_Rates!$F$15,IF(OR($B$4="APM Level 7",$B$4="R&amp;T Level 7"),$C75*Thresholds_Rates!$F$15,IF(SUMIF(Grades!$A:$A,$B$4,Grades!$BO:$BO)=1,$C75*Thresholds_Rates!$F$15,""))))))))</f>
        <v/>
      </c>
      <c r="F75" s="25" t="str">
        <f ca="1">IF(B75="","",IF($B$4="Salary Points 1 to 57","-",IF(SUMIF(Grades!$A:$A,$B$4,Grades!$BP:$BP)=0,"-",IF(AND(OR($B$4="New Consultant Contract"),$B75&lt;&gt;""),$C75*Thresholds_Rates!$F$16,IF(AND(OR($B$4="Clinical Lecturer / Medical Research Fellow",$B$4="Clinical Consultant - Old Contract (GP)"),$B75&lt;&gt;""),$C75*Thresholds_Rates!$F$16,IF(AND(OR($B$4="APM Level 7",$B$4="R&amp;T Level 7"),E75&lt;&gt;""),$C75*Thresholds_Rates!$F$16,IF(SUMIF(Grades!$A:$A,$B$4,Grades!$BP:$BP)=1,$C75*Thresholds_Rates!$F$16,"")))))))</f>
        <v/>
      </c>
      <c r="G75" s="25" t="str">
        <f ca="1">IF(B75="","",IF(SUMIF(Grades!$A:$A,$B$4,Grades!$BQ:$BQ)=0,"-",IF(AND($B$4="Salary Points 1 to 57",B75&gt;Thresholds_Rates!$C$17),"-",IF(AND($B$4="Salary Points 1 to 57",B75&lt;=Thresholds_Rates!$C$17),$C75*Thresholds_Rates!$F$17,IF(AND(OR($B$4="New Consultant Contract"),$B75&lt;&gt;""),$C75*Thresholds_Rates!$F$17,IF(AND(OR($B$4="Clinical Lecturer / Medical Research Fellow",$B$4="Clinical Consultant - Old Contract (GP)"),$B75&lt;&gt;""),$C75*Thresholds_Rates!$F$17,IF(AND(OR($B$4="APM Level 7",$B$4="R&amp;T Level 7"),F75&lt;&gt;""),$C75*Thresholds_Rates!$F$17,IF(SUMIF(Grades!$A:$A,$B$4,Grades!$BQ:$BQ)=1,$C75*Thresholds_Rates!$F$17,""))))))))</f>
        <v/>
      </c>
      <c r="H75" s="25" t="str">
        <f ca="1">IF($B75="","",ROUND(($C75-(Thresholds_Rates!$C$5*12))*Thresholds_Rates!$C$10,0))</f>
        <v/>
      </c>
      <c r="I75" s="25" t="str">
        <f ca="1">IF(B75="","",(C75*Thresholds_Rates!$C$12))</f>
        <v/>
      </c>
      <c r="J75" s="25" t="str">
        <f ca="1">IF(B75="","",IF(AND($B$4="Salary Points 1 to 57",B75&gt;Thresholds_Rates!$C$17),"-",IF(SUMIF(Grades!$A:$A,$B$4,Grades!$BR:$BR)=0,"-",IF(AND($B$4="Salary Points 1 to 57",B75&lt;=Thresholds_Rates!$C$17),$C75*Thresholds_Rates!$F$18,IF(AND(OR($B$4="New Consultant Contract"),$B75&lt;&gt;""),$C75*Thresholds_Rates!$F$18,IF(AND(OR($B$4="Clinical Lecturer / Medical Research Fellow",$B$4="Clinical Consultant - Old Contract (GP)"),$B75&lt;&gt;""),$C75*Thresholds_Rates!$F$18,IF(AND(OR($B$4="APM Level 7",$B$4="R&amp;T Level 7"),H75&lt;&gt;""),$C75*Thresholds_Rates!$F$18,IF(SUMIF(Grades!$A:$A,$B$4,Grades!$BQ:$BQ)=1,$C75*Thresholds_Rates!$F$18,""))))))))</f>
        <v/>
      </c>
      <c r="K75" s="4"/>
      <c r="L75" s="25" t="str">
        <f t="shared" ca="1" si="13"/>
        <v/>
      </c>
      <c r="M75" s="25" t="str">
        <f t="shared" ca="1" si="14"/>
        <v/>
      </c>
      <c r="N75" s="25" t="str">
        <f t="shared" ca="1" si="15"/>
        <v/>
      </c>
      <c r="O75" s="25" t="str">
        <f t="shared" ca="1" si="16"/>
        <v/>
      </c>
      <c r="P75" s="25" t="str">
        <f t="shared" ca="1" si="17"/>
        <v/>
      </c>
      <c r="R75" s="28" t="str">
        <f ca="1">IF(B75="","",IF($B$4="R&amp;T Level 5 - Clinical Lecturers (Vet School)",SUMIF(Points_Lookup!$P:$P,$B75,Points_Lookup!$Q:$Q),IF($B$4="R&amp;T Level 6 - Clinical Associate Professors and Clinical Readers (Vet School)",SUMIF(Points_Lookup!$W:$W,$B75,Points_Lookup!$X:$X),"")))</f>
        <v/>
      </c>
      <c r="S75" s="29" t="str">
        <f ca="1">IF(B75="","",IF($B$4="R&amp;T Level 5 - Clinical Lecturers (Vet School)",$C75-SUMIF(Points_Lookup!$P:$P,$B75,Points_Lookup!$R:$R),IF($B$4="R&amp;T Level 6 - Clinical Associate Professors and Clinical Readers (Vet School)",$C75-SUMIF(Points_Lookup!$W:$W,$B75,Points_Lookup!$Y:$Y),"")))</f>
        <v/>
      </c>
      <c r="T75" s="28" t="str">
        <f ca="1">IF(B75="","",IF($B$4="R&amp;T Level 5 - Clinical Lecturers (Vet School)",SUMIF(Points_Lookup!$P:$P,$B75,Points_Lookup!$T:$T),IF($B$4="R&amp;T Level 6 - Clinical Associate Professors and Clinical Readers (Vet School)",SUMIF(Points_Lookup!$W:$W,$B75,Points_Lookup!$AA:$AA),"")))</f>
        <v/>
      </c>
      <c r="U75" s="29" t="str">
        <f t="shared" ca="1" si="12"/>
        <v/>
      </c>
    </row>
    <row r="76" spans="2:26" x14ac:dyDescent="0.25">
      <c r="B76" s="4" t="str">
        <f ca="1">IFERROR(INDEX(Points_Lookup!$A:$A,MATCH($Z78,Points_Lookup!$AH:$AH,0)),"")</f>
        <v/>
      </c>
      <c r="C76" s="25" t="str">
        <f ca="1">IF(B76="","",IF($B$4="Apprenticeship",SUMIF(Points_Lookup!$AD:$AD,B76,Points_Lookup!$AF:$AF),IF(AND(OR($B$4="New Consultant Contract"),$B76&lt;&gt;""),INDEX(Points_Lookup!$N:$N,MATCH($B76,Points_Lookup!$M:$M,0)),IF(AND(OR($B$4="Clinical Lecturer / Medical Research Fellow",$B$4="Clinical Consultant - Old Contract (GP)"),$B76&lt;&gt;""),INDEX(Points_Lookup!$K:$K,MATCH($B76,Points_Lookup!$J:$J,0)),IF(AND(OR($B$4="APM Level 7",$B$4="R&amp;T Level 7",$B$4="APM Level 8"),B76&lt;&gt;""),INDEX(Points_Lookup!$E:$E,MATCH($Z76,Points_Lookup!$AH:$AH,0)),IF($B$4="R&amp;T Level 5 - Clinical Lecturers (Vet School)",SUMIF(Points_Lookup!$P:$P,$B76,Points_Lookup!$S:$S),IF($B$4="R&amp;T Level 6 - Clinical Associate Professors and Clinical Readers (Vet School)",SUMIF(Points_Lookup!$W:$W,$B76,Points_Lookup!$Z:$Z),IFERROR(INDEX(Points_Lookup!$B:$B,MATCH($Z76,Points_Lookup!$AH:$AH,0)),""))))))))</f>
        <v/>
      </c>
      <c r="D76" s="40"/>
      <c r="E76" s="25" t="str">
        <f ca="1">IF($B76="","",IF(AND($B$4="Salary Points 3 to 57",B76&lt;Thresholds_Rates!$C$16),"-",IF(SUMIF(Grades!$A:$A,$B$4,Grades!$BO:$BO)=0,"-",IF(AND($B$4="Salary Points 3 to 57",B76&gt;=Thresholds_Rates!$C$16),$C76*Thresholds_Rates!$F$15,IF(AND(OR($B$4="New Consultant Contract"),$B76&lt;&gt;""),$C76*Thresholds_Rates!$F$15,IF(AND(OR($B$4="Clinical Lecturer / Medical Research Fellow",$B$4="Clinical Consultant - Old Contract (GP)"),$B76&lt;&gt;""),$C76*Thresholds_Rates!$F$15,IF(OR($B$4="APM Level 7",$B$4="R&amp;T Level 7"),$C76*Thresholds_Rates!$F$15,IF(SUMIF(Grades!$A:$A,$B$4,Grades!$BO:$BO)=1,$C76*Thresholds_Rates!$F$15,""))))))))</f>
        <v/>
      </c>
      <c r="F76" s="25" t="str">
        <f ca="1">IF(B76="","",IF($B$4="Salary Points 1 to 57","-",IF(SUMIF(Grades!$A:$A,$B$4,Grades!$BP:$BP)=0,"-",IF(AND(OR($B$4="New Consultant Contract"),$B76&lt;&gt;""),$C76*Thresholds_Rates!$F$16,IF(AND(OR($B$4="Clinical Lecturer / Medical Research Fellow",$B$4="Clinical Consultant - Old Contract (GP)"),$B76&lt;&gt;""),$C76*Thresholds_Rates!$F$16,IF(AND(OR($B$4="APM Level 7",$B$4="R&amp;T Level 7"),E76&lt;&gt;""),$C76*Thresholds_Rates!$F$16,IF(SUMIF(Grades!$A:$A,$B$4,Grades!$BP:$BP)=1,$C76*Thresholds_Rates!$F$16,"")))))))</f>
        <v/>
      </c>
      <c r="G76" s="25" t="str">
        <f ca="1">IF(B76="","",IF(SUMIF(Grades!$A:$A,$B$4,Grades!$BQ:$BQ)=0,"-",IF(AND($B$4="Salary Points 1 to 57",B76&gt;Thresholds_Rates!$C$17),"-",IF(AND($B$4="Salary Points 1 to 57",B76&lt;=Thresholds_Rates!$C$17),$C76*Thresholds_Rates!$F$17,IF(AND(OR($B$4="New Consultant Contract"),$B76&lt;&gt;""),$C76*Thresholds_Rates!$F$17,IF(AND(OR($B$4="Clinical Lecturer / Medical Research Fellow",$B$4="Clinical Consultant - Old Contract (GP)"),$B76&lt;&gt;""),$C76*Thresholds_Rates!$F$17,IF(AND(OR($B$4="APM Level 7",$B$4="R&amp;T Level 7"),F76&lt;&gt;""),$C76*Thresholds_Rates!$F$17,IF(SUMIF(Grades!$A:$A,$B$4,Grades!$BQ:$BQ)=1,$C76*Thresholds_Rates!$F$17,""))))))))</f>
        <v/>
      </c>
      <c r="H76" s="25" t="str">
        <f ca="1">IF($B76="","",ROUND(($C76-(Thresholds_Rates!$C$5*12))*Thresholds_Rates!$C$10,0))</f>
        <v/>
      </c>
      <c r="I76" s="25" t="str">
        <f ca="1">IF(B76="","",(C76*Thresholds_Rates!$C$12))</f>
        <v/>
      </c>
      <c r="J76" s="25" t="str">
        <f ca="1">IF(B76="","",IF(AND($B$4="Salary Points 1 to 57",B76&gt;Thresholds_Rates!$C$17),"-",IF(SUMIF(Grades!$A:$A,$B$4,Grades!$BR:$BR)=0,"-",IF(AND($B$4="Salary Points 1 to 57",B76&lt;=Thresholds_Rates!$C$17),$C76*Thresholds_Rates!$F$18,IF(AND(OR($B$4="New Consultant Contract"),$B76&lt;&gt;""),$C76*Thresholds_Rates!$F$18,IF(AND(OR($B$4="Clinical Lecturer / Medical Research Fellow",$B$4="Clinical Consultant - Old Contract (GP)"),$B76&lt;&gt;""),$C76*Thresholds_Rates!$F$18,IF(AND(OR($B$4="APM Level 7",$B$4="R&amp;T Level 7"),H76&lt;&gt;""),$C76*Thresholds_Rates!$F$18,IF(SUMIF(Grades!$A:$A,$B$4,Grades!$BQ:$BQ)=1,$C76*Thresholds_Rates!$F$18,""))))))))</f>
        <v/>
      </c>
      <c r="K76" s="4"/>
      <c r="L76" s="25" t="str">
        <f t="shared" ca="1" si="13"/>
        <v/>
      </c>
      <c r="M76" s="25" t="str">
        <f t="shared" ca="1" si="14"/>
        <v/>
      </c>
      <c r="N76" s="25" t="str">
        <f t="shared" ca="1" si="15"/>
        <v/>
      </c>
      <c r="O76" s="25" t="str">
        <f t="shared" ca="1" si="16"/>
        <v/>
      </c>
      <c r="P76" s="25" t="str">
        <f t="shared" ca="1" si="17"/>
        <v/>
      </c>
      <c r="R76" s="28" t="str">
        <f ca="1">IF(B76="","",IF($B$4="R&amp;T Level 5 - Clinical Lecturers (Vet School)",SUMIF(Points_Lookup!$P:$P,$B76,Points_Lookup!$Q:$Q),IF($B$4="R&amp;T Level 6 - Clinical Associate Professors and Clinical Readers (Vet School)",SUMIF(Points_Lookup!$W:$W,$B76,Points_Lookup!$X:$X),"")))</f>
        <v/>
      </c>
      <c r="S76" s="29" t="str">
        <f ca="1">IF(B76="","",IF($B$4="R&amp;T Level 5 - Clinical Lecturers (Vet School)",$C76-SUMIF(Points_Lookup!$P:$P,$B76,Points_Lookup!$R:$R),IF($B$4="R&amp;T Level 6 - Clinical Associate Professors and Clinical Readers (Vet School)",$C76-SUMIF(Points_Lookup!$W:$W,$B76,Points_Lookup!$Y:$Y),"")))</f>
        <v/>
      </c>
      <c r="T76" s="28" t="str">
        <f ca="1">IF(B76="","",IF($B$4="R&amp;T Level 5 - Clinical Lecturers (Vet School)",SUMIF(Points_Lookup!$P:$P,$B76,Points_Lookup!$T:$T),IF($B$4="R&amp;T Level 6 - Clinical Associate Professors and Clinical Readers (Vet School)",SUMIF(Points_Lookup!$W:$W,$B76,Points_Lookup!$AA:$AA),"")))</f>
        <v/>
      </c>
      <c r="U76" s="29" t="str">
        <f t="shared" ca="1" si="12"/>
        <v/>
      </c>
    </row>
    <row r="77" spans="2:26" x14ac:dyDescent="0.25">
      <c r="B77" s="4" t="str">
        <f ca="1">IFERROR(INDEX(Points_Lookup!$A:$A,MATCH($Z79,Points_Lookup!$AH:$AH,0)),"")</f>
        <v/>
      </c>
      <c r="C77" s="25" t="str">
        <f ca="1">IF(B77="","",IF($B$4="Apprenticeship",SUMIF(Points_Lookup!$AD:$AD,B77,Points_Lookup!$AF:$AF),IF(AND(OR($B$4="New Consultant Contract"),$B77&lt;&gt;""),INDEX(Points_Lookup!$N:$N,MATCH($B77,Points_Lookup!$M:$M,0)),IF(AND(OR($B$4="Clinical Lecturer / Medical Research Fellow",$B$4="Clinical Consultant - Old Contract (GP)"),$B77&lt;&gt;""),INDEX(Points_Lookup!$K:$K,MATCH($B77,Points_Lookup!$J:$J,0)),IF(AND(OR($B$4="APM Level 7",$B$4="R&amp;T Level 7",$B$4="APM Level 8"),B77&lt;&gt;""),INDEX(Points_Lookup!$E:$E,MATCH($Z77,Points_Lookup!$AH:$AH,0)),IF($B$4="R&amp;T Level 5 - Clinical Lecturers (Vet School)",SUMIF(Points_Lookup!$P:$P,$B77,Points_Lookup!$S:$S),IF($B$4="R&amp;T Level 6 - Clinical Associate Professors and Clinical Readers (Vet School)",SUMIF(Points_Lookup!$W:$W,$B77,Points_Lookup!$Z:$Z),IFERROR(INDEX(Points_Lookup!$B:$B,MATCH($Z77,Points_Lookup!$AH:$AH,0)),""))))))))</f>
        <v/>
      </c>
      <c r="D77" s="40"/>
      <c r="E77" s="25" t="str">
        <f ca="1">IF($B77="","",IF(AND($B$4="Salary Points 3 to 57",B77&lt;Thresholds_Rates!$C$16),"-",IF(SUMIF(Grades!$A:$A,$B$4,Grades!$BO:$BO)=0,"-",IF(AND($B$4="Salary Points 3 to 57",B77&gt;=Thresholds_Rates!$C$16),$C77*Thresholds_Rates!$F$15,IF(AND(OR($B$4="New Consultant Contract"),$B77&lt;&gt;""),$C77*Thresholds_Rates!$F$15,IF(AND(OR($B$4="Clinical Lecturer / Medical Research Fellow",$B$4="Clinical Consultant - Old Contract (GP)"),$B77&lt;&gt;""),$C77*Thresholds_Rates!$F$15,IF(OR($B$4="APM Level 7",$B$4="R&amp;T Level 7"),$C77*Thresholds_Rates!$F$15,IF(SUMIF(Grades!$A:$A,$B$4,Grades!$BO:$BO)=1,$C77*Thresholds_Rates!$F$15,""))))))))</f>
        <v/>
      </c>
      <c r="F77" s="25" t="str">
        <f ca="1">IF(B77="","",IF($B$4="Salary Points 1 to 57","-",IF(SUMIF(Grades!$A:$A,$B$4,Grades!$BP:$BP)=0,"-",IF(AND(OR($B$4="New Consultant Contract"),$B77&lt;&gt;""),$C77*Thresholds_Rates!$F$16,IF(AND(OR($B$4="Clinical Lecturer / Medical Research Fellow",$B$4="Clinical Consultant - Old Contract (GP)"),$B77&lt;&gt;""),$C77*Thresholds_Rates!$F$16,IF(AND(OR($B$4="APM Level 7",$B$4="R&amp;T Level 7"),E77&lt;&gt;""),$C77*Thresholds_Rates!$F$16,IF(SUMIF(Grades!$A:$A,$B$4,Grades!$BP:$BP)=1,$C77*Thresholds_Rates!$F$16,"")))))))</f>
        <v/>
      </c>
      <c r="G77" s="25" t="str">
        <f ca="1">IF(B77="","",IF(SUMIF(Grades!$A:$A,$B$4,Grades!$BQ:$BQ)=0,"-",IF(AND($B$4="Salary Points 1 to 57",B77&gt;Thresholds_Rates!$C$17),"-",IF(AND($B$4="Salary Points 1 to 57",B77&lt;=Thresholds_Rates!$C$17),$C77*Thresholds_Rates!$F$17,IF(AND(OR($B$4="New Consultant Contract"),$B77&lt;&gt;""),$C77*Thresholds_Rates!$F$17,IF(AND(OR($B$4="Clinical Lecturer / Medical Research Fellow",$B$4="Clinical Consultant - Old Contract (GP)"),$B77&lt;&gt;""),$C77*Thresholds_Rates!$F$17,IF(AND(OR($B$4="APM Level 7",$B$4="R&amp;T Level 7"),F77&lt;&gt;""),$C77*Thresholds_Rates!$F$17,IF(SUMIF(Grades!$A:$A,$B$4,Grades!$BQ:$BQ)=1,$C77*Thresholds_Rates!$F$17,""))))))))</f>
        <v/>
      </c>
      <c r="H77" s="25" t="str">
        <f ca="1">IF($B77="","",ROUND(($C77-(Thresholds_Rates!$C$5*12))*Thresholds_Rates!$C$10,0))</f>
        <v/>
      </c>
      <c r="I77" s="25" t="str">
        <f ca="1">IF(B77="","",(C77*Thresholds_Rates!$C$12))</f>
        <v/>
      </c>
      <c r="J77" s="25" t="str">
        <f ca="1">IF(B77="","",IF(AND($B$4="Salary Points 1 to 57",B77&gt;Thresholds_Rates!$C$17),"-",IF(SUMIF(Grades!$A:$A,$B$4,Grades!$BR:$BR)=0,"-",IF(AND($B$4="Salary Points 1 to 57",B77&lt;=Thresholds_Rates!$C$17),$C77*Thresholds_Rates!$F$18,IF(AND(OR($B$4="New Consultant Contract"),$B77&lt;&gt;""),$C77*Thresholds_Rates!$F$18,IF(AND(OR($B$4="Clinical Lecturer / Medical Research Fellow",$B$4="Clinical Consultant - Old Contract (GP)"),$B77&lt;&gt;""),$C77*Thresholds_Rates!$F$18,IF(AND(OR($B$4="APM Level 7",$B$4="R&amp;T Level 7"),H77&lt;&gt;""),$C77*Thresholds_Rates!$F$18,IF(SUMIF(Grades!$A:$A,$B$4,Grades!$BQ:$BQ)=1,$C77*Thresholds_Rates!$F$18,""))))))))</f>
        <v/>
      </c>
      <c r="K77" s="4"/>
      <c r="L77" s="25" t="str">
        <f t="shared" ca="1" si="13"/>
        <v/>
      </c>
      <c r="M77" s="25" t="str">
        <f t="shared" ca="1" si="14"/>
        <v/>
      </c>
      <c r="N77" s="25" t="str">
        <f t="shared" ca="1" si="15"/>
        <v/>
      </c>
      <c r="O77" s="25" t="str">
        <f t="shared" ca="1" si="16"/>
        <v/>
      </c>
      <c r="P77" s="25" t="str">
        <f t="shared" ca="1" si="17"/>
        <v/>
      </c>
      <c r="R77" s="28" t="str">
        <f ca="1">IF(B77="","",IF($B$4="R&amp;T Level 5 - Clinical Lecturers (Vet School)",SUMIF(Points_Lookup!$P:$P,$B77,Points_Lookup!$Q:$Q),IF($B$4="R&amp;T Level 6 - Clinical Associate Professors and Clinical Readers (Vet School)",SUMIF(Points_Lookup!$W:$W,$B77,Points_Lookup!$X:$X),"")))</f>
        <v/>
      </c>
      <c r="S77" s="29" t="str">
        <f ca="1">IF(B77="","",IF($B$4="R&amp;T Level 5 - Clinical Lecturers (Vet School)",$C77-SUMIF(Points_Lookup!$P:$P,$B77,Points_Lookup!$R:$R),IF($B$4="R&amp;T Level 6 - Clinical Associate Professors and Clinical Readers (Vet School)",$C77-SUMIF(Points_Lookup!$W:$W,$B77,Points_Lookup!$Y:$Y),"")))</f>
        <v/>
      </c>
      <c r="T77" s="28" t="str">
        <f ca="1">IF(B77="","",IF($B$4="R&amp;T Level 5 - Clinical Lecturers (Vet School)",SUMIF(Points_Lookup!$P:$P,$B77,Points_Lookup!$T:$T),IF($B$4="R&amp;T Level 6 - Clinical Associate Professors and Clinical Readers (Vet School)",SUMIF(Points_Lookup!$W:$W,$B77,Points_Lookup!$AA:$AA),"")))</f>
        <v/>
      </c>
      <c r="U77" s="29" t="str">
        <f t="shared" ca="1" si="12"/>
        <v/>
      </c>
    </row>
    <row r="78" spans="2:26" x14ac:dyDescent="0.25">
      <c r="B78" s="4" t="str">
        <f ca="1">IFERROR(INDEX(Points_Lookup!$A:$A,MATCH($Z80,Points_Lookup!$AH:$AH,0)),"")</f>
        <v/>
      </c>
      <c r="C78" s="25" t="str">
        <f ca="1">IF(B78="","",IF($B$4="Apprenticeship",SUMIF(Points_Lookup!$AD:$AD,B78,Points_Lookup!$AF:$AF),IF(AND(OR($B$4="New Consultant Contract"),$B78&lt;&gt;""),INDEX(Points_Lookup!$N:$N,MATCH($B78,Points_Lookup!$M:$M,0)),IF(AND(OR($B$4="Clinical Lecturer / Medical Research Fellow",$B$4="Clinical Consultant - Old Contract (GP)"),$B78&lt;&gt;""),INDEX(Points_Lookup!$K:$K,MATCH($B78,Points_Lookup!$J:$J,0)),IF(AND(OR($B$4="APM Level 7",$B$4="R&amp;T Level 7",$B$4="APM Level 8"),B78&lt;&gt;""),INDEX(Points_Lookup!$E:$E,MATCH($Z78,Points_Lookup!$AH:$AH,0)),IF($B$4="R&amp;T Level 5 - Clinical Lecturers (Vet School)",SUMIF(Points_Lookup!$P:$P,$B78,Points_Lookup!$S:$S),IF($B$4="R&amp;T Level 6 - Clinical Associate Professors and Clinical Readers (Vet School)",SUMIF(Points_Lookup!$W:$W,$B78,Points_Lookup!$Z:$Z),IFERROR(INDEX(Points_Lookup!$B:$B,MATCH($Z78,Points_Lookup!$AH:$AH,0)),""))))))))</f>
        <v/>
      </c>
      <c r="D78" s="40"/>
      <c r="E78" s="25" t="str">
        <f ca="1">IF($B78="","",IF(AND($B$4="Salary Points 3 to 57",B78&lt;Thresholds_Rates!$C$16),"-",IF(SUMIF(Grades!$A:$A,$B$4,Grades!$BO:$BO)=0,"-",IF(AND($B$4="Salary Points 3 to 57",B78&gt;=Thresholds_Rates!$C$16),$C78*Thresholds_Rates!$F$15,IF(AND(OR($B$4="New Consultant Contract"),$B78&lt;&gt;""),$C78*Thresholds_Rates!$F$15,IF(AND(OR($B$4="Clinical Lecturer / Medical Research Fellow",$B$4="Clinical Consultant - Old Contract (GP)"),$B78&lt;&gt;""),$C78*Thresholds_Rates!$F$15,IF(OR($B$4="APM Level 7",$B$4="R&amp;T Level 7"),$C78*Thresholds_Rates!$F$15,IF(SUMIF(Grades!$A:$A,$B$4,Grades!$BO:$BO)=1,$C78*Thresholds_Rates!$F$15,""))))))))</f>
        <v/>
      </c>
      <c r="F78" s="25" t="str">
        <f ca="1">IF(B78="","",IF($B$4="Salary Points 1 to 57","-",IF(SUMIF(Grades!$A:$A,$B$4,Grades!$BP:$BP)=0,"-",IF(AND(OR($B$4="New Consultant Contract"),$B78&lt;&gt;""),$C78*Thresholds_Rates!$F$16,IF(AND(OR($B$4="Clinical Lecturer / Medical Research Fellow",$B$4="Clinical Consultant - Old Contract (GP)"),$B78&lt;&gt;""),$C78*Thresholds_Rates!$F$16,IF(AND(OR($B$4="APM Level 7",$B$4="R&amp;T Level 7"),E78&lt;&gt;""),$C78*Thresholds_Rates!$F$16,IF(SUMIF(Grades!$A:$A,$B$4,Grades!$BP:$BP)=1,$C78*Thresholds_Rates!$F$16,"")))))))</f>
        <v/>
      </c>
      <c r="G78" s="25" t="str">
        <f ca="1">IF(B78="","",IF(SUMIF(Grades!$A:$A,$B$4,Grades!$BQ:$BQ)=0,"-",IF(AND($B$4="Salary Points 1 to 57",B78&gt;Thresholds_Rates!$C$17),"-",IF(AND($B$4="Salary Points 1 to 57",B78&lt;=Thresholds_Rates!$C$17),$C78*Thresholds_Rates!$F$17,IF(AND(OR($B$4="New Consultant Contract"),$B78&lt;&gt;""),$C78*Thresholds_Rates!$F$17,IF(AND(OR($B$4="Clinical Lecturer / Medical Research Fellow",$B$4="Clinical Consultant - Old Contract (GP)"),$B78&lt;&gt;""),$C78*Thresholds_Rates!$F$17,IF(AND(OR($B$4="APM Level 7",$B$4="R&amp;T Level 7"),F78&lt;&gt;""),$C78*Thresholds_Rates!$F$17,IF(SUMIF(Grades!$A:$A,$B$4,Grades!$BQ:$BQ)=1,$C78*Thresholds_Rates!$F$17,""))))))))</f>
        <v/>
      </c>
      <c r="H78" s="25" t="str">
        <f ca="1">IF($B78="","",ROUND(($C78-(Thresholds_Rates!$C$5*12))*Thresholds_Rates!$C$10,0))</f>
        <v/>
      </c>
      <c r="I78" s="25" t="str">
        <f ca="1">IF(B78="","",(C78*Thresholds_Rates!$C$12))</f>
        <v/>
      </c>
      <c r="J78" s="25" t="str">
        <f ca="1">IF(B78="","",IF(AND($B$4="Salary Points 1 to 57",B78&gt;Thresholds_Rates!$C$17),"-",IF(SUMIF(Grades!$A:$A,$B$4,Grades!$BR:$BR)=0,"-",IF(AND($B$4="Salary Points 1 to 57",B78&lt;=Thresholds_Rates!$C$17),$C78*Thresholds_Rates!$F$18,IF(AND(OR($B$4="New Consultant Contract"),$B78&lt;&gt;""),$C78*Thresholds_Rates!$F$18,IF(AND(OR($B$4="Clinical Lecturer / Medical Research Fellow",$B$4="Clinical Consultant - Old Contract (GP)"),$B78&lt;&gt;""),$C78*Thresholds_Rates!$F$18,IF(AND(OR($B$4="APM Level 7",$B$4="R&amp;T Level 7"),H78&lt;&gt;""),$C78*Thresholds_Rates!$F$18,IF(SUMIF(Grades!$A:$A,$B$4,Grades!$BQ:$BQ)=1,$C78*Thresholds_Rates!$F$18,""))))))))</f>
        <v/>
      </c>
      <c r="K78" s="4"/>
      <c r="L78" s="25" t="str">
        <f t="shared" ca="1" si="13"/>
        <v/>
      </c>
      <c r="M78" s="25" t="str">
        <f t="shared" ca="1" si="14"/>
        <v/>
      </c>
      <c r="N78" s="25" t="str">
        <f t="shared" ca="1" si="15"/>
        <v/>
      </c>
      <c r="O78" s="25" t="str">
        <f t="shared" ca="1" si="16"/>
        <v/>
      </c>
      <c r="P78" s="25" t="str">
        <f t="shared" ca="1" si="17"/>
        <v/>
      </c>
      <c r="R78" s="28" t="str">
        <f ca="1">IF(B78="","",IF($B$4="R&amp;T Level 5 - Clinical Lecturers (Vet School)",SUMIF(Points_Lookup!$P:$P,$B78,Points_Lookup!$Q:$Q),IF($B$4="R&amp;T Level 6 - Clinical Associate Professors and Clinical Readers (Vet School)",SUMIF(Points_Lookup!$W:$W,$B78,Points_Lookup!$X:$X),"")))</f>
        <v/>
      </c>
      <c r="S78" s="29" t="str">
        <f ca="1">IF(B78="","",IF($B$4="R&amp;T Level 5 - Clinical Lecturers (Vet School)",$C78-SUMIF(Points_Lookup!$P:$P,$B78,Points_Lookup!$R:$R),IF($B$4="R&amp;T Level 6 - Clinical Associate Professors and Clinical Readers (Vet School)",$C78-SUMIF(Points_Lookup!$W:$W,$B78,Points_Lookup!$Y:$Y),"")))</f>
        <v/>
      </c>
      <c r="T78" s="28" t="str">
        <f ca="1">IF(B78="","",IF($B$4="R&amp;T Level 5 - Clinical Lecturers (Vet School)",SUMIF(Points_Lookup!$P:$P,$B78,Points_Lookup!$T:$T),IF($B$4="R&amp;T Level 6 - Clinical Associate Professors and Clinical Readers (Vet School)",SUMIF(Points_Lookup!$W:$W,$B78,Points_Lookup!$AA:$AA),"")))</f>
        <v/>
      </c>
      <c r="U78" s="29" t="str">
        <f t="shared" ca="1" si="12"/>
        <v/>
      </c>
    </row>
    <row r="79" spans="2:26" x14ac:dyDescent="0.25">
      <c r="B79" s="4" t="str">
        <f ca="1">IFERROR(INDEX(Points_Lookup!$A:$A,MATCH($Z81,Points_Lookup!$AH:$AH,0)),"")</f>
        <v/>
      </c>
      <c r="C79" s="25" t="str">
        <f ca="1">IF(B79="","",IF($B$4="Apprenticeship",SUMIF(Points_Lookup!$AD:$AD,B79,Points_Lookup!$AF:$AF),IF(AND(OR($B$4="New Consultant Contract"),$B79&lt;&gt;""),INDEX(Points_Lookup!$N:$N,MATCH($B79,Points_Lookup!$M:$M,0)),IF(AND(OR($B$4="Clinical Lecturer / Medical Research Fellow",$B$4="Clinical Consultant - Old Contract (GP)"),$B79&lt;&gt;""),INDEX(Points_Lookup!$K:$K,MATCH($B79,Points_Lookup!$J:$J,0)),IF(AND(OR($B$4="APM Level 7",$B$4="R&amp;T Level 7",$B$4="APM Level 8"),B79&lt;&gt;""),INDEX(Points_Lookup!$E:$E,MATCH($Z79,Points_Lookup!$AH:$AH,0)),IF($B$4="R&amp;T Level 5 - Clinical Lecturers (Vet School)",SUMIF(Points_Lookup!$P:$P,$B79,Points_Lookup!$S:$S),IF($B$4="R&amp;T Level 6 - Clinical Associate Professors and Clinical Readers (Vet School)",SUMIF(Points_Lookup!$W:$W,$B79,Points_Lookup!$Z:$Z),IFERROR(INDEX(Points_Lookup!$B:$B,MATCH($Z79,Points_Lookup!$AH:$AH,0)),""))))))))</f>
        <v/>
      </c>
      <c r="D79" s="40"/>
      <c r="E79" s="25" t="str">
        <f ca="1">IF($B79="","",IF(AND($B$4="Salary Points 3 to 57",B79&lt;Thresholds_Rates!$C$16),"-",IF(SUMIF(Grades!$A:$A,$B$4,Grades!$BO:$BO)=0,"-",IF(AND($B$4="Salary Points 3 to 57",B79&gt;=Thresholds_Rates!$C$16),$C79*Thresholds_Rates!$F$15,IF(AND(OR($B$4="New Consultant Contract"),$B79&lt;&gt;""),$C79*Thresholds_Rates!$F$15,IF(AND(OR($B$4="Clinical Lecturer / Medical Research Fellow",$B$4="Clinical Consultant - Old Contract (GP)"),$B79&lt;&gt;""),$C79*Thresholds_Rates!$F$15,IF(OR($B$4="APM Level 7",$B$4="R&amp;T Level 7"),$C79*Thresholds_Rates!$F$15,IF(SUMIF(Grades!$A:$A,$B$4,Grades!$BO:$BO)=1,$C79*Thresholds_Rates!$F$15,""))))))))</f>
        <v/>
      </c>
      <c r="F79" s="25" t="str">
        <f ca="1">IF(B79="","",IF($B$4="Salary Points 1 to 57","-",IF(SUMIF(Grades!$A:$A,$B$4,Grades!$BP:$BP)=0,"-",IF(AND(OR($B$4="New Consultant Contract"),$B79&lt;&gt;""),$C79*Thresholds_Rates!$F$16,IF(AND(OR($B$4="Clinical Lecturer / Medical Research Fellow",$B$4="Clinical Consultant - Old Contract (GP)"),$B79&lt;&gt;""),$C79*Thresholds_Rates!$F$16,IF(AND(OR($B$4="APM Level 7",$B$4="R&amp;T Level 7"),E79&lt;&gt;""),$C79*Thresholds_Rates!$F$16,IF(SUMIF(Grades!$A:$A,$B$4,Grades!$BP:$BP)=1,$C79*Thresholds_Rates!$F$16,"")))))))</f>
        <v/>
      </c>
      <c r="G79" s="25" t="str">
        <f ca="1">IF(B79="","",IF(SUMIF(Grades!$A:$A,$B$4,Grades!$BQ:$BQ)=0,"-",IF(AND($B$4="Salary Points 1 to 57",B79&gt;Thresholds_Rates!$C$17),"-",IF(AND($B$4="Salary Points 1 to 57",B79&lt;=Thresholds_Rates!$C$17),$C79*Thresholds_Rates!$F$17,IF(AND(OR($B$4="New Consultant Contract"),$B79&lt;&gt;""),$C79*Thresholds_Rates!$F$17,IF(AND(OR($B$4="Clinical Lecturer / Medical Research Fellow",$B$4="Clinical Consultant - Old Contract (GP)"),$B79&lt;&gt;""),$C79*Thresholds_Rates!$F$17,IF(AND(OR($B$4="APM Level 7",$B$4="R&amp;T Level 7"),F79&lt;&gt;""),$C79*Thresholds_Rates!$F$17,IF(SUMIF(Grades!$A:$A,$B$4,Grades!$BQ:$BQ)=1,$C79*Thresholds_Rates!$F$17,""))))))))</f>
        <v/>
      </c>
      <c r="H79" s="25" t="str">
        <f ca="1">IF($B79="","",ROUND(($C79-(Thresholds_Rates!$C$5*12))*Thresholds_Rates!$C$10,0))</f>
        <v/>
      </c>
      <c r="I79" s="25" t="str">
        <f ca="1">IF(B79="","",(C79*Thresholds_Rates!$C$12))</f>
        <v/>
      </c>
      <c r="J79" s="25" t="str">
        <f ca="1">IF(B79="","",IF(AND($B$4="Salary Points 1 to 57",B79&gt;Thresholds_Rates!$C$17),"-",IF(SUMIF(Grades!$A:$A,$B$4,Grades!$BR:$BR)=0,"-",IF(AND($B$4="Salary Points 1 to 57",B79&lt;=Thresholds_Rates!$C$17),$C79*Thresholds_Rates!$F$18,IF(AND(OR($B$4="New Consultant Contract"),$B79&lt;&gt;""),$C79*Thresholds_Rates!$F$18,IF(AND(OR($B$4="Clinical Lecturer / Medical Research Fellow",$B$4="Clinical Consultant - Old Contract (GP)"),$B79&lt;&gt;""),$C79*Thresholds_Rates!$F$18,IF(AND(OR($B$4="APM Level 7",$B$4="R&amp;T Level 7"),H79&lt;&gt;""),$C79*Thresholds_Rates!$F$18,IF(SUMIF(Grades!$A:$A,$B$4,Grades!$BQ:$BQ)=1,$C79*Thresholds_Rates!$F$18,""))))))))</f>
        <v/>
      </c>
      <c r="K79" s="4"/>
      <c r="L79" s="25" t="str">
        <f t="shared" ca="1" si="13"/>
        <v/>
      </c>
      <c r="M79" s="25" t="str">
        <f t="shared" ca="1" si="14"/>
        <v/>
      </c>
      <c r="N79" s="25" t="str">
        <f t="shared" ca="1" si="15"/>
        <v/>
      </c>
      <c r="O79" s="25" t="str">
        <f t="shared" ca="1" si="16"/>
        <v/>
      </c>
      <c r="P79" s="25" t="str">
        <f t="shared" ca="1" si="17"/>
        <v/>
      </c>
      <c r="R79" s="28" t="str">
        <f ca="1">IF(B79="","",IF($B$4="R&amp;T Level 5 - Clinical Lecturers (Vet School)",SUMIF(Points_Lookup!$P:$P,$B79,Points_Lookup!$Q:$Q),IF($B$4="R&amp;T Level 6 - Clinical Associate Professors and Clinical Readers (Vet School)",SUMIF(Points_Lookup!$W:$W,$B79,Points_Lookup!$X:$X),"")))</f>
        <v/>
      </c>
      <c r="S79" s="29" t="str">
        <f ca="1">IF(B79="","",IF($B$4="R&amp;T Level 5 - Clinical Lecturers (Vet School)",$C79-SUMIF(Points_Lookup!$P:$P,$B79,Points_Lookup!$R:$R),IF($B$4="R&amp;T Level 6 - Clinical Associate Professors and Clinical Readers (Vet School)",$C79-SUMIF(Points_Lookup!$W:$W,$B79,Points_Lookup!$Y:$Y),"")))</f>
        <v/>
      </c>
      <c r="T79" s="28" t="str">
        <f ca="1">IF(B79="","",IF($B$4="R&amp;T Level 5 - Clinical Lecturers (Vet School)",SUMIF(Points_Lookup!$P:$P,$B79,Points_Lookup!$T:$T),IF($B$4="R&amp;T Level 6 - Clinical Associate Professors and Clinical Readers (Vet School)",SUMIF(Points_Lookup!$W:$W,$B79,Points_Lookup!$AA:$AA),"")))</f>
        <v/>
      </c>
      <c r="U79" s="29" t="str">
        <f t="shared" ca="1" si="12"/>
        <v/>
      </c>
    </row>
    <row r="80" spans="2:26" x14ac:dyDescent="0.25">
      <c r="B80" s="4" t="str">
        <f ca="1">IFERROR(INDEX(Points_Lookup!$A:$A,MATCH($Z82,Points_Lookup!$AH:$AH,0)),"")</f>
        <v/>
      </c>
      <c r="C80" s="25" t="str">
        <f ca="1">IF(B80="","",IF($B$4="Apprenticeship",SUMIF(Points_Lookup!$AD:$AD,B80,Points_Lookup!$AF:$AF),IF(AND(OR($B$4="New Consultant Contract"),$B80&lt;&gt;""),INDEX(Points_Lookup!$N:$N,MATCH($B80,Points_Lookup!$M:$M,0)),IF(AND(OR($B$4="Clinical Lecturer / Medical Research Fellow",$B$4="Clinical Consultant - Old Contract (GP)"),$B80&lt;&gt;""),INDEX(Points_Lookup!$K:$K,MATCH($B80,Points_Lookup!$J:$J,0)),IF(AND(OR($B$4="APM Level 7",$B$4="R&amp;T Level 7",$B$4="APM Level 8"),B80&lt;&gt;""),INDEX(Points_Lookup!$E:$E,MATCH($Z80,Points_Lookup!$AH:$AH,0)),IF($B$4="R&amp;T Level 5 - Clinical Lecturers (Vet School)",SUMIF(Points_Lookup!$P:$P,$B80,Points_Lookup!$S:$S),IF($B$4="R&amp;T Level 6 - Clinical Associate Professors and Clinical Readers (Vet School)",SUMIF(Points_Lookup!$W:$W,$B80,Points_Lookup!$Z:$Z),IFERROR(INDEX(Points_Lookup!$B:$B,MATCH($Z80,Points_Lookup!$AH:$AH,0)),""))))))))</f>
        <v/>
      </c>
      <c r="D80" s="40"/>
      <c r="E80" s="25" t="str">
        <f ca="1">IF($B80="","",IF(AND($B$4="Salary Points 3 to 57",B80&lt;Thresholds_Rates!$C$16),"-",IF(SUMIF(Grades!$A:$A,$B$4,Grades!$BO:$BO)=0,"-",IF(AND($B$4="Salary Points 3 to 57",B80&gt;=Thresholds_Rates!$C$16),$C80*Thresholds_Rates!$F$15,IF(AND(OR($B$4="New Consultant Contract"),$B80&lt;&gt;""),$C80*Thresholds_Rates!$F$15,IF(AND(OR($B$4="Clinical Lecturer / Medical Research Fellow",$B$4="Clinical Consultant - Old Contract (GP)"),$B80&lt;&gt;""),$C80*Thresholds_Rates!$F$15,IF(OR($B$4="APM Level 7",$B$4="R&amp;T Level 7"),$C80*Thresholds_Rates!$F$15,IF(SUMIF(Grades!$A:$A,$B$4,Grades!$BO:$BO)=1,$C80*Thresholds_Rates!$F$15,""))))))))</f>
        <v/>
      </c>
      <c r="F80" s="25" t="str">
        <f ca="1">IF(B80="","",IF($B$4="Salary Points 1 to 57","-",IF(SUMIF(Grades!$A:$A,$B$4,Grades!$BP:$BP)=0,"-",IF(AND(OR($B$4="New Consultant Contract"),$B80&lt;&gt;""),$C80*Thresholds_Rates!$F$16,IF(AND(OR($B$4="Clinical Lecturer / Medical Research Fellow",$B$4="Clinical Consultant - Old Contract (GP)"),$B80&lt;&gt;""),$C80*Thresholds_Rates!$F$16,IF(AND(OR($B$4="APM Level 7",$B$4="R&amp;T Level 7"),E80&lt;&gt;""),$C80*Thresholds_Rates!$F$16,IF(SUMIF(Grades!$A:$A,$B$4,Grades!$BP:$BP)=1,$C80*Thresholds_Rates!$F$16,"")))))))</f>
        <v/>
      </c>
      <c r="G80" s="25" t="str">
        <f ca="1">IF(B80="","",IF(SUMIF(Grades!$A:$A,$B$4,Grades!$BQ:$BQ)=0,"-",IF(AND($B$4="Salary Points 1 to 57",B80&gt;Thresholds_Rates!$C$17),"-",IF(AND($B$4="Salary Points 1 to 57",B80&lt;=Thresholds_Rates!$C$17),$C80*Thresholds_Rates!$F$17,IF(AND(OR($B$4="New Consultant Contract"),$B80&lt;&gt;""),$C80*Thresholds_Rates!$F$17,IF(AND(OR($B$4="Clinical Lecturer / Medical Research Fellow",$B$4="Clinical Consultant - Old Contract (GP)"),$B80&lt;&gt;""),$C80*Thresholds_Rates!$F$17,IF(AND(OR($B$4="APM Level 7",$B$4="R&amp;T Level 7"),F80&lt;&gt;""),$C80*Thresholds_Rates!$F$17,IF(SUMIF(Grades!$A:$A,$B$4,Grades!$BQ:$BQ)=1,$C80*Thresholds_Rates!$F$17,""))))))))</f>
        <v/>
      </c>
      <c r="H80" s="25" t="str">
        <f ca="1">IF($B80="","",ROUND(($C80-(Thresholds_Rates!$C$5*12))*Thresholds_Rates!$C$10,0))</f>
        <v/>
      </c>
      <c r="I80" s="25" t="str">
        <f ca="1">IF(B80="","",(C80*Thresholds_Rates!$C$12))</f>
        <v/>
      </c>
      <c r="J80" s="25" t="str">
        <f ca="1">IF(B80="","",IF(AND($B$4="Salary Points 1 to 57",B80&gt;Thresholds_Rates!$C$17),"-",IF(SUMIF(Grades!$A:$A,$B$4,Grades!$BR:$BR)=0,"-",IF(AND($B$4="Salary Points 1 to 57",B80&lt;=Thresholds_Rates!$C$17),$C80*Thresholds_Rates!$F$18,IF(AND(OR($B$4="New Consultant Contract"),$B80&lt;&gt;""),$C80*Thresholds_Rates!$F$18,IF(AND(OR($B$4="Clinical Lecturer / Medical Research Fellow",$B$4="Clinical Consultant - Old Contract (GP)"),$B80&lt;&gt;""),$C80*Thresholds_Rates!$F$18,IF(AND(OR($B$4="APM Level 7",$B$4="R&amp;T Level 7"),H80&lt;&gt;""),$C80*Thresholds_Rates!$F$18,IF(SUMIF(Grades!$A:$A,$B$4,Grades!$BQ:$BQ)=1,$C80*Thresholds_Rates!$F$18,""))))))))</f>
        <v/>
      </c>
      <c r="K80" s="4"/>
      <c r="L80" s="25" t="str">
        <f t="shared" ca="1" si="13"/>
        <v/>
      </c>
      <c r="M80" s="25" t="str">
        <f t="shared" ca="1" si="14"/>
        <v/>
      </c>
      <c r="N80" s="25" t="str">
        <f t="shared" ca="1" si="15"/>
        <v/>
      </c>
      <c r="O80" s="25" t="str">
        <f t="shared" ca="1" si="16"/>
        <v/>
      </c>
      <c r="P80" s="25" t="str">
        <f t="shared" ca="1" si="17"/>
        <v/>
      </c>
      <c r="R80" s="28" t="str">
        <f ca="1">IF(B80="","",IF($B$4="R&amp;T Level 5 - Clinical Lecturers (Vet School)",SUMIF(Points_Lookup!$P:$P,$B80,Points_Lookup!$Q:$Q),IF($B$4="R&amp;T Level 6 - Clinical Associate Professors and Clinical Readers (Vet School)",SUMIF(Points_Lookup!$W:$W,$B80,Points_Lookup!$X:$X),"")))</f>
        <v/>
      </c>
      <c r="S80" s="29" t="str">
        <f ca="1">IF(B80="","",IF($B$4="R&amp;T Level 5 - Clinical Lecturers (Vet School)",$C80-SUMIF(Points_Lookup!$P:$P,$B80,Points_Lookup!$R:$R),IF($B$4="R&amp;T Level 6 - Clinical Associate Professors and Clinical Readers (Vet School)",$C80-SUMIF(Points_Lookup!$W:$W,$B80,Points_Lookup!$Y:$Y),"")))</f>
        <v/>
      </c>
      <c r="T80" s="28" t="str">
        <f ca="1">IF(B80="","",IF($B$4="R&amp;T Level 5 - Clinical Lecturers (Vet School)",SUMIF(Points_Lookup!$P:$P,$B80,Points_Lookup!$T:$T),IF($B$4="R&amp;T Level 6 - Clinical Associate Professors and Clinical Readers (Vet School)",SUMIF(Points_Lookup!$W:$W,$B80,Points_Lookup!$AA:$AA),"")))</f>
        <v/>
      </c>
      <c r="U80" s="29" t="str">
        <f t="shared" ca="1" si="12"/>
        <v/>
      </c>
    </row>
    <row r="81" spans="2:21" x14ac:dyDescent="0.25">
      <c r="B81" s="4" t="str">
        <f ca="1">IFERROR(INDEX(Points_Lookup!$A:$A,MATCH($Z83,Points_Lookup!$AH:$AH,0)),"")</f>
        <v/>
      </c>
      <c r="C81" s="25" t="str">
        <f ca="1">IF(B81="","",IF($B$4="Apprenticeship",SUMIF(Points_Lookup!$AD:$AD,B81,Points_Lookup!$AF:$AF),IF(AND(OR($B$4="New Consultant Contract"),$B81&lt;&gt;""),INDEX(Points_Lookup!$N:$N,MATCH($B81,Points_Lookup!$M:$M,0)),IF(AND(OR($B$4="Clinical Lecturer / Medical Research Fellow",$B$4="Clinical Consultant - Old Contract (GP)"),$B81&lt;&gt;""),INDEX(Points_Lookup!$K:$K,MATCH($B81,Points_Lookup!$J:$J,0)),IF(AND(OR($B$4="APM Level 7",$B$4="R&amp;T Level 7",$B$4="APM Level 8"),B81&lt;&gt;""),INDEX(Points_Lookup!$E:$E,MATCH($Z81,Points_Lookup!$AH:$AH,0)),IF($B$4="R&amp;T Level 5 - Clinical Lecturers (Vet School)",SUMIF(Points_Lookup!$P:$P,$B81,Points_Lookup!$S:$S),IF($B$4="R&amp;T Level 6 - Clinical Associate Professors and Clinical Readers (Vet School)",SUMIF(Points_Lookup!$W:$W,$B81,Points_Lookup!$Z:$Z),IFERROR(INDEX(Points_Lookup!$B:$B,MATCH($Z81,Points_Lookup!$AH:$AH,0)),""))))))))</f>
        <v/>
      </c>
      <c r="D81" s="40"/>
      <c r="E81" s="25" t="str">
        <f ca="1">IF($B81="","",IF(AND($B$4="Salary Points 3 to 57",B81&lt;Thresholds_Rates!$C$16),"-",IF(SUMIF(Grades!$A:$A,$B$4,Grades!$BO:$BO)=0,"-",IF(AND($B$4="Salary Points 3 to 57",B81&gt;=Thresholds_Rates!$C$16),$C81*Thresholds_Rates!$F$15,IF(AND(OR($B$4="New Consultant Contract"),$B81&lt;&gt;""),$C81*Thresholds_Rates!$F$15,IF(AND(OR($B$4="Clinical Lecturer / Medical Research Fellow",$B$4="Clinical Consultant - Old Contract (GP)"),$B81&lt;&gt;""),$C81*Thresholds_Rates!$F$15,IF(OR($B$4="APM Level 7",$B$4="R&amp;T Level 7"),$C81*Thresholds_Rates!$F$15,IF(SUMIF(Grades!$A:$A,$B$4,Grades!$BO:$BO)=1,$C81*Thresholds_Rates!$F$15,""))))))))</f>
        <v/>
      </c>
      <c r="F81" s="25" t="str">
        <f ca="1">IF(B81="","",IF($B$4="Salary Points 1 to 57","-",IF(SUMIF(Grades!$A:$A,$B$4,Grades!$BP:$BP)=0,"-",IF(AND(OR($B$4="New Consultant Contract"),$B81&lt;&gt;""),$C81*Thresholds_Rates!$F$16,IF(AND(OR($B$4="Clinical Lecturer / Medical Research Fellow",$B$4="Clinical Consultant - Old Contract (GP)"),$B81&lt;&gt;""),$C81*Thresholds_Rates!$F$16,IF(AND(OR($B$4="APM Level 7",$B$4="R&amp;T Level 7"),E81&lt;&gt;""),$C81*Thresholds_Rates!$F$16,IF(SUMIF(Grades!$A:$A,$B$4,Grades!$BP:$BP)=1,$C81*Thresholds_Rates!$F$16,"")))))))</f>
        <v/>
      </c>
      <c r="G81" s="25" t="str">
        <f ca="1">IF(B81="","",IF(SUMIF(Grades!$A:$A,$B$4,Grades!$BQ:$BQ)=0,"-",IF(AND($B$4="Salary Points 1 to 57",B81&gt;Thresholds_Rates!$C$17),"-",IF(AND($B$4="Salary Points 1 to 57",B81&lt;=Thresholds_Rates!$C$17),$C81*Thresholds_Rates!$F$17,IF(AND(OR($B$4="New Consultant Contract"),$B81&lt;&gt;""),$C81*Thresholds_Rates!$F$17,IF(AND(OR($B$4="Clinical Lecturer / Medical Research Fellow",$B$4="Clinical Consultant - Old Contract (GP)"),$B81&lt;&gt;""),$C81*Thresholds_Rates!$F$17,IF(AND(OR($B$4="APM Level 7",$B$4="R&amp;T Level 7"),F81&lt;&gt;""),$C81*Thresholds_Rates!$F$17,IF(SUMIF(Grades!$A:$A,$B$4,Grades!$BQ:$BQ)=1,$C81*Thresholds_Rates!$F$17,""))))))))</f>
        <v/>
      </c>
      <c r="H81" s="25" t="str">
        <f ca="1">IF($B81="","",ROUND(($C81-(Thresholds_Rates!$C$5*12))*Thresholds_Rates!$C$10,0))</f>
        <v/>
      </c>
      <c r="I81" s="25" t="str">
        <f ca="1">IF(B81="","",(C81*Thresholds_Rates!$C$12))</f>
        <v/>
      </c>
      <c r="J81" s="25" t="str">
        <f ca="1">IF(B81="","",IF(AND($B$4="Salary Points 1 to 57",B81&gt;Thresholds_Rates!$C$17),"-",IF(SUMIF(Grades!$A:$A,$B$4,Grades!$BR:$BR)=0,"-",IF(AND($B$4="Salary Points 1 to 57",B81&lt;=Thresholds_Rates!$C$17),$C81*Thresholds_Rates!$F$18,IF(AND(OR($B$4="New Consultant Contract"),$B81&lt;&gt;""),$C81*Thresholds_Rates!$F$18,IF(AND(OR($B$4="Clinical Lecturer / Medical Research Fellow",$B$4="Clinical Consultant - Old Contract (GP)"),$B81&lt;&gt;""),$C81*Thresholds_Rates!$F$18,IF(AND(OR($B$4="APM Level 7",$B$4="R&amp;T Level 7"),H81&lt;&gt;""),$C81*Thresholds_Rates!$F$18,IF(SUMIF(Grades!$A:$A,$B$4,Grades!$BQ:$BQ)=1,$C81*Thresholds_Rates!$F$18,""))))))))</f>
        <v/>
      </c>
      <c r="K81" s="4"/>
      <c r="L81" s="25" t="str">
        <f t="shared" ca="1" si="13"/>
        <v/>
      </c>
      <c r="M81" s="25" t="str">
        <f t="shared" ca="1" si="14"/>
        <v/>
      </c>
      <c r="N81" s="25" t="str">
        <f t="shared" ca="1" si="15"/>
        <v/>
      </c>
      <c r="O81" s="25" t="str">
        <f t="shared" ca="1" si="16"/>
        <v/>
      </c>
      <c r="P81" s="25" t="str">
        <f t="shared" ca="1" si="17"/>
        <v/>
      </c>
      <c r="R81" s="28" t="str">
        <f ca="1">IF(B81="","",IF($B$4="R&amp;T Level 5 - Clinical Lecturers (Vet School)",SUMIF(Points_Lookup!$P:$P,$B81,Points_Lookup!$Q:$Q),IF($B$4="R&amp;T Level 6 - Clinical Associate Professors and Clinical Readers (Vet School)",SUMIF(Points_Lookup!$W:$W,$B81,Points_Lookup!$X:$X),"")))</f>
        <v/>
      </c>
      <c r="S81" s="29" t="str">
        <f ca="1">IF(B81="","",IF($B$4="R&amp;T Level 5 - Clinical Lecturers (Vet School)",$C81-SUMIF(Points_Lookup!$P:$P,$B81,Points_Lookup!$R:$R),IF($B$4="R&amp;T Level 6 - Clinical Associate Professors and Clinical Readers (Vet School)",$C81-SUMIF(Points_Lookup!$W:$W,$B81,Points_Lookup!$Y:$Y),"")))</f>
        <v/>
      </c>
      <c r="T81" s="28" t="str">
        <f ca="1">IF(B81="","",IF($B$4="R&amp;T Level 5 - Clinical Lecturers (Vet School)",SUMIF(Points_Lookup!$P:$P,$B81,Points_Lookup!$T:$T),IF($B$4="R&amp;T Level 6 - Clinical Associate Professors and Clinical Readers (Vet School)",SUMIF(Points_Lookup!$W:$W,$B81,Points_Lookup!$AA:$AA),"")))</f>
        <v/>
      </c>
      <c r="U81" s="29" t="str">
        <f t="shared" ca="1" si="12"/>
        <v/>
      </c>
    </row>
    <row r="82" spans="2:21" x14ac:dyDescent="0.25">
      <c r="B82" s="4" t="str">
        <f ca="1">IFERROR(INDEX(Points_Lookup!$A:$A,MATCH($Z84,Points_Lookup!$AH:$AH,0)),"")</f>
        <v/>
      </c>
      <c r="C82" s="25" t="str">
        <f ca="1">IF(B82="","",IF($B$4="Apprenticeship",SUMIF(Points_Lookup!$AD:$AD,B82,Points_Lookup!$AF:$AF),IF(AND(OR($B$4="New Consultant Contract"),$B82&lt;&gt;""),INDEX(Points_Lookup!$N:$N,MATCH($B82,Points_Lookup!$M:$M,0)),IF(AND(OR($B$4="Clinical Lecturer / Medical Research Fellow",$B$4="Clinical Consultant - Old Contract (GP)"),$B82&lt;&gt;""),INDEX(Points_Lookup!$K:$K,MATCH($B82,Points_Lookup!$J:$J,0)),IF(AND(OR($B$4="APM Level 7",$B$4="R&amp;T Level 7",$B$4="APM Level 8"),B82&lt;&gt;""),INDEX(Points_Lookup!$E:$E,MATCH($Z82,Points_Lookup!$AH:$AH,0)),IF($B$4="R&amp;T Level 5 - Clinical Lecturers (Vet School)",SUMIF(Points_Lookup!$P:$P,$B82,Points_Lookup!$S:$S),IF($B$4="R&amp;T Level 6 - Clinical Associate Professors and Clinical Readers (Vet School)",SUMIF(Points_Lookup!$W:$W,$B82,Points_Lookup!$Z:$Z),IFERROR(INDEX(Points_Lookup!$B:$B,MATCH($Z82,Points_Lookup!$AH:$AH,0)),""))))))))</f>
        <v/>
      </c>
      <c r="D82" s="40"/>
      <c r="E82" s="25" t="str">
        <f ca="1">IF($B82="","",IF(AND($B$4="Salary Points 3 to 57",B82&lt;Thresholds_Rates!$C$16),"-",IF(SUMIF(Grades!$A:$A,$B$4,Grades!$BO:$BO)=0,"-",IF(AND($B$4="Salary Points 3 to 57",B82&gt;=Thresholds_Rates!$C$16),$C82*Thresholds_Rates!$F$15,IF(AND(OR($B$4="New Consultant Contract"),$B82&lt;&gt;""),$C82*Thresholds_Rates!$F$15,IF(AND(OR($B$4="Clinical Lecturer / Medical Research Fellow",$B$4="Clinical Consultant - Old Contract (GP)"),$B82&lt;&gt;""),$C82*Thresholds_Rates!$F$15,IF(OR($B$4="APM Level 7",$B$4="R&amp;T Level 7"),$C82*Thresholds_Rates!$F$15,IF(SUMIF(Grades!$A:$A,$B$4,Grades!$BO:$BO)=1,$C82*Thresholds_Rates!$F$15,""))))))))</f>
        <v/>
      </c>
      <c r="F82" s="25" t="str">
        <f ca="1">IF(B82="","",IF($B$4="Salary Points 1 to 57","-",IF(SUMIF(Grades!$A:$A,$B$4,Grades!$BP:$BP)=0,"-",IF(AND(OR($B$4="New Consultant Contract"),$B82&lt;&gt;""),$C82*Thresholds_Rates!$F$16,IF(AND(OR($B$4="Clinical Lecturer / Medical Research Fellow",$B$4="Clinical Consultant - Old Contract (GP)"),$B82&lt;&gt;""),$C82*Thresholds_Rates!$F$16,IF(AND(OR($B$4="APM Level 7",$B$4="R&amp;T Level 7"),E82&lt;&gt;""),$C82*Thresholds_Rates!$F$16,IF(SUMIF(Grades!$A:$A,$B$4,Grades!$BP:$BP)=1,$C82*Thresholds_Rates!$F$16,"")))))))</f>
        <v/>
      </c>
      <c r="G82" s="25" t="str">
        <f ca="1">IF(B82="","",IF(SUMIF(Grades!$A:$A,$B$4,Grades!$BQ:$BQ)=0,"-",IF(AND($B$4="Salary Points 1 to 57",B82&gt;Thresholds_Rates!$C$17),"-",IF(AND($B$4="Salary Points 1 to 57",B82&lt;=Thresholds_Rates!$C$17),$C82*Thresholds_Rates!$F$17,IF(AND(OR($B$4="New Consultant Contract"),$B82&lt;&gt;""),$C82*Thresholds_Rates!$F$17,IF(AND(OR($B$4="Clinical Lecturer / Medical Research Fellow",$B$4="Clinical Consultant - Old Contract (GP)"),$B82&lt;&gt;""),$C82*Thresholds_Rates!$F$17,IF(AND(OR($B$4="APM Level 7",$B$4="R&amp;T Level 7"),F82&lt;&gt;""),$C82*Thresholds_Rates!$F$17,IF(SUMIF(Grades!$A:$A,$B$4,Grades!$BQ:$BQ)=1,$C82*Thresholds_Rates!$F$17,""))))))))</f>
        <v/>
      </c>
      <c r="H82" s="25" t="str">
        <f ca="1">IF($B82="","",ROUND(($C82-(Thresholds_Rates!$C$5*12))*Thresholds_Rates!$C$10,0))</f>
        <v/>
      </c>
      <c r="I82" s="25" t="str">
        <f ca="1">IF(B82="","",(C82*Thresholds_Rates!$C$12))</f>
        <v/>
      </c>
      <c r="J82" s="25" t="str">
        <f ca="1">IF(B82="","",IF(AND($B$4="Salary Points 1 to 57",B82&gt;Thresholds_Rates!$C$17),"-",IF(SUMIF(Grades!$A:$A,$B$4,Grades!$BR:$BR)=0,"-",IF(AND($B$4="Salary Points 1 to 57",B82&lt;=Thresholds_Rates!$C$17),$C82*Thresholds_Rates!$F$18,IF(AND(OR($B$4="New Consultant Contract"),$B82&lt;&gt;""),$C82*Thresholds_Rates!$F$18,IF(AND(OR($B$4="Clinical Lecturer / Medical Research Fellow",$B$4="Clinical Consultant - Old Contract (GP)"),$B82&lt;&gt;""),$C82*Thresholds_Rates!$F$18,IF(AND(OR($B$4="APM Level 7",$B$4="R&amp;T Level 7"),H82&lt;&gt;""),$C82*Thresholds_Rates!$F$18,IF(SUMIF(Grades!$A:$A,$B$4,Grades!$BQ:$BQ)=1,$C82*Thresholds_Rates!$F$18,""))))))))</f>
        <v/>
      </c>
      <c r="K82" s="4"/>
      <c r="L82" s="25" t="str">
        <f t="shared" ca="1" si="13"/>
        <v/>
      </c>
      <c r="M82" s="25" t="str">
        <f t="shared" ca="1" si="14"/>
        <v/>
      </c>
      <c r="N82" s="25" t="str">
        <f t="shared" ca="1" si="15"/>
        <v/>
      </c>
      <c r="O82" s="25" t="str">
        <f t="shared" ca="1" si="16"/>
        <v/>
      </c>
      <c r="P82" s="25" t="str">
        <f t="shared" ca="1" si="17"/>
        <v/>
      </c>
      <c r="R82" s="28" t="str">
        <f ca="1">IF(B82="","",IF($B$4="R&amp;T Level 5 - Clinical Lecturers (Vet School)",SUMIF(Points_Lookup!$P:$P,$B82,Points_Lookup!$Q:$Q),IF($B$4="R&amp;T Level 6 - Clinical Associate Professors and Clinical Readers (Vet School)",SUMIF(Points_Lookup!$W:$W,$B82,Points_Lookup!$X:$X),"")))</f>
        <v/>
      </c>
      <c r="S82" s="29" t="str">
        <f ca="1">IF(B82="","",IF($B$4="R&amp;T Level 5 - Clinical Lecturers (Vet School)",$C82-SUMIF(Points_Lookup!$P:$P,$B82,Points_Lookup!$R:$R),IF($B$4="R&amp;T Level 6 - Clinical Associate Professors and Clinical Readers (Vet School)",$C82-SUMIF(Points_Lookup!$W:$W,$B82,Points_Lookup!$Y:$Y),"")))</f>
        <v/>
      </c>
      <c r="T82" s="28" t="str">
        <f ca="1">IF(B82="","",IF($B$4="R&amp;T Level 5 - Clinical Lecturers (Vet School)",SUMIF(Points_Lookup!$P:$P,$B82,Points_Lookup!$T:$T),IF($B$4="R&amp;T Level 6 - Clinical Associate Professors and Clinical Readers (Vet School)",SUMIF(Points_Lookup!$W:$W,$B82,Points_Lookup!$AA:$AA),"")))</f>
        <v/>
      </c>
      <c r="U82" s="29" t="str">
        <f t="shared" ca="1" si="12"/>
        <v/>
      </c>
    </row>
    <row r="83" spans="2:21" x14ac:dyDescent="0.25">
      <c r="B83" s="4" t="str">
        <f ca="1">IFERROR(INDEX(Points_Lookup!$A:$A,MATCH($Z85,Points_Lookup!$AH:$AH,0)),"")</f>
        <v/>
      </c>
      <c r="C83" s="25" t="str">
        <f ca="1">IF(B83="","",IF($B$4="Apprenticeship",SUMIF(Points_Lookup!$AD:$AD,B83,Points_Lookup!$AF:$AF),IF(AND(OR($B$4="New Consultant Contract"),$B83&lt;&gt;""),INDEX(Points_Lookup!$N:$N,MATCH($B83,Points_Lookup!$M:$M,0)),IF(AND(OR($B$4="Clinical Lecturer / Medical Research Fellow",$B$4="Clinical Consultant - Old Contract (GP)"),$B83&lt;&gt;""),INDEX(Points_Lookup!$K:$K,MATCH($B83,Points_Lookup!$J:$J,0)),IF(AND(OR($B$4="APM Level 7",$B$4="R&amp;T Level 7",$B$4="APM Level 8"),B83&lt;&gt;""),INDEX(Points_Lookup!$E:$E,MATCH($Z83,Points_Lookup!$AH:$AH,0)),IF($B$4="R&amp;T Level 5 - Clinical Lecturers (Vet School)",SUMIF(Points_Lookup!$P:$P,$B83,Points_Lookup!$S:$S),IF($B$4="R&amp;T Level 6 - Clinical Associate Professors and Clinical Readers (Vet School)",SUMIF(Points_Lookup!$W:$W,$B83,Points_Lookup!$Z:$Z),IFERROR(INDEX(Points_Lookup!$B:$B,MATCH($Z83,Points_Lookup!$AH:$AH,0)),""))))))))</f>
        <v/>
      </c>
      <c r="D83" s="40"/>
      <c r="E83" s="25" t="str">
        <f ca="1">IF($B83="","",IF(AND($B$4="Salary Points 3 to 57",B83&lt;Thresholds_Rates!$C$16),"-",IF(SUMIF(Grades!$A:$A,$B$4,Grades!$BO:$BO)=0,"-",IF(AND($B$4="Salary Points 3 to 57",B83&gt;=Thresholds_Rates!$C$16),$C83*Thresholds_Rates!$F$15,IF(AND(OR($B$4="New Consultant Contract"),$B83&lt;&gt;""),$C83*Thresholds_Rates!$F$15,IF(AND(OR($B$4="Clinical Lecturer / Medical Research Fellow",$B$4="Clinical Consultant - Old Contract (GP)"),$B83&lt;&gt;""),$C83*Thresholds_Rates!$F$15,IF(OR($B$4="APM Level 7",$B$4="R&amp;T Level 7"),$C83*Thresholds_Rates!$F$15,IF(SUMIF(Grades!$A:$A,$B$4,Grades!$BO:$BO)=1,$C83*Thresholds_Rates!$F$15,""))))))))</f>
        <v/>
      </c>
      <c r="F83" s="25" t="str">
        <f ca="1">IF(B83="","",IF($B$4="Salary Points 1 to 57","-",IF(SUMIF(Grades!$A:$A,$B$4,Grades!$BP:$BP)=0,"-",IF(AND(OR($B$4="New Consultant Contract"),$B83&lt;&gt;""),$C83*Thresholds_Rates!$F$16,IF(AND(OR($B$4="Clinical Lecturer / Medical Research Fellow",$B$4="Clinical Consultant - Old Contract (GP)"),$B83&lt;&gt;""),$C83*Thresholds_Rates!$F$16,IF(AND(OR($B$4="APM Level 7",$B$4="R&amp;T Level 7"),E83&lt;&gt;""),$C83*Thresholds_Rates!$F$16,IF(SUMIF(Grades!$A:$A,$B$4,Grades!$BP:$BP)=1,$C83*Thresholds_Rates!$F$16,"")))))))</f>
        <v/>
      </c>
      <c r="G83" s="25" t="str">
        <f ca="1">IF(B83="","",IF(SUMIF(Grades!$A:$A,$B$4,Grades!$BQ:$BQ)=0,"-",IF(AND($B$4="Salary Points 1 to 57",B83&gt;Thresholds_Rates!$C$17),"-",IF(AND($B$4="Salary Points 1 to 57",B83&lt;=Thresholds_Rates!$C$17),$C83*Thresholds_Rates!$F$17,IF(AND(OR($B$4="New Consultant Contract"),$B83&lt;&gt;""),$C83*Thresholds_Rates!$F$17,IF(AND(OR($B$4="Clinical Lecturer / Medical Research Fellow",$B$4="Clinical Consultant - Old Contract (GP)"),$B83&lt;&gt;""),$C83*Thresholds_Rates!$F$17,IF(AND(OR($B$4="APM Level 7",$B$4="R&amp;T Level 7"),F83&lt;&gt;""),$C83*Thresholds_Rates!$F$17,IF(SUMIF(Grades!$A:$A,$B$4,Grades!$BQ:$BQ)=1,$C83*Thresholds_Rates!$F$17,""))))))))</f>
        <v/>
      </c>
      <c r="H83" s="25" t="str">
        <f ca="1">IF($B83="","",ROUND(($C83-(Thresholds_Rates!$C$5*12))*Thresholds_Rates!$C$10,0))</f>
        <v/>
      </c>
      <c r="I83" s="25" t="str">
        <f ca="1">IF(B83="","",(C83*Thresholds_Rates!$C$12))</f>
        <v/>
      </c>
      <c r="J83" s="25" t="str">
        <f ca="1">IF(B83="","",IF(AND($B$4="Salary Points 1 to 57",B83&gt;Thresholds_Rates!$C$17),"-",IF(SUMIF(Grades!$A:$A,$B$4,Grades!$BR:$BR)=0,"-",IF(AND($B$4="Salary Points 1 to 57",B83&lt;=Thresholds_Rates!$C$17),$C83*Thresholds_Rates!$F$18,IF(AND(OR($B$4="New Consultant Contract"),$B83&lt;&gt;""),$C83*Thresholds_Rates!$F$18,IF(AND(OR($B$4="Clinical Lecturer / Medical Research Fellow",$B$4="Clinical Consultant - Old Contract (GP)"),$B83&lt;&gt;""),$C83*Thresholds_Rates!$F$18,IF(AND(OR($B$4="APM Level 7",$B$4="R&amp;T Level 7"),H83&lt;&gt;""),$C83*Thresholds_Rates!$F$18,IF(SUMIF(Grades!$A:$A,$B$4,Grades!$BQ:$BQ)=1,$C83*Thresholds_Rates!$F$18,""))))))))</f>
        <v/>
      </c>
      <c r="K83" s="4"/>
      <c r="L83" s="25" t="str">
        <f t="shared" ca="1" si="13"/>
        <v/>
      </c>
      <c r="M83" s="25" t="str">
        <f t="shared" ca="1" si="14"/>
        <v/>
      </c>
      <c r="N83" s="25" t="str">
        <f t="shared" ca="1" si="15"/>
        <v/>
      </c>
      <c r="O83" s="25" t="str">
        <f t="shared" ca="1" si="16"/>
        <v/>
      </c>
      <c r="P83" s="25" t="str">
        <f t="shared" ca="1" si="17"/>
        <v/>
      </c>
      <c r="R83" s="28" t="str">
        <f ca="1">IF(B83="","",IF($B$4="R&amp;T Level 5 - Clinical Lecturers (Vet School)",SUMIF(Points_Lookup!$P:$P,$B83,Points_Lookup!$Q:$Q),IF($B$4="R&amp;T Level 6 - Clinical Associate Professors and Clinical Readers (Vet School)",SUMIF(Points_Lookup!$W:$W,$B83,Points_Lookup!$X:$X),"")))</f>
        <v/>
      </c>
      <c r="S83" s="29" t="str">
        <f ca="1">IF(B83="","",IF($B$4="R&amp;T Level 5 - Clinical Lecturers (Vet School)",$C83-SUMIF(Points_Lookup!$P:$P,$B83,Points_Lookup!$R:$R),IF($B$4="R&amp;T Level 6 - Clinical Associate Professors and Clinical Readers (Vet School)",$C83-SUMIF(Points_Lookup!$W:$W,$B83,Points_Lookup!$Y:$Y),"")))</f>
        <v/>
      </c>
      <c r="T83" s="28" t="str">
        <f ca="1">IF(B83="","",IF($B$4="R&amp;T Level 5 - Clinical Lecturers (Vet School)",SUMIF(Points_Lookup!$P:$P,$B83,Points_Lookup!$T:$T),IF($B$4="R&amp;T Level 6 - Clinical Associate Professors and Clinical Readers (Vet School)",SUMIF(Points_Lookup!$W:$W,$B83,Points_Lookup!$AA:$AA),"")))</f>
        <v/>
      </c>
      <c r="U83" s="29" t="str">
        <f t="shared" ca="1" si="12"/>
        <v/>
      </c>
    </row>
    <row r="84" spans="2:21" x14ac:dyDescent="0.25">
      <c r="B84" s="4" t="str">
        <f ca="1">IFERROR(INDEX(Points_Lookup!$A:$A,MATCH($Z86,Points_Lookup!$AH:$AH,0)),"")</f>
        <v/>
      </c>
      <c r="C84" s="25" t="str">
        <f ca="1">IF(B84="","",IF($B$4="Apprenticeship",SUMIF(Points_Lookup!$AD:$AD,B84,Points_Lookup!$AF:$AF),IF(AND(OR($B$4="New Consultant Contract"),$B84&lt;&gt;""),INDEX(Points_Lookup!$N:$N,MATCH($B84,Points_Lookup!$M:$M,0)),IF(AND(OR($B$4="Clinical Lecturer / Medical Research Fellow",$B$4="Clinical Consultant - Old Contract (GP)"),$B84&lt;&gt;""),INDEX(Points_Lookup!$K:$K,MATCH($B84,Points_Lookup!$J:$J,0)),IF(AND(OR($B$4="APM Level 7",$B$4="R&amp;T Level 7",$B$4="APM Level 8"),B84&lt;&gt;""),INDEX(Points_Lookup!$E:$E,MATCH($Z84,Points_Lookup!$AH:$AH,0)),IF($B$4="R&amp;T Level 5 - Clinical Lecturers (Vet School)",SUMIF(Points_Lookup!$P:$P,$B84,Points_Lookup!$S:$S),IF($B$4="R&amp;T Level 6 - Clinical Associate Professors and Clinical Readers (Vet School)",SUMIF(Points_Lookup!$W:$W,$B84,Points_Lookup!$Z:$Z),IFERROR(INDEX(Points_Lookup!$B:$B,MATCH($Z84,Points_Lookup!$AH:$AH,0)),""))))))))</f>
        <v/>
      </c>
      <c r="D84" s="40"/>
      <c r="E84" s="25" t="str">
        <f ca="1">IF($B84="","",IF(AND($B$4="Salary Points 3 to 57",B84&lt;Thresholds_Rates!$C$16),"-",IF(SUMIF(Grades!$A:$A,$B$4,Grades!$BO:$BO)=0,"-",IF(AND($B$4="Salary Points 3 to 57",B84&gt;=Thresholds_Rates!$C$16),$C84*Thresholds_Rates!$F$15,IF(AND(OR($B$4="New Consultant Contract"),$B84&lt;&gt;""),$C84*Thresholds_Rates!$F$15,IF(AND(OR($B$4="Clinical Lecturer / Medical Research Fellow",$B$4="Clinical Consultant - Old Contract (GP)"),$B84&lt;&gt;""),$C84*Thresholds_Rates!$F$15,IF(OR($B$4="APM Level 7",$B$4="R&amp;T Level 7"),$C84*Thresholds_Rates!$F$15,IF(SUMIF(Grades!$A:$A,$B$4,Grades!$BO:$BO)=1,$C84*Thresholds_Rates!$F$15,""))))))))</f>
        <v/>
      </c>
      <c r="F84" s="25" t="str">
        <f ca="1">IF(B84="","",IF($B$4="Salary Points 1 to 57","-",IF(SUMIF(Grades!$A:$A,$B$4,Grades!$BP:$BP)=0,"-",IF(AND(OR($B$4="New Consultant Contract"),$B84&lt;&gt;""),$C84*Thresholds_Rates!$F$16,IF(AND(OR($B$4="Clinical Lecturer / Medical Research Fellow",$B$4="Clinical Consultant - Old Contract (GP)"),$B84&lt;&gt;""),$C84*Thresholds_Rates!$F$16,IF(AND(OR($B$4="APM Level 7",$B$4="R&amp;T Level 7"),E84&lt;&gt;""),$C84*Thresholds_Rates!$F$16,IF(SUMIF(Grades!$A:$A,$B$4,Grades!$BP:$BP)=1,$C84*Thresholds_Rates!$F$16,"")))))))</f>
        <v/>
      </c>
      <c r="G84" s="25" t="str">
        <f ca="1">IF(B84="","",IF(SUMIF(Grades!$A:$A,$B$4,Grades!$BQ:$BQ)=0,"-",IF(AND($B$4="Salary Points 1 to 57",B84&gt;Thresholds_Rates!$C$17),"-",IF(AND($B$4="Salary Points 1 to 57",B84&lt;=Thresholds_Rates!$C$17),$C84*Thresholds_Rates!$F$17,IF(AND(OR($B$4="New Consultant Contract"),$B84&lt;&gt;""),$C84*Thresholds_Rates!$F$17,IF(AND(OR($B$4="Clinical Lecturer / Medical Research Fellow",$B$4="Clinical Consultant - Old Contract (GP)"),$B84&lt;&gt;""),$C84*Thresholds_Rates!$F$17,IF(AND(OR($B$4="APM Level 7",$B$4="R&amp;T Level 7"),F84&lt;&gt;""),$C84*Thresholds_Rates!$F$17,IF(SUMIF(Grades!$A:$A,$B$4,Grades!$BQ:$BQ)=1,$C84*Thresholds_Rates!$F$17,""))))))))</f>
        <v/>
      </c>
      <c r="H84" s="25" t="str">
        <f ca="1">IF($B84="","",ROUND(($C84-(Thresholds_Rates!$C$5*12))*Thresholds_Rates!$C$10,0))</f>
        <v/>
      </c>
      <c r="I84" s="25" t="str">
        <f ca="1">IF(B84="","",(C84*Thresholds_Rates!$C$12))</f>
        <v/>
      </c>
      <c r="J84" s="25" t="str">
        <f ca="1">IF(B84="","",IF(AND($B$4="Salary Points 1 to 57",B84&gt;Thresholds_Rates!$C$17),"-",IF(SUMIF(Grades!$A:$A,$B$4,Grades!$BR:$BR)=0,"-",IF(AND($B$4="Salary Points 1 to 57",B84&lt;=Thresholds_Rates!$C$17),$C84*Thresholds_Rates!$F$18,IF(AND(OR($B$4="New Consultant Contract"),$B84&lt;&gt;""),$C84*Thresholds_Rates!$F$18,IF(AND(OR($B$4="Clinical Lecturer / Medical Research Fellow",$B$4="Clinical Consultant - Old Contract (GP)"),$B84&lt;&gt;""),$C84*Thresholds_Rates!$F$18,IF(AND(OR($B$4="APM Level 7",$B$4="R&amp;T Level 7"),H84&lt;&gt;""),$C84*Thresholds_Rates!$F$18,IF(SUMIF(Grades!$A:$A,$B$4,Grades!$BQ:$BQ)=1,$C84*Thresholds_Rates!$F$18,""))))))))</f>
        <v/>
      </c>
      <c r="K84" s="4"/>
      <c r="L84" s="25" t="str">
        <f t="shared" ca="1" si="13"/>
        <v/>
      </c>
      <c r="M84" s="25" t="str">
        <f t="shared" ca="1" si="14"/>
        <v/>
      </c>
      <c r="N84" s="25" t="str">
        <f t="shared" ca="1" si="15"/>
        <v/>
      </c>
      <c r="O84" s="25" t="str">
        <f t="shared" ca="1" si="16"/>
        <v/>
      </c>
      <c r="P84" s="25" t="str">
        <f t="shared" ca="1" si="17"/>
        <v/>
      </c>
      <c r="R84" s="28" t="str">
        <f ca="1">IF(B84="","",IF($B$4="R&amp;T Level 5 - Clinical Lecturers (Vet School)",SUMIF(Points_Lookup!$P:$P,$B84,Points_Lookup!$Q:$Q),IF($B$4="R&amp;T Level 6 - Clinical Associate Professors and Clinical Readers (Vet School)",SUMIF(Points_Lookup!$W:$W,$B84,Points_Lookup!$X:$X),"")))</f>
        <v/>
      </c>
      <c r="S84" s="29" t="str">
        <f ca="1">IF(B84="","",IF($B$4="R&amp;T Level 5 - Clinical Lecturers (Vet School)",$C84-SUMIF(Points_Lookup!$P:$P,$B84,Points_Lookup!$R:$R),IF($B$4="R&amp;T Level 6 - Clinical Associate Professors and Clinical Readers (Vet School)",$C84-SUMIF(Points_Lookup!$W:$W,$B84,Points_Lookup!$Y:$Y),"")))</f>
        <v/>
      </c>
      <c r="T84" s="28" t="str">
        <f ca="1">IF(B84="","",IF($B$4="R&amp;T Level 5 - Clinical Lecturers (Vet School)",SUMIF(Points_Lookup!$P:$P,$B84,Points_Lookup!$T:$T),IF($B$4="R&amp;T Level 6 - Clinical Associate Professors and Clinical Readers (Vet School)",SUMIF(Points_Lookup!$W:$W,$B84,Points_Lookup!$AA:$AA),"")))</f>
        <v/>
      </c>
      <c r="U84" s="29" t="str">
        <f t="shared" ca="1" si="12"/>
        <v/>
      </c>
    </row>
    <row r="85" spans="2:21" x14ac:dyDescent="0.25">
      <c r="B85" s="4" t="str">
        <f ca="1">IFERROR(INDEX(Points_Lookup!$A:$A,MATCH($Z87,Points_Lookup!$AH:$AH,0)),"")</f>
        <v/>
      </c>
      <c r="C85" s="25" t="str">
        <f ca="1">IF(B85="","",IF($B$4="Apprenticeship",SUMIF(Points_Lookup!$AD:$AD,B85,Points_Lookup!$AF:$AF),IF(AND(OR($B$4="New Consultant Contract"),$B85&lt;&gt;""),INDEX(Points_Lookup!$N:$N,MATCH($B85,Points_Lookup!$M:$M,0)),IF(AND(OR($B$4="Clinical Lecturer / Medical Research Fellow",$B$4="Clinical Consultant - Old Contract (GP)"),$B85&lt;&gt;""),INDEX(Points_Lookup!$K:$K,MATCH($B85,Points_Lookup!$J:$J,0)),IF(AND(OR($B$4="APM Level 7",$B$4="R&amp;T Level 7",$B$4="APM Level 8"),B85&lt;&gt;""),INDEX(Points_Lookup!$E:$E,MATCH($Z85,Points_Lookup!$AH:$AH,0)),IF($B$4="R&amp;T Level 5 - Clinical Lecturers (Vet School)",SUMIF(Points_Lookup!$P:$P,$B85,Points_Lookup!$S:$S),IF($B$4="R&amp;T Level 6 - Clinical Associate Professors and Clinical Readers (Vet School)",SUMIF(Points_Lookup!$W:$W,$B85,Points_Lookup!$Z:$Z),IFERROR(INDEX(Points_Lookup!$B:$B,MATCH($Z85,Points_Lookup!$AH:$AH,0)),""))))))))</f>
        <v/>
      </c>
      <c r="D85" s="40"/>
      <c r="E85" s="25" t="str">
        <f ca="1">IF($B85="","",IF(AND($B$4="Salary Points 3 to 57",B85&lt;Thresholds_Rates!$C$16),"-",IF(SUMIF(Grades!$A:$A,$B$4,Grades!$BO:$BO)=0,"-",IF(AND($B$4="Salary Points 3 to 57",B85&gt;=Thresholds_Rates!$C$16),$C85*Thresholds_Rates!$F$15,IF(AND(OR($B$4="New Consultant Contract"),$B85&lt;&gt;""),$C85*Thresholds_Rates!$F$15,IF(AND(OR($B$4="Clinical Lecturer / Medical Research Fellow",$B$4="Clinical Consultant - Old Contract (GP)"),$B85&lt;&gt;""),$C85*Thresholds_Rates!$F$15,IF(OR($B$4="APM Level 7",$B$4="R&amp;T Level 7"),$C85*Thresholds_Rates!$F$15,IF(SUMIF(Grades!$A:$A,$B$4,Grades!$BO:$BO)=1,$C85*Thresholds_Rates!$F$15,""))))))))</f>
        <v/>
      </c>
      <c r="F85" s="25" t="str">
        <f ca="1">IF(B85="","",IF($B$4="Salary Points 1 to 57","-",IF(SUMIF(Grades!$A:$A,$B$4,Grades!$BP:$BP)=0,"-",IF(AND(OR($B$4="New Consultant Contract"),$B85&lt;&gt;""),$C85*Thresholds_Rates!$F$16,IF(AND(OR($B$4="Clinical Lecturer / Medical Research Fellow",$B$4="Clinical Consultant - Old Contract (GP)"),$B85&lt;&gt;""),$C85*Thresholds_Rates!$F$16,IF(AND(OR($B$4="APM Level 7",$B$4="R&amp;T Level 7"),E85&lt;&gt;""),$C85*Thresholds_Rates!$F$16,IF(SUMIF(Grades!$A:$A,$B$4,Grades!$BP:$BP)=1,$C85*Thresholds_Rates!$F$16,"")))))))</f>
        <v/>
      </c>
      <c r="G85" s="25" t="str">
        <f ca="1">IF(B85="","",IF(SUMIF(Grades!$A:$A,$B$4,Grades!$BQ:$BQ)=0,"-",IF(AND($B$4="Salary Points 1 to 57",B85&gt;Thresholds_Rates!$C$17),"-",IF(AND($B$4="Salary Points 1 to 57",B85&lt;=Thresholds_Rates!$C$17),$C85*Thresholds_Rates!$F$17,IF(AND(OR($B$4="New Consultant Contract"),$B85&lt;&gt;""),$C85*Thresholds_Rates!$F$17,IF(AND(OR($B$4="Clinical Lecturer / Medical Research Fellow",$B$4="Clinical Consultant - Old Contract (GP)"),$B85&lt;&gt;""),$C85*Thresholds_Rates!$F$17,IF(AND(OR($B$4="APM Level 7",$B$4="R&amp;T Level 7"),F85&lt;&gt;""),$C85*Thresholds_Rates!$F$17,IF(SUMIF(Grades!$A:$A,$B$4,Grades!$BQ:$BQ)=1,$C85*Thresholds_Rates!$F$17,""))))))))</f>
        <v/>
      </c>
      <c r="H85" s="25" t="str">
        <f ca="1">IF($B85="","",ROUND(($C85-(Thresholds_Rates!$C$5*12))*Thresholds_Rates!$C$10,0))</f>
        <v/>
      </c>
      <c r="I85" s="25" t="str">
        <f ca="1">IF(B85="","",(C85*Thresholds_Rates!$C$12))</f>
        <v/>
      </c>
      <c r="J85" s="25" t="str">
        <f ca="1">IF(B85="","",IF(AND($B$4="Salary Points 1 to 57",B85&gt;Thresholds_Rates!$C$17),"-",IF(SUMIF(Grades!$A:$A,$B$4,Grades!$BR:$BR)=0,"-",IF(AND($B$4="Salary Points 1 to 57",B85&lt;=Thresholds_Rates!$C$17),$C85*Thresholds_Rates!$F$18,IF(AND(OR($B$4="New Consultant Contract"),$B85&lt;&gt;""),$C85*Thresholds_Rates!$F$18,IF(AND(OR($B$4="Clinical Lecturer / Medical Research Fellow",$B$4="Clinical Consultant - Old Contract (GP)"),$B85&lt;&gt;""),$C85*Thresholds_Rates!$F$18,IF(AND(OR($B$4="APM Level 7",$B$4="R&amp;T Level 7"),H85&lt;&gt;""),$C85*Thresholds_Rates!$F$18,IF(SUMIF(Grades!$A:$A,$B$4,Grades!$BQ:$BQ)=1,$C85*Thresholds_Rates!$F$18,""))))))))</f>
        <v/>
      </c>
      <c r="K85" s="4"/>
      <c r="L85" s="25" t="str">
        <f t="shared" ca="1" si="13"/>
        <v/>
      </c>
      <c r="M85" s="25" t="str">
        <f t="shared" ca="1" si="14"/>
        <v/>
      </c>
      <c r="N85" s="25" t="str">
        <f t="shared" ca="1" si="15"/>
        <v/>
      </c>
      <c r="O85" s="25" t="str">
        <f t="shared" ca="1" si="16"/>
        <v/>
      </c>
      <c r="P85" s="25" t="str">
        <f t="shared" ca="1" si="17"/>
        <v/>
      </c>
      <c r="R85" s="28" t="str">
        <f ca="1">IF(B85="","",IF($B$4="R&amp;T Level 5 - Clinical Lecturers (Vet School)",SUMIF(Points_Lookup!$P:$P,$B85,Points_Lookup!$Q:$Q),IF($B$4="R&amp;T Level 6 - Clinical Associate Professors and Clinical Readers (Vet School)",SUMIF(Points_Lookup!$W:$W,$B85,Points_Lookup!$X:$X),"")))</f>
        <v/>
      </c>
      <c r="S85" s="29" t="str">
        <f ca="1">IF(B85="","",IF($B$4="R&amp;T Level 5 - Clinical Lecturers (Vet School)",$C85-SUMIF(Points_Lookup!$P:$P,$B85,Points_Lookup!$R:$R),IF($B$4="R&amp;T Level 6 - Clinical Associate Professors and Clinical Readers (Vet School)",$C85-SUMIF(Points_Lookup!$W:$W,$B85,Points_Lookup!$Y:$Y),"")))</f>
        <v/>
      </c>
      <c r="T85" s="28" t="str">
        <f ca="1">IF(B85="","",IF($B$4="R&amp;T Level 5 - Clinical Lecturers (Vet School)",SUMIF(Points_Lookup!$P:$P,$B85,Points_Lookup!$T:$T),IF($B$4="R&amp;T Level 6 - Clinical Associate Professors and Clinical Readers (Vet School)",SUMIF(Points_Lookup!$W:$W,$B85,Points_Lookup!$AA:$AA),"")))</f>
        <v/>
      </c>
      <c r="U85" s="29" t="str">
        <f t="shared" ca="1" si="12"/>
        <v/>
      </c>
    </row>
    <row r="86" spans="2:21" x14ac:dyDescent="0.25">
      <c r="B86" s="4" t="str">
        <f ca="1">IFERROR(INDEX(Points_Lookup!$A:$A,MATCH($Z88,Points_Lookup!$AH:$AH,0)),"")</f>
        <v/>
      </c>
      <c r="C86" s="25" t="str">
        <f ca="1">IF(B86="","",IF($B$4="Apprenticeship",SUMIF(Points_Lookup!$AD:$AD,B86,Points_Lookup!$AF:$AF),IF(AND(OR($B$4="New Consultant Contract"),$B86&lt;&gt;""),INDEX(Points_Lookup!$N:$N,MATCH($B86,Points_Lookup!$M:$M,0)),IF(AND(OR($B$4="Clinical Lecturer / Medical Research Fellow",$B$4="Clinical Consultant - Old Contract (GP)"),$B86&lt;&gt;""),INDEX(Points_Lookup!$K:$K,MATCH($B86,Points_Lookup!$J:$J,0)),IF(AND(OR($B$4="APM Level 7",$B$4="R&amp;T Level 7",$B$4="APM Level 8"),B86&lt;&gt;""),INDEX(Points_Lookup!$E:$E,MATCH($Z86,Points_Lookup!$AH:$AH,0)),IF($B$4="R&amp;T Level 5 - Clinical Lecturers (Vet School)",SUMIF(Points_Lookup!$P:$P,$B86,Points_Lookup!$S:$S),IF($B$4="R&amp;T Level 6 - Clinical Associate Professors and Clinical Readers (Vet School)",SUMIF(Points_Lookup!$W:$W,$B86,Points_Lookup!$Z:$Z),IFERROR(INDEX(Points_Lookup!$B:$B,MATCH($Z86,Points_Lookup!$AH:$AH,0)),""))))))))</f>
        <v/>
      </c>
      <c r="D86" s="40"/>
      <c r="E86" s="25" t="str">
        <f ca="1">IF($B86="","",IF(AND($B$4="Salary Points 3 to 57",B86&lt;Thresholds_Rates!$C$16),"-",IF(SUMIF(Grades!$A:$A,$B$4,Grades!$BO:$BO)=0,"-",IF(AND($B$4="Salary Points 3 to 57",B86&gt;=Thresholds_Rates!$C$16),$C86*Thresholds_Rates!$F$15,IF(AND(OR($B$4="New Consultant Contract"),$B86&lt;&gt;""),$C86*Thresholds_Rates!$F$15,IF(AND(OR($B$4="Clinical Lecturer / Medical Research Fellow",$B$4="Clinical Consultant - Old Contract (GP)"),$B86&lt;&gt;""),$C86*Thresholds_Rates!$F$15,IF(OR($B$4="APM Level 7",$B$4="R&amp;T Level 7"),$C86*Thresholds_Rates!$F$15,IF(SUMIF(Grades!$A:$A,$B$4,Grades!$BO:$BO)=1,$C86*Thresholds_Rates!$F$15,""))))))))</f>
        <v/>
      </c>
      <c r="F86" s="25" t="str">
        <f ca="1">IF(B86="","",IF($B$4="Salary Points 1 to 57","-",IF(SUMIF(Grades!$A:$A,$B$4,Grades!$BP:$BP)=0,"-",IF(AND(OR($B$4="New Consultant Contract"),$B86&lt;&gt;""),$C86*Thresholds_Rates!$F$16,IF(AND(OR($B$4="Clinical Lecturer / Medical Research Fellow",$B$4="Clinical Consultant - Old Contract (GP)"),$B86&lt;&gt;""),$C86*Thresholds_Rates!$F$16,IF(AND(OR($B$4="APM Level 7",$B$4="R&amp;T Level 7"),E86&lt;&gt;""),$C86*Thresholds_Rates!$F$16,IF(SUMIF(Grades!$A:$A,$B$4,Grades!$BP:$BP)=1,$C86*Thresholds_Rates!$F$16,"")))))))</f>
        <v/>
      </c>
      <c r="G86" s="25" t="str">
        <f ca="1">IF(B86="","",IF(SUMIF(Grades!$A:$A,$B$4,Grades!$BQ:$BQ)=0,"-",IF(AND($B$4="Salary Points 1 to 57",B86&gt;Thresholds_Rates!$C$17),"-",IF(AND($B$4="Salary Points 1 to 57",B86&lt;=Thresholds_Rates!$C$17),$C86*Thresholds_Rates!$F$17,IF(AND(OR($B$4="New Consultant Contract"),$B86&lt;&gt;""),$C86*Thresholds_Rates!$F$17,IF(AND(OR($B$4="Clinical Lecturer / Medical Research Fellow",$B$4="Clinical Consultant - Old Contract (GP)"),$B86&lt;&gt;""),$C86*Thresholds_Rates!$F$17,IF(AND(OR($B$4="APM Level 7",$B$4="R&amp;T Level 7"),F86&lt;&gt;""),$C86*Thresholds_Rates!$F$17,IF(SUMIF(Grades!$A:$A,$B$4,Grades!$BQ:$BQ)=1,$C86*Thresholds_Rates!$F$17,""))))))))</f>
        <v/>
      </c>
      <c r="H86" s="25" t="str">
        <f ca="1">IF($B86="","",ROUND(($C86-(Thresholds_Rates!$C$5*12))*Thresholds_Rates!$C$10,0))</f>
        <v/>
      </c>
      <c r="I86" s="25" t="str">
        <f ca="1">IF(B86="","",(C86*Thresholds_Rates!$C$12))</f>
        <v/>
      </c>
      <c r="J86" s="25" t="str">
        <f ca="1">IF(B86="","",IF(AND($B$4="Salary Points 1 to 57",B86&gt;Thresholds_Rates!$C$17),"-",IF(SUMIF(Grades!$A:$A,$B$4,Grades!$BR:$BR)=0,"-",IF(AND($B$4="Salary Points 1 to 57",B86&lt;=Thresholds_Rates!$C$17),$C86*Thresholds_Rates!$F$18,IF(AND(OR($B$4="New Consultant Contract"),$B86&lt;&gt;""),$C86*Thresholds_Rates!$F$18,IF(AND(OR($B$4="Clinical Lecturer / Medical Research Fellow",$B$4="Clinical Consultant - Old Contract (GP)"),$B86&lt;&gt;""),$C86*Thresholds_Rates!$F$18,IF(AND(OR($B$4="APM Level 7",$B$4="R&amp;T Level 7"),H86&lt;&gt;""),$C86*Thresholds_Rates!$F$18,IF(SUMIF(Grades!$A:$A,$B$4,Grades!$BQ:$BQ)=1,$C86*Thresholds_Rates!$F$18,""))))))))</f>
        <v/>
      </c>
      <c r="K86" s="4"/>
      <c r="L86" s="25" t="str">
        <f t="shared" ca="1" si="13"/>
        <v/>
      </c>
      <c r="M86" s="25" t="str">
        <f t="shared" ca="1" si="14"/>
        <v/>
      </c>
      <c r="N86" s="25" t="str">
        <f t="shared" ca="1" si="15"/>
        <v/>
      </c>
      <c r="O86" s="25" t="str">
        <f t="shared" ca="1" si="16"/>
        <v/>
      </c>
      <c r="P86" s="25" t="str">
        <f t="shared" ca="1" si="17"/>
        <v/>
      </c>
      <c r="R86" s="28" t="str">
        <f ca="1">IF(B86="","",IF($B$4="R&amp;T Level 5 - Clinical Lecturers (Vet School)",SUMIF(Points_Lookup!$P:$P,$B86,Points_Lookup!$Q:$Q),IF($B$4="R&amp;T Level 6 - Clinical Associate Professors and Clinical Readers (Vet School)",SUMIF(Points_Lookup!$W:$W,$B86,Points_Lookup!$X:$X),"")))</f>
        <v/>
      </c>
      <c r="S86" s="29" t="str">
        <f ca="1">IF(B86="","",IF($B$4="R&amp;T Level 5 - Clinical Lecturers (Vet School)",$C86-SUMIF(Points_Lookup!$P:$P,$B86,Points_Lookup!$R:$R),IF($B$4="R&amp;T Level 6 - Clinical Associate Professors and Clinical Readers (Vet School)",$C86-SUMIF(Points_Lookup!$W:$W,$B86,Points_Lookup!$Y:$Y),"")))</f>
        <v/>
      </c>
      <c r="T86" s="28" t="str">
        <f ca="1">IF(B86="","",IF($B$4="R&amp;T Level 5 - Clinical Lecturers (Vet School)",SUMIF(Points_Lookup!$P:$P,$B86,Points_Lookup!$T:$T),IF($B$4="R&amp;T Level 6 - Clinical Associate Professors and Clinical Readers (Vet School)",SUMIF(Points_Lookup!$W:$W,$B86,Points_Lookup!$AA:$AA),"")))</f>
        <v/>
      </c>
      <c r="U86" s="29" t="str">
        <f t="shared" ca="1" si="12"/>
        <v/>
      </c>
    </row>
    <row r="87" spans="2:21" x14ac:dyDescent="0.25">
      <c r="B87" s="4" t="str">
        <f ca="1">IFERROR(INDEX(Points_Lookup!$A:$A,MATCH($Z89,Points_Lookup!$AH:$AH,0)),"")</f>
        <v/>
      </c>
      <c r="C87" s="25" t="str">
        <f ca="1">IF(B87="","",IF($B$4="Apprenticeship",SUMIF(Points_Lookup!$AD:$AD,B87,Points_Lookup!$AF:$AF),IF(AND(OR($B$4="New Consultant Contract"),$B87&lt;&gt;""),INDEX(Points_Lookup!$N:$N,MATCH($B87,Points_Lookup!$M:$M,0)),IF(AND(OR($B$4="Clinical Lecturer / Medical Research Fellow",$B$4="Clinical Consultant - Old Contract (GP)"),$B87&lt;&gt;""),INDEX(Points_Lookup!$K:$K,MATCH($B87,Points_Lookup!$J:$J,0)),IF(AND(OR($B$4="APM Level 7",$B$4="R&amp;T Level 7",$B$4="APM Level 8"),B87&lt;&gt;""),INDEX(Points_Lookup!$E:$E,MATCH($Z87,Points_Lookup!$AH:$AH,0)),IF($B$4="R&amp;T Level 5 - Clinical Lecturers (Vet School)",SUMIF(Points_Lookup!$P:$P,$B87,Points_Lookup!$S:$S),IF($B$4="R&amp;T Level 6 - Clinical Associate Professors and Clinical Readers (Vet School)",SUMIF(Points_Lookup!$W:$W,$B87,Points_Lookup!$Z:$Z),IFERROR(INDEX(Points_Lookup!$B:$B,MATCH($Z87,Points_Lookup!$AH:$AH,0)),""))))))))</f>
        <v/>
      </c>
      <c r="D87" s="40"/>
      <c r="E87" s="25" t="str">
        <f ca="1">IF($B87="","",IF(AND($B$4="Salary Points 3 to 57",B87&lt;Thresholds_Rates!$C$16),"-",IF(SUMIF(Grades!$A:$A,$B$4,Grades!$BO:$BO)=0,"-",IF(AND($B$4="Salary Points 3 to 57",B87&gt;=Thresholds_Rates!$C$16),$C87*Thresholds_Rates!$F$15,IF(AND(OR($B$4="New Consultant Contract"),$B87&lt;&gt;""),$C87*Thresholds_Rates!$F$15,IF(AND(OR($B$4="Clinical Lecturer / Medical Research Fellow",$B$4="Clinical Consultant - Old Contract (GP)"),$B87&lt;&gt;""),$C87*Thresholds_Rates!$F$15,IF(OR($B$4="APM Level 7",$B$4="R&amp;T Level 7"),$C87*Thresholds_Rates!$F$15,IF(SUMIF(Grades!$A:$A,$B$4,Grades!$BO:$BO)=1,$C87*Thresholds_Rates!$F$15,""))))))))</f>
        <v/>
      </c>
      <c r="F87" s="25" t="str">
        <f ca="1">IF(B87="","",IF($B$4="Salary Points 1 to 57","-",IF(SUMIF(Grades!$A:$A,$B$4,Grades!$BP:$BP)=0,"-",IF(AND(OR($B$4="New Consultant Contract"),$B87&lt;&gt;""),$C87*Thresholds_Rates!$F$16,IF(AND(OR($B$4="Clinical Lecturer / Medical Research Fellow",$B$4="Clinical Consultant - Old Contract (GP)"),$B87&lt;&gt;""),$C87*Thresholds_Rates!$F$16,IF(AND(OR($B$4="APM Level 7",$B$4="R&amp;T Level 7"),E87&lt;&gt;""),$C87*Thresholds_Rates!$F$16,IF(SUMIF(Grades!$A:$A,$B$4,Grades!$BP:$BP)=1,$C87*Thresholds_Rates!$F$16,"")))))))</f>
        <v/>
      </c>
      <c r="G87" s="25" t="str">
        <f ca="1">IF(B87="","",IF(SUMIF(Grades!$A:$A,$B$4,Grades!$BQ:$BQ)=0,"-",IF(AND($B$4="Salary Points 1 to 57",B87&gt;Thresholds_Rates!$C$17),"-",IF(AND($B$4="Salary Points 1 to 57",B87&lt;=Thresholds_Rates!$C$17),$C87*Thresholds_Rates!$F$17,IF(AND(OR($B$4="New Consultant Contract"),$B87&lt;&gt;""),$C87*Thresholds_Rates!$F$17,IF(AND(OR($B$4="Clinical Lecturer / Medical Research Fellow",$B$4="Clinical Consultant - Old Contract (GP)"),$B87&lt;&gt;""),$C87*Thresholds_Rates!$F$17,IF(AND(OR($B$4="APM Level 7",$B$4="R&amp;T Level 7"),F87&lt;&gt;""),$C87*Thresholds_Rates!$F$17,IF(SUMIF(Grades!$A:$A,$B$4,Grades!$BQ:$BQ)=1,$C87*Thresholds_Rates!$F$17,""))))))))</f>
        <v/>
      </c>
      <c r="H87" s="25" t="str">
        <f ca="1">IF($B87="","",ROUND(($C87-(Thresholds_Rates!$C$5*12))*Thresholds_Rates!$C$10,0))</f>
        <v/>
      </c>
      <c r="I87" s="25" t="str">
        <f ca="1">IF(B87="","",(C87*Thresholds_Rates!$C$12))</f>
        <v/>
      </c>
      <c r="J87" s="25" t="str">
        <f ca="1">IF(B87="","",IF(AND($B$4="Salary Points 1 to 57",B87&gt;Thresholds_Rates!$C$17),"-",IF(SUMIF(Grades!$A:$A,$B$4,Grades!$BR:$BR)=0,"-",IF(AND($B$4="Salary Points 1 to 57",B87&lt;=Thresholds_Rates!$C$17),$C87*Thresholds_Rates!$F$18,IF(AND(OR($B$4="New Consultant Contract"),$B87&lt;&gt;""),$C87*Thresholds_Rates!$F$18,IF(AND(OR($B$4="Clinical Lecturer / Medical Research Fellow",$B$4="Clinical Consultant - Old Contract (GP)"),$B87&lt;&gt;""),$C87*Thresholds_Rates!$F$18,IF(AND(OR($B$4="APM Level 7",$B$4="R&amp;T Level 7"),H87&lt;&gt;""),$C87*Thresholds_Rates!$F$18,IF(SUMIF(Grades!$A:$A,$B$4,Grades!$BQ:$BQ)=1,$C87*Thresholds_Rates!$F$18,""))))))))</f>
        <v/>
      </c>
      <c r="K87" s="4"/>
      <c r="L87" s="25" t="str">
        <f t="shared" ca="1" si="13"/>
        <v/>
      </c>
      <c r="M87" s="25" t="str">
        <f t="shared" ca="1" si="14"/>
        <v/>
      </c>
      <c r="N87" s="25" t="str">
        <f t="shared" ca="1" si="15"/>
        <v/>
      </c>
      <c r="O87" s="25" t="str">
        <f t="shared" ca="1" si="16"/>
        <v/>
      </c>
      <c r="P87" s="25" t="str">
        <f t="shared" ca="1" si="17"/>
        <v/>
      </c>
      <c r="R87" s="28" t="str">
        <f ca="1">IF(B87="","",IF($B$4="R&amp;T Level 5 - Clinical Lecturers (Vet School)",SUMIF(Points_Lookup!$P:$P,$B87,Points_Lookup!$Q:$Q),IF($B$4="R&amp;T Level 6 - Clinical Associate Professors and Clinical Readers (Vet School)",SUMIF(Points_Lookup!$W:$W,$B87,Points_Lookup!$X:$X),"")))</f>
        <v/>
      </c>
      <c r="S87" s="29" t="str">
        <f ca="1">IF(B87="","",IF($B$4="R&amp;T Level 5 - Clinical Lecturers (Vet School)",$C87-SUMIF(Points_Lookup!$P:$P,$B87,Points_Lookup!$R:$R),IF($B$4="R&amp;T Level 6 - Clinical Associate Professors and Clinical Readers (Vet School)",$C87-SUMIF(Points_Lookup!$W:$W,$B87,Points_Lookup!$Y:$Y),"")))</f>
        <v/>
      </c>
      <c r="T87" s="28" t="str">
        <f ca="1">IF(B87="","",IF($B$4="R&amp;T Level 5 - Clinical Lecturers (Vet School)",SUMIF(Points_Lookup!$P:$P,$B87,Points_Lookup!$T:$T),IF($B$4="R&amp;T Level 6 - Clinical Associate Professors and Clinical Readers (Vet School)",SUMIF(Points_Lookup!$W:$W,$B87,Points_Lookup!$AA:$AA),"")))</f>
        <v/>
      </c>
      <c r="U87" s="29" t="str">
        <f t="shared" ca="1" si="12"/>
        <v/>
      </c>
    </row>
    <row r="88" spans="2:21" x14ac:dyDescent="0.25">
      <c r="B88" s="4" t="str">
        <f ca="1">IFERROR(INDEX(Points_Lookup!$A:$A,MATCH($Z90,Points_Lookup!$AH:$AH,0)),"")</f>
        <v/>
      </c>
      <c r="C88" s="25" t="str">
        <f ca="1">IF(B88="","",IF($B$4="Apprenticeship",SUMIF(Points_Lookup!$AD:$AD,B88,Points_Lookup!$AF:$AF),IF(AND(OR($B$4="New Consultant Contract"),$B88&lt;&gt;""),INDEX(Points_Lookup!$N:$N,MATCH($B88,Points_Lookup!$M:$M,0)),IF(AND(OR($B$4="Clinical Lecturer / Medical Research Fellow",$B$4="Clinical Consultant - Old Contract (GP)"),$B88&lt;&gt;""),INDEX(Points_Lookup!$K:$K,MATCH($B88,Points_Lookup!$J:$J,0)),IF(AND(OR($B$4="APM Level 7",$B$4="R&amp;T Level 7",$B$4="APM Level 8"),B88&lt;&gt;""),INDEX(Points_Lookup!$E:$E,MATCH($Z88,Points_Lookup!$AH:$AH,0)),IF($B$4="R&amp;T Level 5 - Clinical Lecturers (Vet School)",SUMIF(Points_Lookup!$P:$P,$B88,Points_Lookup!$S:$S),IF($B$4="R&amp;T Level 6 - Clinical Associate Professors and Clinical Readers (Vet School)",SUMIF(Points_Lookup!$W:$W,$B88,Points_Lookup!$Z:$Z),IFERROR(INDEX(Points_Lookup!$B:$B,MATCH($Z88,Points_Lookup!$AH:$AH,0)),""))))))))</f>
        <v/>
      </c>
      <c r="D88" s="40"/>
      <c r="E88" s="25" t="str">
        <f ca="1">IF($B88="","",IF(AND($B$4="Salary Points 3 to 57",B88&lt;Thresholds_Rates!$C$16),"-",IF(SUMIF(Grades!$A:$A,$B$4,Grades!$BO:$BO)=0,"-",IF(AND($B$4="Salary Points 3 to 57",B88&gt;=Thresholds_Rates!$C$16),$C88*Thresholds_Rates!$F$15,IF(AND(OR($B$4="New Consultant Contract"),$B88&lt;&gt;""),$C88*Thresholds_Rates!$F$15,IF(AND(OR($B$4="Clinical Lecturer / Medical Research Fellow",$B$4="Clinical Consultant - Old Contract (GP)"),$B88&lt;&gt;""),$C88*Thresholds_Rates!$F$15,IF(OR($B$4="APM Level 7",$B$4="R&amp;T Level 7"),$C88*Thresholds_Rates!$F$15,IF(SUMIF(Grades!$A:$A,$B$4,Grades!$BO:$BO)=1,$C88*Thresholds_Rates!$F$15,""))))))))</f>
        <v/>
      </c>
      <c r="F88" s="25" t="str">
        <f ca="1">IF(B88="","",IF($B$4="Salary Points 1 to 57","-",IF(SUMIF(Grades!$A:$A,$B$4,Grades!$BP:$BP)=0,"-",IF(AND(OR($B$4="New Consultant Contract"),$B88&lt;&gt;""),$C88*Thresholds_Rates!$F$16,IF(AND(OR($B$4="Clinical Lecturer / Medical Research Fellow",$B$4="Clinical Consultant - Old Contract (GP)"),$B88&lt;&gt;""),$C88*Thresholds_Rates!$F$16,IF(AND(OR($B$4="APM Level 7",$B$4="R&amp;T Level 7"),E88&lt;&gt;""),$C88*Thresholds_Rates!$F$16,IF(SUMIF(Grades!$A:$A,$B$4,Grades!$BP:$BP)=1,$C88*Thresholds_Rates!$F$16,"")))))))</f>
        <v/>
      </c>
      <c r="G88" s="25" t="str">
        <f ca="1">IF(B88="","",IF(SUMIF(Grades!$A:$A,$B$4,Grades!$BQ:$BQ)=0,"-",IF(AND($B$4="Salary Points 1 to 57",B88&gt;Thresholds_Rates!$C$17),"-",IF(AND($B$4="Salary Points 1 to 57",B88&lt;=Thresholds_Rates!$C$17),$C88*Thresholds_Rates!$F$17,IF(AND(OR($B$4="New Consultant Contract"),$B88&lt;&gt;""),$C88*Thresholds_Rates!$F$17,IF(AND(OR($B$4="Clinical Lecturer / Medical Research Fellow",$B$4="Clinical Consultant - Old Contract (GP)"),$B88&lt;&gt;""),$C88*Thresholds_Rates!$F$17,IF(AND(OR($B$4="APM Level 7",$B$4="R&amp;T Level 7"),F88&lt;&gt;""),$C88*Thresholds_Rates!$F$17,IF(SUMIF(Grades!$A:$A,$B$4,Grades!$BQ:$BQ)=1,$C88*Thresholds_Rates!$F$17,""))))))))</f>
        <v/>
      </c>
      <c r="H88" s="25" t="str">
        <f ca="1">IF($B88="","",ROUND(($C88-(Thresholds_Rates!$C$5*12))*Thresholds_Rates!$C$10,0))</f>
        <v/>
      </c>
      <c r="I88" s="25" t="str">
        <f ca="1">IF(B88="","",(C88*Thresholds_Rates!$C$12))</f>
        <v/>
      </c>
      <c r="J88" s="25" t="str">
        <f ca="1">IF(B88="","",IF(AND($B$4="Salary Points 1 to 57",B88&gt;Thresholds_Rates!$C$17),"-",IF(SUMIF(Grades!$A:$A,$B$4,Grades!$BR:$BR)=0,"-",IF(AND($B$4="Salary Points 1 to 57",B88&lt;=Thresholds_Rates!$C$17),$C88*Thresholds_Rates!$F$18,IF(AND(OR($B$4="New Consultant Contract"),$B88&lt;&gt;""),$C88*Thresholds_Rates!$F$18,IF(AND(OR($B$4="Clinical Lecturer / Medical Research Fellow",$B$4="Clinical Consultant - Old Contract (GP)"),$B88&lt;&gt;""),$C88*Thresholds_Rates!$F$18,IF(AND(OR($B$4="APM Level 7",$B$4="R&amp;T Level 7"),H88&lt;&gt;""),$C88*Thresholds_Rates!$F$18,IF(SUMIF(Grades!$A:$A,$B$4,Grades!$BQ:$BQ)=1,$C88*Thresholds_Rates!$F$18,""))))))))</f>
        <v/>
      </c>
      <c r="K88" s="4"/>
      <c r="L88" s="25" t="str">
        <f t="shared" ca="1" si="13"/>
        <v/>
      </c>
      <c r="M88" s="25" t="str">
        <f t="shared" ca="1" si="14"/>
        <v/>
      </c>
      <c r="N88" s="25" t="str">
        <f t="shared" ca="1" si="15"/>
        <v/>
      </c>
      <c r="O88" s="25" t="str">
        <f t="shared" ca="1" si="16"/>
        <v/>
      </c>
      <c r="P88" s="25" t="str">
        <f t="shared" ca="1" si="17"/>
        <v/>
      </c>
      <c r="R88" s="28" t="str">
        <f ca="1">IF(B88="","",IF($B$4="R&amp;T Level 5 - Clinical Lecturers (Vet School)",SUMIF(Points_Lookup!$P:$P,$B88,Points_Lookup!$Q:$Q),IF($B$4="R&amp;T Level 6 - Clinical Associate Professors and Clinical Readers (Vet School)",SUMIF(Points_Lookup!$W:$W,$B88,Points_Lookup!$X:$X),"")))</f>
        <v/>
      </c>
      <c r="S88" s="29" t="str">
        <f ca="1">IF(B88="","",IF($B$4="R&amp;T Level 5 - Clinical Lecturers (Vet School)",$C88-SUMIF(Points_Lookup!$P:$P,$B88,Points_Lookup!$R:$R),IF($B$4="R&amp;T Level 6 - Clinical Associate Professors and Clinical Readers (Vet School)",$C88-SUMIF(Points_Lookup!$W:$W,$B88,Points_Lookup!$Y:$Y),"")))</f>
        <v/>
      </c>
      <c r="T88" s="28" t="str">
        <f ca="1">IF(B88="","",IF($B$4="R&amp;T Level 5 - Clinical Lecturers (Vet School)",SUMIF(Points_Lookup!$P:$P,$B88,Points_Lookup!$T:$T),IF($B$4="R&amp;T Level 6 - Clinical Associate Professors and Clinical Readers (Vet School)",SUMIF(Points_Lookup!$W:$W,$B88,Points_Lookup!$AA:$AA),"")))</f>
        <v/>
      </c>
      <c r="U88" s="29" t="str">
        <f t="shared" ca="1" si="12"/>
        <v/>
      </c>
    </row>
    <row r="89" spans="2:21" x14ac:dyDescent="0.25">
      <c r="B89" s="4" t="str">
        <f ca="1">IFERROR(INDEX(Points_Lookup!$A:$A,MATCH($Z91,Points_Lookup!$AH:$AH,0)),"")</f>
        <v/>
      </c>
      <c r="C89" s="25" t="str">
        <f ca="1">IF(B89="","",IF($B$4="Apprenticeship",SUMIF(Points_Lookup!$AD:$AD,B89,Points_Lookup!$AF:$AF),IF(AND(OR($B$4="New Consultant Contract"),$B89&lt;&gt;""),INDEX(Points_Lookup!$N:$N,MATCH($B89,Points_Lookup!$M:$M,0)),IF(AND(OR($B$4="Clinical Lecturer / Medical Research Fellow",$B$4="Clinical Consultant - Old Contract (GP)"),$B89&lt;&gt;""),INDEX(Points_Lookup!$K:$K,MATCH($B89,Points_Lookup!$J:$J,0)),IF(AND(OR($B$4="APM Level 7",$B$4="R&amp;T Level 7",$B$4="APM Level 8"),B89&lt;&gt;""),INDEX(Points_Lookup!$E:$E,MATCH($Z89,Points_Lookup!$AH:$AH,0)),IF($B$4="R&amp;T Level 5 - Clinical Lecturers (Vet School)",SUMIF(Points_Lookup!$P:$P,$B89,Points_Lookup!$S:$S),IF($B$4="R&amp;T Level 6 - Clinical Associate Professors and Clinical Readers (Vet School)",SUMIF(Points_Lookup!$W:$W,$B89,Points_Lookup!$Z:$Z),IFERROR(INDEX(Points_Lookup!$B:$B,MATCH($Z89,Points_Lookup!$AH:$AH,0)),""))))))))</f>
        <v/>
      </c>
      <c r="D89" s="40"/>
      <c r="E89" s="25" t="str">
        <f ca="1">IF($B89="","",IF(AND($B$4="Salary Points 3 to 57",B89&lt;Thresholds_Rates!$C$16),"-",IF(SUMIF(Grades!$A:$A,$B$4,Grades!$BO:$BO)=0,"-",IF(AND($B$4="Salary Points 3 to 57",B89&gt;=Thresholds_Rates!$C$16),$C89*Thresholds_Rates!$F$15,IF(AND(OR($B$4="New Consultant Contract"),$B89&lt;&gt;""),$C89*Thresholds_Rates!$F$15,IF(AND(OR($B$4="Clinical Lecturer / Medical Research Fellow",$B$4="Clinical Consultant - Old Contract (GP)"),$B89&lt;&gt;""),$C89*Thresholds_Rates!$F$15,IF(OR($B$4="APM Level 7",$B$4="R&amp;T Level 7"),$C89*Thresholds_Rates!$F$15,IF(SUMIF(Grades!$A:$A,$B$4,Grades!$BO:$BO)=1,$C89*Thresholds_Rates!$F$15,""))))))))</f>
        <v/>
      </c>
      <c r="F89" s="25" t="str">
        <f ca="1">IF(B89="","",IF($B$4="Salary Points 1 to 57","-",IF(SUMIF(Grades!$A:$A,$B$4,Grades!$BP:$BP)=0,"-",IF(AND(OR($B$4="New Consultant Contract"),$B89&lt;&gt;""),$C89*Thresholds_Rates!$F$16,IF(AND(OR($B$4="Clinical Lecturer / Medical Research Fellow",$B$4="Clinical Consultant - Old Contract (GP)"),$B89&lt;&gt;""),$C89*Thresholds_Rates!$F$16,IF(AND(OR($B$4="APM Level 7",$B$4="R&amp;T Level 7"),E89&lt;&gt;""),$C89*Thresholds_Rates!$F$16,IF(SUMIF(Grades!$A:$A,$B$4,Grades!$BP:$BP)=1,$C89*Thresholds_Rates!$F$16,"")))))))</f>
        <v/>
      </c>
      <c r="G89" s="25" t="str">
        <f ca="1">IF(B89="","",IF(SUMIF(Grades!$A:$A,$B$4,Grades!$BQ:$BQ)=0,"-",IF(AND($B$4="Salary Points 1 to 57",B89&gt;Thresholds_Rates!$C$17),"-",IF(AND($B$4="Salary Points 1 to 57",B89&lt;=Thresholds_Rates!$C$17),$C89*Thresholds_Rates!$F$17,IF(AND(OR($B$4="New Consultant Contract"),$B89&lt;&gt;""),$C89*Thresholds_Rates!$F$17,IF(AND(OR($B$4="Clinical Lecturer / Medical Research Fellow",$B$4="Clinical Consultant - Old Contract (GP)"),$B89&lt;&gt;""),$C89*Thresholds_Rates!$F$17,IF(AND(OR($B$4="APM Level 7",$B$4="R&amp;T Level 7"),F89&lt;&gt;""),$C89*Thresholds_Rates!$F$17,IF(SUMIF(Grades!$A:$A,$B$4,Grades!$BQ:$BQ)=1,$C89*Thresholds_Rates!$F$17,""))))))))</f>
        <v/>
      </c>
      <c r="H89" s="25" t="str">
        <f ca="1">IF($B89="","",ROUND(($C89-(Thresholds_Rates!$C$5*12))*Thresholds_Rates!$C$10,0))</f>
        <v/>
      </c>
      <c r="I89" s="25" t="str">
        <f ca="1">IF(B89="","",(C89*Thresholds_Rates!$C$12))</f>
        <v/>
      </c>
      <c r="J89" s="25" t="str">
        <f ca="1">IF(B89="","",IF(AND($B$4="Salary Points 1 to 57",B89&gt;Thresholds_Rates!$C$17),"-",IF(SUMIF(Grades!$A:$A,$B$4,Grades!$BR:$BR)=0,"-",IF(AND($B$4="Salary Points 1 to 57",B89&lt;=Thresholds_Rates!$C$17),$C89*Thresholds_Rates!$F$18,IF(AND(OR($B$4="New Consultant Contract"),$B89&lt;&gt;""),$C89*Thresholds_Rates!$F$18,IF(AND(OR($B$4="Clinical Lecturer / Medical Research Fellow",$B$4="Clinical Consultant - Old Contract (GP)"),$B89&lt;&gt;""),$C89*Thresholds_Rates!$F$18,IF(AND(OR($B$4="APM Level 7",$B$4="R&amp;T Level 7"),H89&lt;&gt;""),$C89*Thresholds_Rates!$F$18,IF(SUMIF(Grades!$A:$A,$B$4,Grades!$BQ:$BQ)=1,$C89*Thresholds_Rates!$F$18,""))))))))</f>
        <v/>
      </c>
      <c r="K89" s="4"/>
      <c r="L89" s="25" t="str">
        <f t="shared" ca="1" si="13"/>
        <v/>
      </c>
      <c r="M89" s="25" t="str">
        <f t="shared" ca="1" si="14"/>
        <v/>
      </c>
      <c r="N89" s="25" t="str">
        <f t="shared" ca="1" si="15"/>
        <v/>
      </c>
      <c r="O89" s="25" t="str">
        <f t="shared" ca="1" si="16"/>
        <v/>
      </c>
      <c r="P89" s="25" t="str">
        <f t="shared" ca="1" si="17"/>
        <v/>
      </c>
      <c r="R89" s="28" t="str">
        <f ca="1">IF(B89="","",IF($B$4="R&amp;T Level 5 - Clinical Lecturers (Vet School)",SUMIF(Points_Lookup!$P:$P,$B89,Points_Lookup!$Q:$Q),IF($B$4="R&amp;T Level 6 - Clinical Associate Professors and Clinical Readers (Vet School)",SUMIF(Points_Lookup!$W:$W,$B89,Points_Lookup!$X:$X),"")))</f>
        <v/>
      </c>
      <c r="S89" s="29" t="str">
        <f ca="1">IF(B89="","",IF($B$4="R&amp;T Level 5 - Clinical Lecturers (Vet School)",$C89-SUMIF(Points_Lookup!$P:$P,$B89,Points_Lookup!$R:$R),IF($B$4="R&amp;T Level 6 - Clinical Associate Professors and Clinical Readers (Vet School)",$C89-SUMIF(Points_Lookup!$W:$W,$B89,Points_Lookup!$Y:$Y),"")))</f>
        <v/>
      </c>
      <c r="T89" s="28" t="str">
        <f ca="1">IF(B89="","",IF($B$4="R&amp;T Level 5 - Clinical Lecturers (Vet School)",SUMIF(Points_Lookup!$P:$P,$B89,Points_Lookup!$T:$T),IF($B$4="R&amp;T Level 6 - Clinical Associate Professors and Clinical Readers (Vet School)",SUMIF(Points_Lookup!$W:$W,$B89,Points_Lookup!$AA:$AA),"")))</f>
        <v/>
      </c>
      <c r="U89" s="29" t="str">
        <f t="shared" ca="1" si="12"/>
        <v/>
      </c>
    </row>
    <row r="90" spans="2:21" x14ac:dyDescent="0.25">
      <c r="B90" s="4" t="str">
        <f ca="1">IFERROR(INDEX(Points_Lookup!$A:$A,MATCH($Z92,Points_Lookup!$AH:$AH,0)),"")</f>
        <v/>
      </c>
      <c r="C90" s="25" t="str">
        <f ca="1">IF(B90="","",IF($B$4="Apprenticeship",SUMIF(Points_Lookup!$AD:$AD,B90,Points_Lookup!$AF:$AF),IF(AND(OR($B$4="New Consultant Contract"),$B90&lt;&gt;""),INDEX(Points_Lookup!$N:$N,MATCH($B90,Points_Lookup!$M:$M,0)),IF(AND(OR($B$4="Clinical Lecturer / Medical Research Fellow",$B$4="Clinical Consultant - Old Contract (GP)"),$B90&lt;&gt;""),INDEX(Points_Lookup!$K:$K,MATCH($B90,Points_Lookup!$J:$J,0)),IF(AND(OR($B$4="APM Level 7",$B$4="R&amp;T Level 7",$B$4="APM Level 8"),B90&lt;&gt;""),INDEX(Points_Lookup!$E:$E,MATCH($Z90,Points_Lookup!$AH:$AH,0)),IF($B$4="R&amp;T Level 5 - Clinical Lecturers (Vet School)",SUMIF(Points_Lookup!$P:$P,$B90,Points_Lookup!$S:$S),IF($B$4="R&amp;T Level 6 - Clinical Associate Professors and Clinical Readers (Vet School)",SUMIF(Points_Lookup!$W:$W,$B90,Points_Lookup!$Z:$Z),IFERROR(INDEX(Points_Lookup!$B:$B,MATCH($Z90,Points_Lookup!$AH:$AH,0)),""))))))))</f>
        <v/>
      </c>
      <c r="D90" s="40"/>
      <c r="E90" s="25" t="str">
        <f ca="1">IF($B90="","",IF(AND($B$4="Salary Points 3 to 57",B90&lt;Thresholds_Rates!$C$16),"-",IF(SUMIF(Grades!$A:$A,$B$4,Grades!$BO:$BO)=0,"-",IF(AND($B$4="Salary Points 3 to 57",B90&gt;=Thresholds_Rates!$C$16),$C90*Thresholds_Rates!$F$15,IF(AND(OR($B$4="New Consultant Contract"),$B90&lt;&gt;""),$C90*Thresholds_Rates!$F$15,IF(AND(OR($B$4="Clinical Lecturer / Medical Research Fellow",$B$4="Clinical Consultant - Old Contract (GP)"),$B90&lt;&gt;""),$C90*Thresholds_Rates!$F$15,IF(OR($B$4="APM Level 7",$B$4="R&amp;T Level 7"),$C90*Thresholds_Rates!$F$15,IF(SUMIF(Grades!$A:$A,$B$4,Grades!$BO:$BO)=1,$C90*Thresholds_Rates!$F$15,""))))))))</f>
        <v/>
      </c>
      <c r="F90" s="25" t="str">
        <f ca="1">IF(B90="","",IF($B$4="Salary Points 1 to 57","-",IF(SUMIF(Grades!$A:$A,$B$4,Grades!$BP:$BP)=0,"-",IF(AND(OR($B$4="New Consultant Contract"),$B90&lt;&gt;""),$C90*Thresholds_Rates!$F$16,IF(AND(OR($B$4="Clinical Lecturer / Medical Research Fellow",$B$4="Clinical Consultant - Old Contract (GP)"),$B90&lt;&gt;""),$C90*Thresholds_Rates!$F$16,IF(AND(OR($B$4="APM Level 7",$B$4="R&amp;T Level 7"),E90&lt;&gt;""),$C90*Thresholds_Rates!$F$16,IF(SUMIF(Grades!$A:$A,$B$4,Grades!$BP:$BP)=1,$C90*Thresholds_Rates!$F$16,"")))))))</f>
        <v/>
      </c>
      <c r="G90" s="25" t="str">
        <f ca="1">IF(B90="","",IF(SUMIF(Grades!$A:$A,$B$4,Grades!$BQ:$BQ)=0,"-",IF(AND($B$4="Salary Points 1 to 57",B90&gt;Thresholds_Rates!$C$17),"-",IF(AND($B$4="Salary Points 1 to 57",B90&lt;=Thresholds_Rates!$C$17),$C90*Thresholds_Rates!$F$17,IF(AND(OR($B$4="New Consultant Contract"),$B90&lt;&gt;""),$C90*Thresholds_Rates!$F$17,IF(AND(OR($B$4="Clinical Lecturer / Medical Research Fellow",$B$4="Clinical Consultant - Old Contract (GP)"),$B90&lt;&gt;""),$C90*Thresholds_Rates!$F$17,IF(AND(OR($B$4="APM Level 7",$B$4="R&amp;T Level 7"),F90&lt;&gt;""),$C90*Thresholds_Rates!$F$17,IF(SUMIF(Grades!$A:$A,$B$4,Grades!$BQ:$BQ)=1,$C90*Thresholds_Rates!$F$17,""))))))))</f>
        <v/>
      </c>
      <c r="H90" s="25" t="str">
        <f ca="1">IF($B90="","",ROUND(($C90-(Thresholds_Rates!$C$5*12))*Thresholds_Rates!$C$10,0))</f>
        <v/>
      </c>
      <c r="I90" s="25" t="str">
        <f ca="1">IF(B90="","",(C90*Thresholds_Rates!$C$12))</f>
        <v/>
      </c>
      <c r="J90" s="25" t="str">
        <f ca="1">IF(B90="","",IF(AND($B$4="Salary Points 1 to 57",B90&gt;Thresholds_Rates!$C$17),"-",IF(SUMIF(Grades!$A:$A,$B$4,Grades!$BR:$BR)=0,"-",IF(AND($B$4="Salary Points 1 to 57",B90&lt;=Thresholds_Rates!$C$17),$C90*Thresholds_Rates!$F$18,IF(AND(OR($B$4="New Consultant Contract"),$B90&lt;&gt;""),$C90*Thresholds_Rates!$F$18,IF(AND(OR($B$4="Clinical Lecturer / Medical Research Fellow",$B$4="Clinical Consultant - Old Contract (GP)"),$B90&lt;&gt;""),$C90*Thresholds_Rates!$F$18,IF(AND(OR($B$4="APM Level 7",$B$4="R&amp;T Level 7"),H90&lt;&gt;""),$C90*Thresholds_Rates!$F$18,IF(SUMIF(Grades!$A:$A,$B$4,Grades!$BQ:$BQ)=1,$C90*Thresholds_Rates!$F$18,""))))))))</f>
        <v/>
      </c>
      <c r="K90" s="4"/>
      <c r="L90" s="25" t="str">
        <f t="shared" ca="1" si="13"/>
        <v/>
      </c>
      <c r="M90" s="25" t="str">
        <f t="shared" ca="1" si="14"/>
        <v/>
      </c>
      <c r="N90" s="25" t="str">
        <f t="shared" ca="1" si="15"/>
        <v/>
      </c>
      <c r="O90" s="25" t="str">
        <f t="shared" ca="1" si="16"/>
        <v/>
      </c>
      <c r="P90" s="25" t="str">
        <f t="shared" ca="1" si="17"/>
        <v/>
      </c>
      <c r="R90" s="28" t="str">
        <f ca="1">IF(B90="","",IF($B$4="R&amp;T Level 5 - Clinical Lecturers (Vet School)",SUMIF(Points_Lookup!$P:$P,$B90,Points_Lookup!$Q:$Q),IF($B$4="R&amp;T Level 6 - Clinical Associate Professors and Clinical Readers (Vet School)",SUMIF(Points_Lookup!$W:$W,$B90,Points_Lookup!$X:$X),"")))</f>
        <v/>
      </c>
      <c r="S90" s="29" t="str">
        <f ca="1">IF(B90="","",IF($B$4="R&amp;T Level 5 - Clinical Lecturers (Vet School)",$C90-SUMIF(Points_Lookup!$P:$P,$B90,Points_Lookup!$R:$R),IF($B$4="R&amp;T Level 6 - Clinical Associate Professors and Clinical Readers (Vet School)",$C90-SUMIF(Points_Lookup!$W:$W,$B90,Points_Lookup!$Y:$Y),"")))</f>
        <v/>
      </c>
      <c r="T90" s="28" t="str">
        <f ca="1">IF(B90="","",IF($B$4="R&amp;T Level 5 - Clinical Lecturers (Vet School)",SUMIF(Points_Lookup!$P:$P,$B90,Points_Lookup!$T:$T),IF($B$4="R&amp;T Level 6 - Clinical Associate Professors and Clinical Readers (Vet School)",SUMIF(Points_Lookup!$W:$W,$B90,Points_Lookup!$AA:$AA),"")))</f>
        <v/>
      </c>
      <c r="U90" s="29" t="str">
        <f t="shared" ca="1" si="12"/>
        <v/>
      </c>
    </row>
    <row r="91" spans="2:21" x14ac:dyDescent="0.25">
      <c r="B91" s="4" t="str">
        <f ca="1">IFERROR(INDEX(Points_Lookup!$A:$A,MATCH($Z93,Points_Lookup!$AH:$AH,0)),"")</f>
        <v/>
      </c>
      <c r="C91" s="25" t="str">
        <f ca="1">IF(B91="","",IF($B$4="Apprenticeship",SUMIF(Points_Lookup!$AD:$AD,B91,Points_Lookup!$AF:$AF),IF(AND(OR($B$4="New Consultant Contract"),$B91&lt;&gt;""),INDEX(Points_Lookup!$N:$N,MATCH($B91,Points_Lookup!$M:$M,0)),IF(AND(OR($B$4="Clinical Lecturer / Medical Research Fellow",$B$4="Clinical Consultant - Old Contract (GP)"),$B91&lt;&gt;""),INDEX(Points_Lookup!$K:$K,MATCH($B91,Points_Lookup!$J:$J,0)),IF(AND(OR($B$4="APM Level 7",$B$4="R&amp;T Level 7",$B$4="APM Level 8"),B91&lt;&gt;""),INDEX(Points_Lookup!$E:$E,MATCH($Z91,Points_Lookup!$AH:$AH,0)),IF($B$4="R&amp;T Level 5 - Clinical Lecturers (Vet School)",SUMIF(Points_Lookup!$P:$P,$B91,Points_Lookup!$S:$S),IF($B$4="R&amp;T Level 6 - Clinical Associate Professors and Clinical Readers (Vet School)",SUMIF(Points_Lookup!$W:$W,$B91,Points_Lookup!$Z:$Z),IFERROR(INDEX(Points_Lookup!$B:$B,MATCH($Z91,Points_Lookup!$AH:$AH,0)),""))))))))</f>
        <v/>
      </c>
      <c r="D91" s="40"/>
      <c r="E91" s="25" t="str">
        <f ca="1">IF($B91="","",IF(AND($B$4="Salary Points 3 to 57",B91&lt;Thresholds_Rates!$C$16),"-",IF(SUMIF(Grades!$A:$A,$B$4,Grades!$BO:$BO)=0,"-",IF(AND($B$4="Salary Points 3 to 57",B91&gt;=Thresholds_Rates!$C$16),$C91*Thresholds_Rates!$F$15,IF(AND(OR($B$4="New Consultant Contract"),$B91&lt;&gt;""),$C91*Thresholds_Rates!$F$15,IF(AND(OR($B$4="Clinical Lecturer / Medical Research Fellow",$B$4="Clinical Consultant - Old Contract (GP)"),$B91&lt;&gt;""),$C91*Thresholds_Rates!$F$15,IF(OR($B$4="APM Level 7",$B$4="R&amp;T Level 7"),$C91*Thresholds_Rates!$F$15,IF(SUMIF(Grades!$A:$A,$B$4,Grades!$BO:$BO)=1,$C91*Thresholds_Rates!$F$15,""))))))))</f>
        <v/>
      </c>
      <c r="F91" s="25" t="str">
        <f ca="1">IF(B91="","",IF($B$4="Salary Points 1 to 57","-",IF(SUMIF(Grades!$A:$A,$B$4,Grades!$BP:$BP)=0,"-",IF(AND(OR($B$4="New Consultant Contract"),$B91&lt;&gt;""),$C91*Thresholds_Rates!$F$16,IF(AND(OR($B$4="Clinical Lecturer / Medical Research Fellow",$B$4="Clinical Consultant - Old Contract (GP)"),$B91&lt;&gt;""),$C91*Thresholds_Rates!$F$16,IF(AND(OR($B$4="APM Level 7",$B$4="R&amp;T Level 7"),E91&lt;&gt;""),$C91*Thresholds_Rates!$F$16,IF(SUMIF(Grades!$A:$A,$B$4,Grades!$BP:$BP)=1,$C91*Thresholds_Rates!$F$16,"")))))))</f>
        <v/>
      </c>
      <c r="G91" s="25" t="str">
        <f ca="1">IF(B91="","",IF(SUMIF(Grades!$A:$A,$B$4,Grades!$BQ:$BQ)=0,"-",IF(AND($B$4="Salary Points 1 to 57",B91&gt;Thresholds_Rates!$C$17),"-",IF(AND($B$4="Salary Points 1 to 57",B91&lt;=Thresholds_Rates!$C$17),$C91*Thresholds_Rates!$F$17,IF(AND(OR($B$4="New Consultant Contract"),$B91&lt;&gt;""),$C91*Thresholds_Rates!$F$17,IF(AND(OR($B$4="Clinical Lecturer / Medical Research Fellow",$B$4="Clinical Consultant - Old Contract (GP)"),$B91&lt;&gt;""),$C91*Thresholds_Rates!$F$17,IF(AND(OR($B$4="APM Level 7",$B$4="R&amp;T Level 7"),F91&lt;&gt;""),$C91*Thresholds_Rates!$F$17,IF(SUMIF(Grades!$A:$A,$B$4,Grades!$BQ:$BQ)=1,$C91*Thresholds_Rates!$F$17,""))))))))</f>
        <v/>
      </c>
      <c r="H91" s="25" t="str">
        <f ca="1">IF($B91="","",ROUND(($C91-(Thresholds_Rates!$C$5*12))*Thresholds_Rates!$C$10,0))</f>
        <v/>
      </c>
      <c r="I91" s="25" t="str">
        <f ca="1">IF(B91="","",(C91*Thresholds_Rates!$C$12))</f>
        <v/>
      </c>
      <c r="J91" s="25" t="str">
        <f ca="1">IF(B91="","",IF(AND($B$4="Salary Points 1 to 57",B91&gt;Thresholds_Rates!$C$17),"-",IF(SUMIF(Grades!$A:$A,$B$4,Grades!$BR:$BR)=0,"-",IF(AND($B$4="Salary Points 1 to 57",B91&lt;=Thresholds_Rates!$C$17),$C91*Thresholds_Rates!$F$18,IF(AND(OR($B$4="New Consultant Contract"),$B91&lt;&gt;""),$C91*Thresholds_Rates!$F$18,IF(AND(OR($B$4="Clinical Lecturer / Medical Research Fellow",$B$4="Clinical Consultant - Old Contract (GP)"),$B91&lt;&gt;""),$C91*Thresholds_Rates!$F$18,IF(AND(OR($B$4="APM Level 7",$B$4="R&amp;T Level 7"),H91&lt;&gt;""),$C91*Thresholds_Rates!$F$18,IF(SUMIF(Grades!$A:$A,$B$4,Grades!$BQ:$BQ)=1,$C91*Thresholds_Rates!$F$18,""))))))))</f>
        <v/>
      </c>
      <c r="K91" s="4"/>
      <c r="L91" s="25" t="str">
        <f t="shared" ca="1" si="13"/>
        <v/>
      </c>
      <c r="M91" s="25" t="str">
        <f t="shared" ca="1" si="14"/>
        <v/>
      </c>
      <c r="N91" s="25" t="str">
        <f t="shared" ca="1" si="15"/>
        <v/>
      </c>
      <c r="O91" s="25" t="str">
        <f t="shared" ca="1" si="16"/>
        <v/>
      </c>
      <c r="P91" s="25" t="str">
        <f t="shared" ca="1" si="17"/>
        <v/>
      </c>
      <c r="R91" s="28" t="str">
        <f ca="1">IF(B91="","",IF($B$4="R&amp;T Level 5 - Clinical Lecturers (Vet School)",SUMIF(Points_Lookup!$P:$P,$B91,Points_Lookup!$Q:$Q),IF($B$4="R&amp;T Level 6 - Clinical Associate Professors and Clinical Readers (Vet School)",SUMIF(Points_Lookup!$W:$W,$B91,Points_Lookup!$X:$X),"")))</f>
        <v/>
      </c>
      <c r="S91" s="29" t="str">
        <f ca="1">IF(B91="","",IF($B$4="R&amp;T Level 5 - Clinical Lecturers (Vet School)",$C91-SUMIF(Points_Lookup!$P:$P,$B91,Points_Lookup!$R:$R),IF($B$4="R&amp;T Level 6 - Clinical Associate Professors and Clinical Readers (Vet School)",$C91-SUMIF(Points_Lookup!$W:$W,$B91,Points_Lookup!$Y:$Y),"")))</f>
        <v/>
      </c>
      <c r="T91" s="28" t="str">
        <f ca="1">IF(B91="","",IF($B$4="R&amp;T Level 5 - Clinical Lecturers (Vet School)",SUMIF(Points_Lookup!$P:$P,$B91,Points_Lookup!$T:$T),IF($B$4="R&amp;T Level 6 - Clinical Associate Professors and Clinical Readers (Vet School)",SUMIF(Points_Lookup!$W:$W,$B91,Points_Lookup!$AA:$AA),"")))</f>
        <v/>
      </c>
      <c r="U91" s="29" t="str">
        <f t="shared" ca="1" si="12"/>
        <v/>
      </c>
    </row>
    <row r="92" spans="2:21" x14ac:dyDescent="0.25">
      <c r="B92" s="4" t="str">
        <f ca="1">IFERROR(INDEX(Points_Lookup!$A:$A,MATCH($Z94,Points_Lookup!$AH:$AH,0)),"")</f>
        <v/>
      </c>
      <c r="C92" s="25" t="str">
        <f ca="1">IF(B92="","",IF($B$4="Apprenticeship",SUMIF(Points_Lookup!$AD:$AD,B92,Points_Lookup!$AF:$AF),IF(AND(OR($B$4="New Consultant Contract"),$B92&lt;&gt;""),INDEX(Points_Lookup!$N:$N,MATCH($B92,Points_Lookup!$M:$M,0)),IF(AND(OR($B$4="Clinical Lecturer / Medical Research Fellow",$B$4="Clinical Consultant - Old Contract (GP)"),$B92&lt;&gt;""),INDEX(Points_Lookup!$K:$K,MATCH($B92,Points_Lookup!$J:$J,0)),IF(AND(OR($B$4="APM Level 7",$B$4="R&amp;T Level 7",$B$4="APM Level 8"),B92&lt;&gt;""),INDEX(Points_Lookup!$E:$E,MATCH($Z92,Points_Lookup!$AH:$AH,0)),IF($B$4="R&amp;T Level 5 - Clinical Lecturers (Vet School)",SUMIF(Points_Lookup!$P:$P,$B92,Points_Lookup!$S:$S),IF($B$4="R&amp;T Level 6 - Clinical Associate Professors and Clinical Readers (Vet School)",SUMIF(Points_Lookup!$W:$W,$B92,Points_Lookup!$Z:$Z),IFERROR(INDEX(Points_Lookup!$B:$B,MATCH($Z92,Points_Lookup!$AH:$AH,0)),""))))))))</f>
        <v/>
      </c>
      <c r="D92" s="40"/>
      <c r="E92" s="25" t="str">
        <f ca="1">IF($B92="","",IF(AND($B$4="Salary Points 3 to 57",B92&lt;Thresholds_Rates!$C$16),"-",IF(SUMIF(Grades!$A:$A,$B$4,Grades!$BO:$BO)=0,"-",IF(AND($B$4="Salary Points 3 to 57",B92&gt;=Thresholds_Rates!$C$16),$C92*Thresholds_Rates!$F$15,IF(AND(OR($B$4="New Consultant Contract"),$B92&lt;&gt;""),$C92*Thresholds_Rates!$F$15,IF(AND(OR($B$4="Clinical Lecturer / Medical Research Fellow",$B$4="Clinical Consultant - Old Contract (GP)"),$B92&lt;&gt;""),$C92*Thresholds_Rates!$F$15,IF(OR($B$4="APM Level 7",$B$4="R&amp;T Level 7"),$C92*Thresholds_Rates!$F$15,IF(SUMIF(Grades!$A:$A,$B$4,Grades!$BO:$BO)=1,$C92*Thresholds_Rates!$F$15,""))))))))</f>
        <v/>
      </c>
      <c r="F92" s="25" t="str">
        <f ca="1">IF(B92="","",IF($B$4="Salary Points 1 to 57","-",IF(SUMIF(Grades!$A:$A,$B$4,Grades!$BP:$BP)=0,"-",IF(AND(OR($B$4="New Consultant Contract"),$B92&lt;&gt;""),$C92*Thresholds_Rates!$F$16,IF(AND(OR($B$4="Clinical Lecturer / Medical Research Fellow",$B$4="Clinical Consultant - Old Contract (GP)"),$B92&lt;&gt;""),$C92*Thresholds_Rates!$F$16,IF(AND(OR($B$4="APM Level 7",$B$4="R&amp;T Level 7"),E92&lt;&gt;""),$C92*Thresholds_Rates!$F$16,IF(SUMIF(Grades!$A:$A,$B$4,Grades!$BP:$BP)=1,$C92*Thresholds_Rates!$F$16,"")))))))</f>
        <v/>
      </c>
      <c r="G92" s="25" t="str">
        <f ca="1">IF(B92="","",IF(SUMIF(Grades!$A:$A,$B$4,Grades!$BQ:$BQ)=0,"-",IF(AND($B$4="Salary Points 1 to 57",B92&gt;Thresholds_Rates!$C$17),"-",IF(AND($B$4="Salary Points 1 to 57",B92&lt;=Thresholds_Rates!$C$17),$C92*Thresholds_Rates!$F$17,IF(AND(OR($B$4="New Consultant Contract"),$B92&lt;&gt;""),$C92*Thresholds_Rates!$F$17,IF(AND(OR($B$4="Clinical Lecturer / Medical Research Fellow",$B$4="Clinical Consultant - Old Contract (GP)"),$B92&lt;&gt;""),$C92*Thresholds_Rates!$F$17,IF(AND(OR($B$4="APM Level 7",$B$4="R&amp;T Level 7"),F92&lt;&gt;""),$C92*Thresholds_Rates!$F$17,IF(SUMIF(Grades!$A:$A,$B$4,Grades!$BQ:$BQ)=1,$C92*Thresholds_Rates!$F$17,""))))))))</f>
        <v/>
      </c>
      <c r="H92" s="25" t="str">
        <f ca="1">IF($B92="","",ROUND(($C92-(Thresholds_Rates!$C$5*12))*Thresholds_Rates!$C$10,0))</f>
        <v/>
      </c>
      <c r="I92" s="25" t="str">
        <f ca="1">IF(B92="","",(C92*Thresholds_Rates!$C$12))</f>
        <v/>
      </c>
      <c r="J92" s="25" t="str">
        <f ca="1">IF(B92="","",IF(AND($B$4="Salary Points 1 to 57",B92&gt;Thresholds_Rates!$C$17),"-",IF(SUMIF(Grades!$A:$A,$B$4,Grades!$BR:$BR)=0,"-",IF(AND($B$4="Salary Points 1 to 57",B92&lt;=Thresholds_Rates!$C$17),$C92*Thresholds_Rates!$F$18,IF(AND(OR($B$4="New Consultant Contract"),$B92&lt;&gt;""),$C92*Thresholds_Rates!$F$18,IF(AND(OR($B$4="Clinical Lecturer / Medical Research Fellow",$B$4="Clinical Consultant - Old Contract (GP)"),$B92&lt;&gt;""),$C92*Thresholds_Rates!$F$18,IF(AND(OR($B$4="APM Level 7",$B$4="R&amp;T Level 7"),H92&lt;&gt;""),$C92*Thresholds_Rates!$F$18,IF(SUMIF(Grades!$A:$A,$B$4,Grades!$BQ:$BQ)=1,$C92*Thresholds_Rates!$F$18,""))))))))</f>
        <v/>
      </c>
      <c r="K92" s="4"/>
      <c r="L92" s="25" t="str">
        <f t="shared" ca="1" si="13"/>
        <v/>
      </c>
      <c r="M92" s="25" t="str">
        <f t="shared" ca="1" si="14"/>
        <v/>
      </c>
      <c r="N92" s="25" t="str">
        <f t="shared" ca="1" si="15"/>
        <v/>
      </c>
      <c r="O92" s="25" t="str">
        <f t="shared" ca="1" si="16"/>
        <v/>
      </c>
      <c r="P92" s="25" t="str">
        <f t="shared" ca="1" si="17"/>
        <v/>
      </c>
      <c r="R92" s="28" t="str">
        <f ca="1">IF(B92="","",IF($B$4="R&amp;T Level 5 - Clinical Lecturers (Vet School)",SUMIF(Points_Lookup!$P:$P,$B92,Points_Lookup!$Q:$Q),IF($B$4="R&amp;T Level 6 - Clinical Associate Professors and Clinical Readers (Vet School)",SUMIF(Points_Lookup!$W:$W,$B92,Points_Lookup!$X:$X),"")))</f>
        <v/>
      </c>
      <c r="S92" s="29" t="str">
        <f ca="1">IF(B92="","",IF($B$4="R&amp;T Level 5 - Clinical Lecturers (Vet School)",$C92-SUMIF(Points_Lookup!$P:$P,$B92,Points_Lookup!$R:$R),IF($B$4="R&amp;T Level 6 - Clinical Associate Professors and Clinical Readers (Vet School)",$C92-SUMIF(Points_Lookup!$W:$W,$B92,Points_Lookup!$Y:$Y),"")))</f>
        <v/>
      </c>
      <c r="T92" s="28" t="str">
        <f ca="1">IF(B92="","",IF($B$4="R&amp;T Level 5 - Clinical Lecturers (Vet School)",SUMIF(Points_Lookup!$P:$P,$B92,Points_Lookup!$T:$T),IF($B$4="R&amp;T Level 6 - Clinical Associate Professors and Clinical Readers (Vet School)",SUMIF(Points_Lookup!$W:$W,$B92,Points_Lookup!$AA:$AA),"")))</f>
        <v/>
      </c>
      <c r="U92" s="29" t="str">
        <f t="shared" ca="1" si="12"/>
        <v/>
      </c>
    </row>
    <row r="93" spans="2:21" x14ac:dyDescent="0.25">
      <c r="B93" s="4" t="str">
        <f ca="1">IFERROR(INDEX(Points_Lookup!$A:$A,MATCH($Z95,Points_Lookup!$AH:$AH,0)),"")</f>
        <v/>
      </c>
      <c r="C93" s="25" t="str">
        <f ca="1">IF(B93="","",IF($B$4="Apprenticeship",SUMIF(Points_Lookup!$AD:$AD,B93,Points_Lookup!$AF:$AF),IF(AND(OR($B$4="New Consultant Contract"),$B93&lt;&gt;""),INDEX(Points_Lookup!$N:$N,MATCH($B93,Points_Lookup!$M:$M,0)),IF(AND(OR($B$4="Clinical Lecturer / Medical Research Fellow",$B$4="Clinical Consultant - Old Contract (GP)"),$B93&lt;&gt;""),INDEX(Points_Lookup!$K:$K,MATCH($B93,Points_Lookup!$J:$J,0)),IF(AND(OR($B$4="APM Level 7",$B$4="R&amp;T Level 7",$B$4="APM Level 8"),B93&lt;&gt;""),INDEX(Points_Lookup!$E:$E,MATCH($Z93,Points_Lookup!$AH:$AH,0)),IF($B$4="R&amp;T Level 5 - Clinical Lecturers (Vet School)",SUMIF(Points_Lookup!$P:$P,$B93,Points_Lookup!$S:$S),IF($B$4="R&amp;T Level 6 - Clinical Associate Professors and Clinical Readers (Vet School)",SUMIF(Points_Lookup!$W:$W,$B93,Points_Lookup!$Z:$Z),IFERROR(INDEX(Points_Lookup!$B:$B,MATCH($Z93,Points_Lookup!$AH:$AH,0)),""))))))))</f>
        <v/>
      </c>
      <c r="D93" s="40"/>
      <c r="E93" s="25" t="str">
        <f ca="1">IF($B93="","",IF(AND($B$4="Salary Points 3 to 57",B93&lt;Thresholds_Rates!$C$16),"-",IF(SUMIF(Grades!$A:$A,$B$4,Grades!$BO:$BO)=0,"-",IF(AND($B$4="Salary Points 3 to 57",B93&gt;=Thresholds_Rates!$C$16),$C93*Thresholds_Rates!$F$15,IF(AND(OR($B$4="New Consultant Contract"),$B93&lt;&gt;""),$C93*Thresholds_Rates!$F$15,IF(AND(OR($B$4="Clinical Lecturer / Medical Research Fellow",$B$4="Clinical Consultant - Old Contract (GP)"),$B93&lt;&gt;""),$C93*Thresholds_Rates!$F$15,IF(OR($B$4="APM Level 7",$B$4="R&amp;T Level 7"),$C93*Thresholds_Rates!$F$15,IF(SUMIF(Grades!$A:$A,$B$4,Grades!$BO:$BO)=1,$C93*Thresholds_Rates!$F$15,""))))))))</f>
        <v/>
      </c>
      <c r="F93" s="25" t="str">
        <f ca="1">IF(B93="","",IF($B$4="Salary Points 1 to 57","-",IF(SUMIF(Grades!$A:$A,$B$4,Grades!$BP:$BP)=0,"-",IF(AND(OR($B$4="New Consultant Contract"),$B93&lt;&gt;""),$C93*Thresholds_Rates!$F$16,IF(AND(OR($B$4="Clinical Lecturer / Medical Research Fellow",$B$4="Clinical Consultant - Old Contract (GP)"),$B93&lt;&gt;""),$C93*Thresholds_Rates!$F$16,IF(AND(OR($B$4="APM Level 7",$B$4="R&amp;T Level 7"),E93&lt;&gt;""),$C93*Thresholds_Rates!$F$16,IF(SUMIF(Grades!$A:$A,$B$4,Grades!$BP:$BP)=1,$C93*Thresholds_Rates!$F$16,"")))))))</f>
        <v/>
      </c>
      <c r="G93" s="25" t="str">
        <f ca="1">IF(B93="","",IF(SUMIF(Grades!$A:$A,$B$4,Grades!$BQ:$BQ)=0,"-",IF(AND($B$4="Salary Points 1 to 57",B93&gt;Thresholds_Rates!$C$17),"-",IF(AND($B$4="Salary Points 1 to 57",B93&lt;=Thresholds_Rates!$C$17),$C93*Thresholds_Rates!$F$17,IF(AND(OR($B$4="New Consultant Contract"),$B93&lt;&gt;""),$C93*Thresholds_Rates!$F$17,IF(AND(OR($B$4="Clinical Lecturer / Medical Research Fellow",$B$4="Clinical Consultant - Old Contract (GP)"),$B93&lt;&gt;""),$C93*Thresholds_Rates!$F$17,IF(AND(OR($B$4="APM Level 7",$B$4="R&amp;T Level 7"),F93&lt;&gt;""),$C93*Thresholds_Rates!$F$17,IF(SUMIF(Grades!$A:$A,$B$4,Grades!$BQ:$BQ)=1,$C93*Thresholds_Rates!$F$17,""))))))))</f>
        <v/>
      </c>
      <c r="H93" s="25" t="str">
        <f ca="1">IF($B93="","",ROUND(($C93-(Thresholds_Rates!$C$5*12))*Thresholds_Rates!$C$10,0))</f>
        <v/>
      </c>
      <c r="I93" s="25" t="str">
        <f ca="1">IF(B93="","",(C93*Thresholds_Rates!$C$12))</f>
        <v/>
      </c>
      <c r="J93" s="25" t="str">
        <f ca="1">IF(B93="","",IF(AND($B$4="Salary Points 1 to 57",B93&gt;Thresholds_Rates!$C$17),"-",IF(SUMIF(Grades!$A:$A,$B$4,Grades!$BR:$BR)=0,"-",IF(AND($B$4="Salary Points 1 to 57",B93&lt;=Thresholds_Rates!$C$17),$C93*Thresholds_Rates!$F$18,IF(AND(OR($B$4="New Consultant Contract"),$B93&lt;&gt;""),$C93*Thresholds_Rates!$F$18,IF(AND(OR($B$4="Clinical Lecturer / Medical Research Fellow",$B$4="Clinical Consultant - Old Contract (GP)"),$B93&lt;&gt;""),$C93*Thresholds_Rates!$F$18,IF(AND(OR($B$4="APM Level 7",$B$4="R&amp;T Level 7"),H93&lt;&gt;""),$C93*Thresholds_Rates!$F$18,IF(SUMIF(Grades!$A:$A,$B$4,Grades!$BQ:$BQ)=1,$C93*Thresholds_Rates!$F$18,""))))))))</f>
        <v/>
      </c>
      <c r="K93" s="4"/>
      <c r="L93" s="25" t="str">
        <f t="shared" ca="1" si="13"/>
        <v/>
      </c>
      <c r="M93" s="25" t="str">
        <f t="shared" ca="1" si="14"/>
        <v/>
      </c>
      <c r="N93" s="25" t="str">
        <f t="shared" ca="1" si="15"/>
        <v/>
      </c>
      <c r="O93" s="25" t="str">
        <f t="shared" ca="1" si="16"/>
        <v/>
      </c>
      <c r="P93" s="25" t="str">
        <f t="shared" ca="1" si="17"/>
        <v/>
      </c>
      <c r="R93" s="28" t="str">
        <f ca="1">IF(B93="","",IF($B$4="R&amp;T Level 5 - Clinical Lecturers (Vet School)",SUMIF(Points_Lookup!$P:$P,$B93,Points_Lookup!$Q:$Q),IF($B$4="R&amp;T Level 6 - Clinical Associate Professors and Clinical Readers (Vet School)",SUMIF(Points_Lookup!$W:$W,$B93,Points_Lookup!$X:$X),"")))</f>
        <v/>
      </c>
      <c r="S93" s="29" t="str">
        <f ca="1">IF(B93="","",IF($B$4="R&amp;T Level 5 - Clinical Lecturers (Vet School)",$C93-SUMIF(Points_Lookup!$P:$P,$B93,Points_Lookup!$R:$R),IF($B$4="R&amp;T Level 6 - Clinical Associate Professors and Clinical Readers (Vet School)",$C93-SUMIF(Points_Lookup!$W:$W,$B93,Points_Lookup!$Y:$Y),"")))</f>
        <v/>
      </c>
      <c r="T93" s="28" t="str">
        <f ca="1">IF(B93="","",IF($B$4="R&amp;T Level 5 - Clinical Lecturers (Vet School)",SUMIF(Points_Lookup!$P:$P,$B93,Points_Lookup!$T:$T),IF($B$4="R&amp;T Level 6 - Clinical Associate Professors and Clinical Readers (Vet School)",SUMIF(Points_Lookup!$W:$W,$B93,Points_Lookup!$AA:$AA),"")))</f>
        <v/>
      </c>
      <c r="U93" s="29" t="str">
        <f t="shared" ca="1" si="12"/>
        <v/>
      </c>
    </row>
    <row r="94" spans="2:21" x14ac:dyDescent="0.25">
      <c r="B94" s="4" t="str">
        <f ca="1">IFERROR(INDEX(Points_Lookup!$A:$A,MATCH($Z96,Points_Lookup!$AH:$AH,0)),"")</f>
        <v/>
      </c>
      <c r="C94" s="25" t="str">
        <f ca="1">IF(B94="","",IF($B$4="Apprenticeship",SUMIF(Points_Lookup!$AD:$AD,B94,Points_Lookup!$AF:$AF),IF(AND(OR($B$4="New Consultant Contract"),$B94&lt;&gt;""),INDEX(Points_Lookup!$N:$N,MATCH($B94,Points_Lookup!$M:$M,0)),IF(AND(OR($B$4="Clinical Lecturer / Medical Research Fellow",$B$4="Clinical Consultant - Old Contract (GP)"),$B94&lt;&gt;""),INDEX(Points_Lookup!$K:$K,MATCH($B94,Points_Lookup!$J:$J,0)),IF(AND(OR($B$4="APM Level 7",$B$4="R&amp;T Level 7",$B$4="APM Level 8"),B94&lt;&gt;""),INDEX(Points_Lookup!$E:$E,MATCH($Z94,Points_Lookup!$AH:$AH,0)),IF($B$4="R&amp;T Level 5 - Clinical Lecturers (Vet School)",SUMIF(Points_Lookup!$P:$P,$B94,Points_Lookup!$S:$S),IF($B$4="R&amp;T Level 6 - Clinical Associate Professors and Clinical Readers (Vet School)",SUMIF(Points_Lookup!$W:$W,$B94,Points_Lookup!$Z:$Z),IFERROR(INDEX(Points_Lookup!$B:$B,MATCH($Z94,Points_Lookup!$AH:$AH,0)),""))))))))</f>
        <v/>
      </c>
      <c r="D94" s="40"/>
      <c r="E94" s="25" t="str">
        <f ca="1">IF($B94="","",IF(AND($B$4="Salary Points 3 to 57",B94&lt;Thresholds_Rates!$C$16),"-",IF(SUMIF(Grades!$A:$A,$B$4,Grades!$BO:$BO)=0,"-",IF(AND($B$4="Salary Points 3 to 57",B94&gt;=Thresholds_Rates!$C$16),$C94*Thresholds_Rates!$F$15,IF(AND(OR($B$4="New Consultant Contract"),$B94&lt;&gt;""),$C94*Thresholds_Rates!$F$15,IF(AND(OR($B$4="Clinical Lecturer / Medical Research Fellow",$B$4="Clinical Consultant - Old Contract (GP)"),$B94&lt;&gt;""),$C94*Thresholds_Rates!$F$15,IF(OR($B$4="APM Level 7",$B$4="R&amp;T Level 7"),$C94*Thresholds_Rates!$F$15,IF(SUMIF(Grades!$A:$A,$B$4,Grades!$BO:$BO)=1,$C94*Thresholds_Rates!$F$15,""))))))))</f>
        <v/>
      </c>
      <c r="F94" s="25" t="str">
        <f ca="1">IF(B94="","",IF($B$4="Salary Points 1 to 57","-",IF(SUMIF(Grades!$A:$A,$B$4,Grades!$BP:$BP)=0,"-",IF(AND(OR($B$4="New Consultant Contract"),$B94&lt;&gt;""),$C94*Thresholds_Rates!$F$16,IF(AND(OR($B$4="Clinical Lecturer / Medical Research Fellow",$B$4="Clinical Consultant - Old Contract (GP)"),$B94&lt;&gt;""),$C94*Thresholds_Rates!$F$16,IF(AND(OR($B$4="APM Level 7",$B$4="R&amp;T Level 7"),E94&lt;&gt;""),$C94*Thresholds_Rates!$F$16,IF(SUMIF(Grades!$A:$A,$B$4,Grades!$BP:$BP)=1,$C94*Thresholds_Rates!$F$16,"")))))))</f>
        <v/>
      </c>
      <c r="G94" s="25" t="str">
        <f ca="1">IF(B94="","",IF(SUMIF(Grades!$A:$A,$B$4,Grades!$BQ:$BQ)=0,"-",IF(AND($B$4="Salary Points 1 to 57",B94&gt;Thresholds_Rates!$C$17),"-",IF(AND($B$4="Salary Points 1 to 57",B94&lt;=Thresholds_Rates!$C$17),$C94*Thresholds_Rates!$F$17,IF(AND(OR($B$4="New Consultant Contract"),$B94&lt;&gt;""),$C94*Thresholds_Rates!$F$17,IF(AND(OR($B$4="Clinical Lecturer / Medical Research Fellow",$B$4="Clinical Consultant - Old Contract (GP)"),$B94&lt;&gt;""),$C94*Thresholds_Rates!$F$17,IF(AND(OR($B$4="APM Level 7",$B$4="R&amp;T Level 7"),F94&lt;&gt;""),$C94*Thresholds_Rates!$F$17,IF(SUMIF(Grades!$A:$A,$B$4,Grades!$BQ:$BQ)=1,$C94*Thresholds_Rates!$F$17,""))))))))</f>
        <v/>
      </c>
      <c r="H94" s="25" t="str">
        <f ca="1">IF($B94="","",ROUND(($C94-(Thresholds_Rates!$C$5*12))*Thresholds_Rates!$C$10,0))</f>
        <v/>
      </c>
      <c r="I94" s="25" t="str">
        <f ca="1">IF(B94="","",(C94*Thresholds_Rates!$C$12))</f>
        <v/>
      </c>
      <c r="J94" s="25" t="str">
        <f ca="1">IF(B94="","",IF(AND($B$4="Salary Points 1 to 57",B94&gt;Thresholds_Rates!$C$17),"-",IF(SUMIF(Grades!$A:$A,$B$4,Grades!$BR:$BR)=0,"-",IF(AND($B$4="Salary Points 1 to 57",B94&lt;=Thresholds_Rates!$C$17),$C94*Thresholds_Rates!$F$18,IF(AND(OR($B$4="New Consultant Contract"),$B94&lt;&gt;""),$C94*Thresholds_Rates!$F$18,IF(AND(OR($B$4="Clinical Lecturer / Medical Research Fellow",$B$4="Clinical Consultant - Old Contract (GP)"),$B94&lt;&gt;""),$C94*Thresholds_Rates!$F$18,IF(AND(OR($B$4="APM Level 7",$B$4="R&amp;T Level 7"),H94&lt;&gt;""),$C94*Thresholds_Rates!$F$18,IF(SUMIF(Grades!$A:$A,$B$4,Grades!$BQ:$BQ)=1,$C94*Thresholds_Rates!$F$18,""))))))))</f>
        <v/>
      </c>
      <c r="K94" s="4"/>
      <c r="L94" s="25" t="str">
        <f t="shared" ca="1" si="13"/>
        <v/>
      </c>
      <c r="M94" s="25" t="str">
        <f t="shared" ca="1" si="14"/>
        <v/>
      </c>
      <c r="N94" s="25" t="str">
        <f t="shared" ca="1" si="15"/>
        <v/>
      </c>
      <c r="O94" s="25" t="str">
        <f t="shared" ca="1" si="16"/>
        <v/>
      </c>
      <c r="P94" s="25" t="str">
        <f t="shared" ca="1" si="17"/>
        <v/>
      </c>
      <c r="R94" s="28" t="str">
        <f ca="1">IF(B94="","",IF($B$4="R&amp;T Level 5 - Clinical Lecturers (Vet School)",SUMIF(Points_Lookup!$P:$P,$B94,Points_Lookup!$Q:$Q),IF($B$4="R&amp;T Level 6 - Clinical Associate Professors and Clinical Readers (Vet School)",SUMIF(Points_Lookup!$W:$W,$B94,Points_Lookup!$X:$X),"")))</f>
        <v/>
      </c>
      <c r="S94" s="29" t="str">
        <f ca="1">IF(B94="","",IF($B$4="R&amp;T Level 5 - Clinical Lecturers (Vet School)",$C94-SUMIF(Points_Lookup!$P:$P,$B94,Points_Lookup!$R:$R),IF($B$4="R&amp;T Level 6 - Clinical Associate Professors and Clinical Readers (Vet School)",$C94-SUMIF(Points_Lookup!$W:$W,$B94,Points_Lookup!$Y:$Y),"")))</f>
        <v/>
      </c>
      <c r="T94" s="28" t="str">
        <f ca="1">IF(B94="","",IF($B$4="R&amp;T Level 5 - Clinical Lecturers (Vet School)",SUMIF(Points_Lookup!$P:$P,$B94,Points_Lookup!$T:$T),IF($B$4="R&amp;T Level 6 - Clinical Associate Professors and Clinical Readers (Vet School)",SUMIF(Points_Lookup!$W:$W,$B94,Points_Lookup!$AA:$AA),"")))</f>
        <v/>
      </c>
      <c r="U94" s="29" t="str">
        <f t="shared" ca="1" si="12"/>
        <v/>
      </c>
    </row>
    <row r="95" spans="2:21" x14ac:dyDescent="0.25">
      <c r="B95" s="4" t="str">
        <f ca="1">IFERROR(INDEX(Points_Lookup!$A:$A,MATCH($Z97,Points_Lookup!$AH:$AH,0)),"")</f>
        <v/>
      </c>
      <c r="C95" s="25" t="str">
        <f ca="1">IF(B95="","",IF($B$4="Apprenticeship",SUMIF(Points_Lookup!$AD:$AD,B95,Points_Lookup!$AF:$AF),IF(AND(OR($B$4="New Consultant Contract"),$B95&lt;&gt;""),INDEX(Points_Lookup!$N:$N,MATCH($B95,Points_Lookup!$M:$M,0)),IF(AND(OR($B$4="Clinical Lecturer / Medical Research Fellow",$B$4="Clinical Consultant - Old Contract (GP)"),$B95&lt;&gt;""),INDEX(Points_Lookup!$K:$K,MATCH($B95,Points_Lookup!$J:$J,0)),IF(AND(OR($B$4="APM Level 7",$B$4="R&amp;T Level 7",$B$4="APM Level 8"),B95&lt;&gt;""),INDEX(Points_Lookup!$E:$E,MATCH($Z95,Points_Lookup!$AH:$AH,0)),IF($B$4="R&amp;T Level 5 - Clinical Lecturers (Vet School)",SUMIF(Points_Lookup!$P:$P,$B95,Points_Lookup!$S:$S),IF($B$4="R&amp;T Level 6 - Clinical Associate Professors and Clinical Readers (Vet School)",SUMIF(Points_Lookup!$W:$W,$B95,Points_Lookup!$Z:$Z),IFERROR(INDEX(Points_Lookup!$B:$B,MATCH($Z95,Points_Lookup!$AH:$AH,0)),""))))))))</f>
        <v/>
      </c>
      <c r="D95" s="40"/>
      <c r="E95" s="25" t="str">
        <f ca="1">IF($B95="","",IF(AND($B$4="Salary Points 3 to 57",B95&lt;Thresholds_Rates!$C$16),"-",IF(SUMIF(Grades!$A:$A,$B$4,Grades!$BO:$BO)=0,"-",IF(AND($B$4="Salary Points 3 to 57",B95&gt;=Thresholds_Rates!$C$16),$C95*Thresholds_Rates!$F$15,IF(AND(OR($B$4="New Consultant Contract"),$B95&lt;&gt;""),$C95*Thresholds_Rates!$F$15,IF(AND(OR($B$4="Clinical Lecturer / Medical Research Fellow",$B$4="Clinical Consultant - Old Contract (GP)"),$B95&lt;&gt;""),$C95*Thresholds_Rates!$F$15,IF(OR($B$4="APM Level 7",$B$4="R&amp;T Level 7"),$C95*Thresholds_Rates!$F$15,IF(SUMIF(Grades!$A:$A,$B$4,Grades!$BO:$BO)=1,$C95*Thresholds_Rates!$F$15,""))))))))</f>
        <v/>
      </c>
      <c r="F95" s="25" t="str">
        <f ca="1">IF(B95="","",IF($B$4="Salary Points 1 to 57","-",IF(SUMIF(Grades!$A:$A,$B$4,Grades!$BP:$BP)=0,"-",IF(AND(OR($B$4="New Consultant Contract"),$B95&lt;&gt;""),$C95*Thresholds_Rates!$F$16,IF(AND(OR($B$4="Clinical Lecturer / Medical Research Fellow",$B$4="Clinical Consultant - Old Contract (GP)"),$B95&lt;&gt;""),$C95*Thresholds_Rates!$F$16,IF(AND(OR($B$4="APM Level 7",$B$4="R&amp;T Level 7"),E95&lt;&gt;""),$C95*Thresholds_Rates!$F$16,IF(SUMIF(Grades!$A:$A,$B$4,Grades!$BP:$BP)=1,$C95*Thresholds_Rates!$F$16,"")))))))</f>
        <v/>
      </c>
      <c r="G95" s="25" t="str">
        <f ca="1">IF(B95="","",IF(SUMIF(Grades!$A:$A,$B$4,Grades!$BQ:$BQ)=0,"-",IF(AND($B$4="Salary Points 1 to 57",B95&gt;Thresholds_Rates!$C$17),"-",IF(AND($B$4="Salary Points 1 to 57",B95&lt;=Thresholds_Rates!$C$17),$C95*Thresholds_Rates!$F$17,IF(AND(OR($B$4="New Consultant Contract"),$B95&lt;&gt;""),$C95*Thresholds_Rates!$F$17,IF(AND(OR($B$4="Clinical Lecturer / Medical Research Fellow",$B$4="Clinical Consultant - Old Contract (GP)"),$B95&lt;&gt;""),$C95*Thresholds_Rates!$F$17,IF(AND(OR($B$4="APM Level 7",$B$4="R&amp;T Level 7"),F95&lt;&gt;""),$C95*Thresholds_Rates!$F$17,IF(SUMIF(Grades!$A:$A,$B$4,Grades!$BQ:$BQ)=1,$C95*Thresholds_Rates!$F$17,""))))))))</f>
        <v/>
      </c>
      <c r="H95" s="25" t="str">
        <f ca="1">IF($B95="","",ROUND(($C95-(Thresholds_Rates!$C$5*12))*Thresholds_Rates!$C$10,0))</f>
        <v/>
      </c>
      <c r="I95" s="25" t="str">
        <f ca="1">IF(B95="","",(C95*Thresholds_Rates!$C$12))</f>
        <v/>
      </c>
      <c r="J95" s="25" t="str">
        <f ca="1">IF(B95="","",IF(AND($B$4="Salary Points 1 to 57",B95&gt;Thresholds_Rates!$C$17),"-",IF(SUMIF(Grades!$A:$A,$B$4,Grades!$BR:$BR)=0,"-",IF(AND($B$4="Salary Points 1 to 57",B95&lt;=Thresholds_Rates!$C$17),$C95*Thresholds_Rates!$F$18,IF(AND(OR($B$4="New Consultant Contract"),$B95&lt;&gt;""),$C95*Thresholds_Rates!$F$18,IF(AND(OR($B$4="Clinical Lecturer / Medical Research Fellow",$B$4="Clinical Consultant - Old Contract (GP)"),$B95&lt;&gt;""),$C95*Thresholds_Rates!$F$18,IF(AND(OR($B$4="APM Level 7",$B$4="R&amp;T Level 7"),H95&lt;&gt;""),$C95*Thresholds_Rates!$F$18,IF(SUMIF(Grades!$A:$A,$B$4,Grades!$BQ:$BQ)=1,$C95*Thresholds_Rates!$F$18,""))))))))</f>
        <v/>
      </c>
      <c r="K95" s="4"/>
      <c r="L95" s="25" t="str">
        <f t="shared" ca="1" si="13"/>
        <v/>
      </c>
      <c r="M95" s="25" t="str">
        <f t="shared" ca="1" si="14"/>
        <v/>
      </c>
      <c r="N95" s="25" t="str">
        <f t="shared" ca="1" si="15"/>
        <v/>
      </c>
      <c r="O95" s="25" t="str">
        <f t="shared" ca="1" si="16"/>
        <v/>
      </c>
      <c r="P95" s="25" t="str">
        <f t="shared" ca="1" si="17"/>
        <v/>
      </c>
      <c r="R95" s="28" t="str">
        <f ca="1">IF(B95="","",IF($B$4="R&amp;T Level 5 - Clinical Lecturers (Vet School)",SUMIF(Points_Lookup!$P:$P,$B95,Points_Lookup!$Q:$Q),IF($B$4="R&amp;T Level 6 - Clinical Associate Professors and Clinical Readers (Vet School)",SUMIF(Points_Lookup!$W:$W,$B95,Points_Lookup!$X:$X),"")))</f>
        <v/>
      </c>
      <c r="S95" s="29" t="str">
        <f ca="1">IF(B95="","",IF($B$4="R&amp;T Level 5 - Clinical Lecturers (Vet School)",$C95-SUMIF(Points_Lookup!$P:$P,$B95,Points_Lookup!$R:$R),IF($B$4="R&amp;T Level 6 - Clinical Associate Professors and Clinical Readers (Vet School)",$C95-SUMIF(Points_Lookup!$W:$W,$B95,Points_Lookup!$Y:$Y),"")))</f>
        <v/>
      </c>
      <c r="T95" s="28" t="str">
        <f ca="1">IF(B95="","",IF($B$4="R&amp;T Level 5 - Clinical Lecturers (Vet School)",SUMIF(Points_Lookup!$P:$P,$B95,Points_Lookup!$T:$T),IF($B$4="R&amp;T Level 6 - Clinical Associate Professors and Clinical Readers (Vet School)",SUMIF(Points_Lookup!$W:$W,$B95,Points_Lookup!$AA:$AA),"")))</f>
        <v/>
      </c>
      <c r="U95" s="29" t="str">
        <f t="shared" ca="1" si="12"/>
        <v/>
      </c>
    </row>
    <row r="96" spans="2:21" x14ac:dyDescent="0.25">
      <c r="B96" s="4" t="str">
        <f ca="1">IFERROR(INDEX(Points_Lookup!$A:$A,MATCH($Z98,Points_Lookup!$AH:$AH,0)),"")</f>
        <v/>
      </c>
      <c r="C96" s="25" t="str">
        <f ca="1">IF(B96="","",IF($B$4="Apprenticeship",SUMIF(Points_Lookup!$AD:$AD,B96,Points_Lookup!$AF:$AF),IF(AND(OR($B$4="New Consultant Contract"),$B96&lt;&gt;""),INDEX(Points_Lookup!$N:$N,MATCH($B96,Points_Lookup!$M:$M,0)),IF(AND(OR($B$4="Clinical Lecturer / Medical Research Fellow",$B$4="Clinical Consultant - Old Contract (GP)"),$B96&lt;&gt;""),INDEX(Points_Lookup!$K:$K,MATCH($B96,Points_Lookup!$J:$J,0)),IF(AND(OR($B$4="APM Level 7",$B$4="R&amp;T Level 7",$B$4="APM Level 8"),B96&lt;&gt;""),INDEX(Points_Lookup!$E:$E,MATCH($Z96,Points_Lookup!$AH:$AH,0)),IF($B$4="R&amp;T Level 5 - Clinical Lecturers (Vet School)",SUMIF(Points_Lookup!$P:$P,$B96,Points_Lookup!$S:$S),IF($B$4="R&amp;T Level 6 - Clinical Associate Professors and Clinical Readers (Vet School)",SUMIF(Points_Lookup!$W:$W,$B96,Points_Lookup!$Z:$Z),IFERROR(INDEX(Points_Lookup!$B:$B,MATCH($Z96,Points_Lookup!$AH:$AH,0)),""))))))))</f>
        <v/>
      </c>
      <c r="D96" s="40"/>
      <c r="E96" s="25" t="str">
        <f ca="1">IF($B96="","",IF(AND($B$4="Salary Points 3 to 57",B96&lt;Thresholds_Rates!$C$16),"-",IF(SUMIF(Grades!$A:$A,$B$4,Grades!$BO:$BO)=0,"-",IF(AND($B$4="Salary Points 3 to 57",B96&gt;=Thresholds_Rates!$C$16),$C96*Thresholds_Rates!$F$15,IF(AND(OR($B$4="New Consultant Contract"),$B96&lt;&gt;""),$C96*Thresholds_Rates!$F$15,IF(AND(OR($B$4="Clinical Lecturer / Medical Research Fellow",$B$4="Clinical Consultant - Old Contract (GP)"),$B96&lt;&gt;""),$C96*Thresholds_Rates!$F$15,IF(OR($B$4="APM Level 7",$B$4="R&amp;T Level 7"),$C96*Thresholds_Rates!$F$15,IF(SUMIF(Grades!$A:$A,$B$4,Grades!$BO:$BO)=1,$C96*Thresholds_Rates!$F$15,""))))))))</f>
        <v/>
      </c>
      <c r="F96" s="25" t="str">
        <f ca="1">IF(B96="","",IF($B$4="Salary Points 1 to 57","-",IF(SUMIF(Grades!$A:$A,$B$4,Grades!$BP:$BP)=0,"-",IF(AND(OR($B$4="New Consultant Contract"),$B96&lt;&gt;""),$C96*Thresholds_Rates!$F$16,IF(AND(OR($B$4="Clinical Lecturer / Medical Research Fellow",$B$4="Clinical Consultant - Old Contract (GP)"),$B96&lt;&gt;""),$C96*Thresholds_Rates!$F$16,IF(AND(OR($B$4="APM Level 7",$B$4="R&amp;T Level 7"),E96&lt;&gt;""),$C96*Thresholds_Rates!$F$16,IF(SUMIF(Grades!$A:$A,$B$4,Grades!$BP:$BP)=1,$C96*Thresholds_Rates!$F$16,"")))))))</f>
        <v/>
      </c>
      <c r="G96" s="25" t="str">
        <f ca="1">IF(B96="","",IF(SUMIF(Grades!$A:$A,$B$4,Grades!$BQ:$BQ)=0,"-",IF(AND($B$4="Salary Points 1 to 57",B96&gt;Thresholds_Rates!$C$17),"-",IF(AND($B$4="Salary Points 1 to 57",B96&lt;=Thresholds_Rates!$C$17),$C96*Thresholds_Rates!$F$17,IF(AND(OR($B$4="New Consultant Contract"),$B96&lt;&gt;""),$C96*Thresholds_Rates!$F$17,IF(AND(OR($B$4="Clinical Lecturer / Medical Research Fellow",$B$4="Clinical Consultant - Old Contract (GP)"),$B96&lt;&gt;""),$C96*Thresholds_Rates!$F$17,IF(AND(OR($B$4="APM Level 7",$B$4="R&amp;T Level 7"),F96&lt;&gt;""),$C96*Thresholds_Rates!$F$17,IF(SUMIF(Grades!$A:$A,$B$4,Grades!$BQ:$BQ)=1,$C96*Thresholds_Rates!$F$17,""))))))))</f>
        <v/>
      </c>
      <c r="H96" s="25" t="str">
        <f ca="1">IF($B96="","",ROUND(($C96-(Thresholds_Rates!$C$5*12))*Thresholds_Rates!$C$10,0))</f>
        <v/>
      </c>
      <c r="I96" s="25" t="str">
        <f ca="1">IF(B96="","",(C96*Thresholds_Rates!$C$12))</f>
        <v/>
      </c>
      <c r="J96" s="25" t="str">
        <f ca="1">IF(B96="","",IF(AND($B$4="Salary Points 1 to 57",B96&gt;Thresholds_Rates!$C$17),"-",IF(SUMIF(Grades!$A:$A,$B$4,Grades!$BR:$BR)=0,"-",IF(AND($B$4="Salary Points 1 to 57",B96&lt;=Thresholds_Rates!$C$17),$C96*Thresholds_Rates!$F$18,IF(AND(OR($B$4="New Consultant Contract"),$B96&lt;&gt;""),$C96*Thresholds_Rates!$F$18,IF(AND(OR($B$4="Clinical Lecturer / Medical Research Fellow",$B$4="Clinical Consultant - Old Contract (GP)"),$B96&lt;&gt;""),$C96*Thresholds_Rates!$F$18,IF(AND(OR($B$4="APM Level 7",$B$4="R&amp;T Level 7"),H96&lt;&gt;""),$C96*Thresholds_Rates!$F$18,IF(SUMIF(Grades!$A:$A,$B$4,Grades!$BQ:$BQ)=1,$C96*Thresholds_Rates!$F$18,""))))))))</f>
        <v/>
      </c>
      <c r="K96" s="4"/>
      <c r="L96" s="25" t="str">
        <f t="shared" ca="1" si="13"/>
        <v/>
      </c>
      <c r="M96" s="25" t="str">
        <f t="shared" ca="1" si="14"/>
        <v/>
      </c>
      <c r="N96" s="25" t="str">
        <f t="shared" ca="1" si="15"/>
        <v/>
      </c>
      <c r="O96" s="25" t="str">
        <f t="shared" ca="1" si="16"/>
        <v/>
      </c>
      <c r="P96" s="25" t="str">
        <f t="shared" ca="1" si="17"/>
        <v/>
      </c>
      <c r="R96" s="28" t="str">
        <f ca="1">IF(B96="","",IF($B$4="R&amp;T Level 5 - Clinical Lecturers (Vet School)",SUMIF(Points_Lookup!$P:$P,$B96,Points_Lookup!$Q:$Q),IF($B$4="R&amp;T Level 6 - Clinical Associate Professors and Clinical Readers (Vet School)",SUMIF(Points_Lookup!$W:$W,$B96,Points_Lookup!$X:$X),"")))</f>
        <v/>
      </c>
      <c r="S96" s="29" t="str">
        <f ca="1">IF(B96="","",IF($B$4="R&amp;T Level 5 - Clinical Lecturers (Vet School)",$C96-SUMIF(Points_Lookup!$P:$P,$B96,Points_Lookup!$R:$R),IF($B$4="R&amp;T Level 6 - Clinical Associate Professors and Clinical Readers (Vet School)",$C96-SUMIF(Points_Lookup!$W:$W,$B96,Points_Lookup!$Y:$Y),"")))</f>
        <v/>
      </c>
      <c r="T96" s="28" t="str">
        <f ca="1">IF(B96="","",IF($B$4="R&amp;T Level 5 - Clinical Lecturers (Vet School)",SUMIF(Points_Lookup!$P:$P,$B96,Points_Lookup!$T:$T),IF($B$4="R&amp;T Level 6 - Clinical Associate Professors and Clinical Readers (Vet School)",SUMIF(Points_Lookup!$W:$W,$B96,Points_Lookup!$AA:$AA),"")))</f>
        <v/>
      </c>
      <c r="U96" s="29" t="str">
        <f t="shared" ca="1" si="12"/>
        <v/>
      </c>
    </row>
    <row r="97" spans="2:21" x14ac:dyDescent="0.25">
      <c r="B97" s="4" t="str">
        <f ca="1">IFERROR(INDEX(Points_Lookup!$A:$A,MATCH($Z99,Points_Lookup!$AH:$AH,0)),"")</f>
        <v/>
      </c>
      <c r="C97" s="25" t="str">
        <f ca="1">IF(B97="","",IF($B$4="Apprenticeship",SUMIF(Points_Lookup!$AD:$AD,B97,Points_Lookup!$AF:$AF),IF(AND(OR($B$4="New Consultant Contract"),$B97&lt;&gt;""),INDEX(Points_Lookup!$N:$N,MATCH($B97,Points_Lookup!$M:$M,0)),IF(AND(OR($B$4="Clinical Lecturer / Medical Research Fellow",$B$4="Clinical Consultant - Old Contract (GP)"),$B97&lt;&gt;""),INDEX(Points_Lookup!$K:$K,MATCH($B97,Points_Lookup!$J:$J,0)),IF(AND(OR($B$4="APM Level 7",$B$4="R&amp;T Level 7",$B$4="APM Level 8"),B97&lt;&gt;""),INDEX(Points_Lookup!$E:$E,MATCH($Z97,Points_Lookup!$AH:$AH,0)),IF($B$4="R&amp;T Level 5 - Clinical Lecturers (Vet School)",SUMIF(Points_Lookup!$P:$P,$B97,Points_Lookup!$S:$S),IF($B$4="R&amp;T Level 6 - Clinical Associate Professors and Clinical Readers (Vet School)",SUMIF(Points_Lookup!$W:$W,$B97,Points_Lookup!$Z:$Z),IFERROR(INDEX(Points_Lookup!$B:$B,MATCH($Z97,Points_Lookup!$AH:$AH,0)),""))))))))</f>
        <v/>
      </c>
      <c r="D97" s="40"/>
      <c r="E97" s="25" t="str">
        <f ca="1">IF($B97="","",IF(AND($B$4="Salary Points 3 to 57",B97&lt;Thresholds_Rates!$C$16),"-",IF(SUMIF(Grades!$A:$A,$B$4,Grades!$BO:$BO)=0,"-",IF(AND($B$4="Salary Points 3 to 57",B97&gt;=Thresholds_Rates!$C$16),$C97*Thresholds_Rates!$F$15,IF(AND(OR($B$4="New Consultant Contract"),$B97&lt;&gt;""),$C97*Thresholds_Rates!$F$15,IF(AND(OR($B$4="Clinical Lecturer / Medical Research Fellow",$B$4="Clinical Consultant - Old Contract (GP)"),$B97&lt;&gt;""),$C97*Thresholds_Rates!$F$15,IF(OR($B$4="APM Level 7",$B$4="R&amp;T Level 7"),$C97*Thresholds_Rates!$F$15,IF(SUMIF(Grades!$A:$A,$B$4,Grades!$BO:$BO)=1,$C97*Thresholds_Rates!$F$15,""))))))))</f>
        <v/>
      </c>
      <c r="F97" s="25" t="str">
        <f ca="1">IF(B97="","",IF($B$4="Salary Points 1 to 57","-",IF(SUMIF(Grades!$A:$A,$B$4,Grades!$BP:$BP)=0,"-",IF(AND(OR($B$4="New Consultant Contract"),$B97&lt;&gt;""),$C97*Thresholds_Rates!$F$16,IF(AND(OR($B$4="Clinical Lecturer / Medical Research Fellow",$B$4="Clinical Consultant - Old Contract (GP)"),$B97&lt;&gt;""),$C97*Thresholds_Rates!$F$16,IF(AND(OR($B$4="APM Level 7",$B$4="R&amp;T Level 7"),E97&lt;&gt;""),$C97*Thresholds_Rates!$F$16,IF(SUMIF(Grades!$A:$A,$B$4,Grades!$BP:$BP)=1,$C97*Thresholds_Rates!$F$16,"")))))))</f>
        <v/>
      </c>
      <c r="G97" s="25" t="str">
        <f ca="1">IF(B97="","",IF(SUMIF(Grades!$A:$A,$B$4,Grades!$BQ:$BQ)=0,"-",IF(AND($B$4="Salary Points 1 to 57",B97&gt;Thresholds_Rates!$C$17),"-",IF(AND($B$4="Salary Points 1 to 57",B97&lt;=Thresholds_Rates!$C$17),$C97*Thresholds_Rates!$F$17,IF(AND(OR($B$4="New Consultant Contract"),$B97&lt;&gt;""),$C97*Thresholds_Rates!$F$17,IF(AND(OR($B$4="Clinical Lecturer / Medical Research Fellow",$B$4="Clinical Consultant - Old Contract (GP)"),$B97&lt;&gt;""),$C97*Thresholds_Rates!$F$17,IF(AND(OR($B$4="APM Level 7",$B$4="R&amp;T Level 7"),F97&lt;&gt;""),$C97*Thresholds_Rates!$F$17,IF(SUMIF(Grades!$A:$A,$B$4,Grades!$BQ:$BQ)=1,$C97*Thresholds_Rates!$F$17,""))))))))</f>
        <v/>
      </c>
      <c r="H97" s="25" t="str">
        <f ca="1">IF($B97="","",ROUND(($C97-(Thresholds_Rates!$C$5*12))*Thresholds_Rates!$C$10,0))</f>
        <v/>
      </c>
      <c r="I97" s="25" t="str">
        <f ca="1">IF(B97="","",(C97*Thresholds_Rates!$C$12))</f>
        <v/>
      </c>
      <c r="J97" s="25" t="str">
        <f ca="1">IF(B97="","",IF(AND($B$4="Salary Points 1 to 57",B97&gt;Thresholds_Rates!$C$17),"-",IF(SUMIF(Grades!$A:$A,$B$4,Grades!$BR:$BR)=0,"-",IF(AND($B$4="Salary Points 1 to 57",B97&lt;=Thresholds_Rates!$C$17),$C97*Thresholds_Rates!$F$18,IF(AND(OR($B$4="New Consultant Contract"),$B97&lt;&gt;""),$C97*Thresholds_Rates!$F$18,IF(AND(OR($B$4="Clinical Lecturer / Medical Research Fellow",$B$4="Clinical Consultant - Old Contract (GP)"),$B97&lt;&gt;""),$C97*Thresholds_Rates!$F$18,IF(AND(OR($B$4="APM Level 7",$B$4="R&amp;T Level 7"),H97&lt;&gt;""),$C97*Thresholds_Rates!$F$18,IF(SUMIF(Grades!$A:$A,$B$4,Grades!$BQ:$BQ)=1,$C97*Thresholds_Rates!$F$18,""))))))))</f>
        <v/>
      </c>
      <c r="K97" s="4"/>
      <c r="L97" s="25" t="str">
        <f t="shared" ca="1" si="13"/>
        <v/>
      </c>
      <c r="M97" s="25" t="str">
        <f t="shared" ca="1" si="14"/>
        <v/>
      </c>
      <c r="N97" s="25" t="str">
        <f t="shared" ca="1" si="15"/>
        <v/>
      </c>
      <c r="O97" s="25" t="str">
        <f t="shared" ca="1" si="16"/>
        <v/>
      </c>
      <c r="P97" s="25" t="str">
        <f t="shared" ca="1" si="17"/>
        <v/>
      </c>
      <c r="R97" s="28" t="str">
        <f ca="1">IF(B97="","",IF($B$4="R&amp;T Level 5 - Clinical Lecturers (Vet School)",SUMIF(Points_Lookup!$P:$P,$B97,Points_Lookup!$Q:$Q),IF($B$4="R&amp;T Level 6 - Clinical Associate Professors and Clinical Readers (Vet School)",SUMIF(Points_Lookup!$W:$W,$B97,Points_Lookup!$X:$X),"")))</f>
        <v/>
      </c>
      <c r="S97" s="29" t="str">
        <f ca="1">IF(B97="","",IF($B$4="R&amp;T Level 5 - Clinical Lecturers (Vet School)",$C97-SUMIF(Points_Lookup!$P:$P,$B97,Points_Lookup!$R:$R),IF($B$4="R&amp;T Level 6 - Clinical Associate Professors and Clinical Readers (Vet School)",$C97-SUMIF(Points_Lookup!$W:$W,$B97,Points_Lookup!$Y:$Y),"")))</f>
        <v/>
      </c>
      <c r="T97" s="28" t="str">
        <f ca="1">IF(B97="","",IF($B$4="R&amp;T Level 5 - Clinical Lecturers (Vet School)",SUMIF(Points_Lookup!$P:$P,$B97,Points_Lookup!$T:$T),IF($B$4="R&amp;T Level 6 - Clinical Associate Professors and Clinical Readers (Vet School)",SUMIF(Points_Lookup!$W:$W,$B97,Points_Lookup!$AA:$AA),"")))</f>
        <v/>
      </c>
      <c r="U97" s="29" t="str">
        <f t="shared" ca="1" si="12"/>
        <v/>
      </c>
    </row>
    <row r="98" spans="2:21" x14ac:dyDescent="0.25">
      <c r="B98" s="4" t="str">
        <f ca="1">IFERROR(INDEX(Points_Lookup!$A:$A,MATCH($Z100,Points_Lookup!$AH:$AH,0)),"")</f>
        <v/>
      </c>
      <c r="C98" s="25" t="str">
        <f ca="1">IF(B98="","",IF($B$4="Apprenticeship",SUMIF(Points_Lookup!$AD:$AD,B98,Points_Lookup!$AF:$AF),IF(AND(OR($B$4="New Consultant Contract"),$B98&lt;&gt;""),INDEX(Points_Lookup!$N:$N,MATCH($B98,Points_Lookup!$M:$M,0)),IF(AND(OR($B$4="Clinical Lecturer / Medical Research Fellow",$B$4="Clinical Consultant - Old Contract (GP)"),$B98&lt;&gt;""),INDEX(Points_Lookup!$K:$K,MATCH($B98,Points_Lookup!$J:$J,0)),IF(AND(OR($B$4="APM Level 7",$B$4="R&amp;T Level 7",$B$4="APM Level 8"),B98&lt;&gt;""),INDEX(Points_Lookup!$E:$E,MATCH($Z98,Points_Lookup!$AH:$AH,0)),IF($B$4="R&amp;T Level 5 - Clinical Lecturers (Vet School)",SUMIF(Points_Lookup!$P:$P,$B98,Points_Lookup!$S:$S),IF($B$4="R&amp;T Level 6 - Clinical Associate Professors and Clinical Readers (Vet School)",SUMIF(Points_Lookup!$W:$W,$B98,Points_Lookup!$Z:$Z),IFERROR(INDEX(Points_Lookup!$B:$B,MATCH($Z98,Points_Lookup!$AH:$AH,0)),""))))))))</f>
        <v/>
      </c>
      <c r="D98" s="40"/>
      <c r="E98" s="25" t="str">
        <f ca="1">IF($B98="","",IF(AND($B$4="Salary Points 3 to 57",B98&lt;Thresholds_Rates!$C$16),"-",IF(SUMIF(Grades!$A:$A,$B$4,Grades!$BO:$BO)=0,"-",IF(AND($B$4="Salary Points 3 to 57",B98&gt;=Thresholds_Rates!$C$16),$C98*Thresholds_Rates!$F$15,IF(AND(OR($B$4="New Consultant Contract"),$B98&lt;&gt;""),$C98*Thresholds_Rates!$F$15,IF(AND(OR($B$4="Clinical Lecturer / Medical Research Fellow",$B$4="Clinical Consultant - Old Contract (GP)"),$B98&lt;&gt;""),$C98*Thresholds_Rates!$F$15,IF(OR($B$4="APM Level 7",$B$4="R&amp;T Level 7"),$C98*Thresholds_Rates!$F$15,IF(SUMIF(Grades!$A:$A,$B$4,Grades!$BO:$BO)=1,$C98*Thresholds_Rates!$F$15,""))))))))</f>
        <v/>
      </c>
      <c r="F98" s="25" t="str">
        <f ca="1">IF(B98="","",IF($B$4="Salary Points 1 to 57","-",IF(SUMIF(Grades!$A:$A,$B$4,Grades!$BP:$BP)=0,"-",IF(AND(OR($B$4="New Consultant Contract"),$B98&lt;&gt;""),$C98*Thresholds_Rates!$F$16,IF(AND(OR($B$4="Clinical Lecturer / Medical Research Fellow",$B$4="Clinical Consultant - Old Contract (GP)"),$B98&lt;&gt;""),$C98*Thresholds_Rates!$F$16,IF(AND(OR($B$4="APM Level 7",$B$4="R&amp;T Level 7"),E98&lt;&gt;""),$C98*Thresholds_Rates!$F$16,IF(SUMIF(Grades!$A:$A,$B$4,Grades!$BP:$BP)=1,$C98*Thresholds_Rates!$F$16,"")))))))</f>
        <v/>
      </c>
      <c r="G98" s="25" t="str">
        <f ca="1">IF(B98="","",IF(SUMIF(Grades!$A:$A,$B$4,Grades!$BQ:$BQ)=0,"-",IF(AND($B$4="Salary Points 1 to 57",B98&gt;Thresholds_Rates!$C$17),"-",IF(AND($B$4="Salary Points 1 to 57",B98&lt;=Thresholds_Rates!$C$17),$C98*Thresholds_Rates!$F$17,IF(AND(OR($B$4="New Consultant Contract"),$B98&lt;&gt;""),$C98*Thresholds_Rates!$F$17,IF(AND(OR($B$4="Clinical Lecturer / Medical Research Fellow",$B$4="Clinical Consultant - Old Contract (GP)"),$B98&lt;&gt;""),$C98*Thresholds_Rates!$F$17,IF(AND(OR($B$4="APM Level 7",$B$4="R&amp;T Level 7"),F98&lt;&gt;""),$C98*Thresholds_Rates!$F$17,IF(SUMIF(Grades!$A:$A,$B$4,Grades!$BQ:$BQ)=1,$C98*Thresholds_Rates!$F$17,""))))))))</f>
        <v/>
      </c>
      <c r="H98" s="25" t="str">
        <f ca="1">IF($B98="","",ROUND(($C98-(Thresholds_Rates!$C$5*12))*Thresholds_Rates!$C$10,0))</f>
        <v/>
      </c>
      <c r="I98" s="25" t="str">
        <f ca="1">IF(B98="","",(C98*Thresholds_Rates!$C$12))</f>
        <v/>
      </c>
      <c r="J98" s="25" t="str">
        <f ca="1">IF(B98="","",IF(AND($B$4="Salary Points 1 to 57",B98&gt;Thresholds_Rates!$C$17),"-",IF(SUMIF(Grades!$A:$A,$B$4,Grades!$BR:$BR)=0,"-",IF(AND($B$4="Salary Points 1 to 57",B98&lt;=Thresholds_Rates!$C$17),$C98*Thresholds_Rates!$F$18,IF(AND(OR($B$4="New Consultant Contract"),$B98&lt;&gt;""),$C98*Thresholds_Rates!$F$18,IF(AND(OR($B$4="Clinical Lecturer / Medical Research Fellow",$B$4="Clinical Consultant - Old Contract (GP)"),$B98&lt;&gt;""),$C98*Thresholds_Rates!$F$18,IF(AND(OR($B$4="APM Level 7",$B$4="R&amp;T Level 7"),H98&lt;&gt;""),$C98*Thresholds_Rates!$F$18,IF(SUMIF(Grades!$A:$A,$B$4,Grades!$BQ:$BQ)=1,$C98*Thresholds_Rates!$F$18,""))))))))</f>
        <v/>
      </c>
      <c r="K98" s="4"/>
      <c r="L98" s="25" t="str">
        <f t="shared" ca="1" si="13"/>
        <v/>
      </c>
      <c r="M98" s="25" t="str">
        <f t="shared" ca="1" si="14"/>
        <v/>
      </c>
      <c r="N98" s="25" t="str">
        <f t="shared" ca="1" si="15"/>
        <v/>
      </c>
      <c r="O98" s="25" t="str">
        <f t="shared" ca="1" si="16"/>
        <v/>
      </c>
      <c r="P98" s="25" t="str">
        <f t="shared" ca="1" si="17"/>
        <v/>
      </c>
      <c r="R98" s="28" t="str">
        <f ca="1">IF(B98="","",IF($B$4="R&amp;T Level 5 - Clinical Lecturers (Vet School)",SUMIF(Points_Lookup!$P:$P,$B98,Points_Lookup!$Q:$Q),IF($B$4="R&amp;T Level 6 - Clinical Associate Professors and Clinical Readers (Vet School)",SUMIF(Points_Lookup!$W:$W,$B98,Points_Lookup!$X:$X),"")))</f>
        <v/>
      </c>
      <c r="S98" s="29" t="str">
        <f ca="1">IF(B98="","",IF($B$4="R&amp;T Level 5 - Clinical Lecturers (Vet School)",$C98-SUMIF(Points_Lookup!$P:$P,$B98,Points_Lookup!$R:$R),IF($B$4="R&amp;T Level 6 - Clinical Associate Professors and Clinical Readers (Vet School)",$C98-SUMIF(Points_Lookup!$W:$W,$B98,Points_Lookup!$Y:$Y),"")))</f>
        <v/>
      </c>
      <c r="T98" s="28" t="str">
        <f ca="1">IF(B98="","",IF($B$4="R&amp;T Level 5 - Clinical Lecturers (Vet School)",SUMIF(Points_Lookup!$P:$P,$B98,Points_Lookup!$T:$T),IF($B$4="R&amp;T Level 6 - Clinical Associate Professors and Clinical Readers (Vet School)",SUMIF(Points_Lookup!$W:$W,$B98,Points_Lookup!$AA:$AA),"")))</f>
        <v/>
      </c>
      <c r="U98" s="29" t="str">
        <f t="shared" ca="1" si="12"/>
        <v/>
      </c>
    </row>
    <row r="99" spans="2:21" x14ac:dyDescent="0.25">
      <c r="B99" s="4" t="str">
        <f ca="1">IFERROR(INDEX(Points_Lookup!$A:$A,MATCH($Z101,Points_Lookup!$AH:$AH,0)),"")</f>
        <v/>
      </c>
      <c r="C99" s="25" t="str">
        <f ca="1">IF(B99="","",IF($B$4="Apprenticeship",SUMIF(Points_Lookup!$AD:$AD,B99,Points_Lookup!$AF:$AF),IF(AND(OR($B$4="New Consultant Contract"),$B99&lt;&gt;""),INDEX(Points_Lookup!$N:$N,MATCH($B99,Points_Lookup!$M:$M,0)),IF(AND(OR($B$4="Clinical Lecturer / Medical Research Fellow",$B$4="Clinical Consultant - Old Contract (GP)"),$B99&lt;&gt;""),INDEX(Points_Lookup!$K:$K,MATCH($B99,Points_Lookup!$J:$J,0)),IF(AND(OR($B$4="APM Level 7",$B$4="R&amp;T Level 7",$B$4="APM Level 8"),B99&lt;&gt;""),INDEX(Points_Lookup!$E:$E,MATCH($Z99,Points_Lookup!$AH:$AH,0)),IF($B$4="R&amp;T Level 5 - Clinical Lecturers (Vet School)",SUMIF(Points_Lookup!$P:$P,$B99,Points_Lookup!$S:$S),IF($B$4="R&amp;T Level 6 - Clinical Associate Professors and Clinical Readers (Vet School)",SUMIF(Points_Lookup!$W:$W,$B99,Points_Lookup!$Z:$Z),IFERROR(INDEX(Points_Lookup!$B:$B,MATCH($Z99,Points_Lookup!$AH:$AH,0)),""))))))))</f>
        <v/>
      </c>
      <c r="D99" s="40"/>
      <c r="E99" s="25" t="str">
        <f ca="1">IF($B99="","",IF(AND($B$4="Salary Points 3 to 57",B99&lt;Thresholds_Rates!$C$16),"-",IF(SUMIF(Grades!$A:$A,$B$4,Grades!$BO:$BO)=0,"-",IF(AND($B$4="Salary Points 3 to 57",B99&gt;=Thresholds_Rates!$C$16),$C99*Thresholds_Rates!$F$15,IF(AND(OR($B$4="New Consultant Contract"),$B99&lt;&gt;""),$C99*Thresholds_Rates!$F$15,IF(AND(OR($B$4="Clinical Lecturer / Medical Research Fellow",$B$4="Clinical Consultant - Old Contract (GP)"),$B99&lt;&gt;""),$C99*Thresholds_Rates!$F$15,IF(OR($B$4="APM Level 7",$B$4="R&amp;T Level 7"),$C99*Thresholds_Rates!$F$15,IF(SUMIF(Grades!$A:$A,$B$4,Grades!$BO:$BO)=1,$C99*Thresholds_Rates!$F$15,""))))))))</f>
        <v/>
      </c>
      <c r="F99" s="25" t="str">
        <f ca="1">IF(B99="","",IF($B$4="Salary Points 1 to 57","-",IF(SUMIF(Grades!$A:$A,$B$4,Grades!$BP:$BP)=0,"-",IF(AND(OR($B$4="New Consultant Contract"),$B99&lt;&gt;""),$C99*Thresholds_Rates!$F$16,IF(AND(OR($B$4="Clinical Lecturer / Medical Research Fellow",$B$4="Clinical Consultant - Old Contract (GP)"),$B99&lt;&gt;""),$C99*Thresholds_Rates!$F$16,IF(AND(OR($B$4="APM Level 7",$B$4="R&amp;T Level 7"),E99&lt;&gt;""),$C99*Thresholds_Rates!$F$16,IF(SUMIF(Grades!$A:$A,$B$4,Grades!$BP:$BP)=1,$C99*Thresholds_Rates!$F$16,"")))))))</f>
        <v/>
      </c>
      <c r="G99" s="25" t="str">
        <f ca="1">IF(B99="","",IF(SUMIF(Grades!$A:$A,$B$4,Grades!$BQ:$BQ)=0,"-",IF(AND($B$4="Salary Points 1 to 57",B99&gt;Thresholds_Rates!$C$17),"-",IF(AND($B$4="Salary Points 1 to 57",B99&lt;=Thresholds_Rates!$C$17),$C99*Thresholds_Rates!$F$17,IF(AND(OR($B$4="New Consultant Contract"),$B99&lt;&gt;""),$C99*Thresholds_Rates!$F$17,IF(AND(OR($B$4="Clinical Lecturer / Medical Research Fellow",$B$4="Clinical Consultant - Old Contract (GP)"),$B99&lt;&gt;""),$C99*Thresholds_Rates!$F$17,IF(AND(OR($B$4="APM Level 7",$B$4="R&amp;T Level 7"),F99&lt;&gt;""),$C99*Thresholds_Rates!$F$17,IF(SUMIF(Grades!$A:$A,$B$4,Grades!$BQ:$BQ)=1,$C99*Thresholds_Rates!$F$17,""))))))))</f>
        <v/>
      </c>
      <c r="H99" s="25" t="str">
        <f ca="1">IF($B99="","",ROUND(($C99-(Thresholds_Rates!$C$5*12))*Thresholds_Rates!$C$10,0))</f>
        <v/>
      </c>
      <c r="I99" s="25" t="str">
        <f ca="1">IF(B99="","",(C99*Thresholds_Rates!$C$12))</f>
        <v/>
      </c>
      <c r="J99" s="25" t="str">
        <f ca="1">IF(B99="","",IF(AND($B$4="Salary Points 1 to 57",B99&gt;Thresholds_Rates!$C$17),"-",IF(SUMIF(Grades!$A:$A,$B$4,Grades!$BR:$BR)=0,"-",IF(AND($B$4="Salary Points 1 to 57",B99&lt;=Thresholds_Rates!$C$17),$C99*Thresholds_Rates!$F$18,IF(AND(OR($B$4="New Consultant Contract"),$B99&lt;&gt;""),$C99*Thresholds_Rates!$F$18,IF(AND(OR($B$4="Clinical Lecturer / Medical Research Fellow",$B$4="Clinical Consultant - Old Contract (GP)"),$B99&lt;&gt;""),$C99*Thresholds_Rates!$F$18,IF(AND(OR($B$4="APM Level 7",$B$4="R&amp;T Level 7"),H99&lt;&gt;""),$C99*Thresholds_Rates!$F$18,IF(SUMIF(Grades!$A:$A,$B$4,Grades!$BQ:$BQ)=1,$C99*Thresholds_Rates!$F$18,""))))))))</f>
        <v/>
      </c>
      <c r="K99" s="4"/>
      <c r="L99" s="25" t="str">
        <f t="shared" ca="1" si="13"/>
        <v/>
      </c>
      <c r="M99" s="25" t="str">
        <f t="shared" ca="1" si="14"/>
        <v/>
      </c>
      <c r="N99" s="25" t="str">
        <f t="shared" ca="1" si="15"/>
        <v/>
      </c>
      <c r="O99" s="25" t="str">
        <f t="shared" ca="1" si="16"/>
        <v/>
      </c>
      <c r="P99" s="25" t="str">
        <f t="shared" ca="1" si="17"/>
        <v/>
      </c>
      <c r="R99" s="28" t="str">
        <f ca="1">IF(B99="","",IF($B$4="R&amp;T Level 5 - Clinical Lecturers (Vet School)",SUMIF(Points_Lookup!$P:$P,$B99,Points_Lookup!$Q:$Q),IF($B$4="R&amp;T Level 6 - Clinical Associate Professors and Clinical Readers (Vet School)",SUMIF(Points_Lookup!$W:$W,$B99,Points_Lookup!$X:$X),"")))</f>
        <v/>
      </c>
      <c r="S99" s="29" t="str">
        <f ca="1">IF(B99="","",IF($B$4="R&amp;T Level 5 - Clinical Lecturers (Vet School)",$C99-SUMIF(Points_Lookup!$P:$P,$B99,Points_Lookup!$R:$R),IF($B$4="R&amp;T Level 6 - Clinical Associate Professors and Clinical Readers (Vet School)",$C99-SUMIF(Points_Lookup!$W:$W,$B99,Points_Lookup!$Y:$Y),"")))</f>
        <v/>
      </c>
      <c r="T99" s="28" t="str">
        <f ca="1">IF(B99="","",IF($B$4="R&amp;T Level 5 - Clinical Lecturers (Vet School)",SUMIF(Points_Lookup!$P:$P,$B99,Points_Lookup!$T:$T),IF($B$4="R&amp;T Level 6 - Clinical Associate Professors and Clinical Readers (Vet School)",SUMIF(Points_Lookup!$W:$W,$B99,Points_Lookup!$AA:$AA),"")))</f>
        <v/>
      </c>
      <c r="U99" s="29" t="str">
        <f t="shared" ca="1" si="12"/>
        <v/>
      </c>
    </row>
    <row r="100" spans="2:21" x14ac:dyDescent="0.25">
      <c r="B100" s="4" t="str">
        <f ca="1">IFERROR(INDEX(Points_Lookup!$A:$A,MATCH($Z102,Points_Lookup!$AH:$AH,0)),"")</f>
        <v/>
      </c>
      <c r="C100" s="25" t="str">
        <f ca="1">IF(B100="","",IF($B$4="Apprenticeship",SUMIF(Points_Lookup!$AD:$AD,B100,Points_Lookup!$AF:$AF),IF(AND(OR($B$4="New Consultant Contract"),$B100&lt;&gt;""),INDEX(Points_Lookup!$N:$N,MATCH($B100,Points_Lookup!$M:$M,0)),IF(AND(OR($B$4="Clinical Lecturer / Medical Research Fellow",$B$4="Clinical Consultant - Old Contract (GP)"),$B100&lt;&gt;""),INDEX(Points_Lookup!$K:$K,MATCH($B100,Points_Lookup!$J:$J,0)),IF(AND(OR($B$4="APM Level 7",$B$4="R&amp;T Level 7",$B$4="APM Level 8"),B100&lt;&gt;""),INDEX(Points_Lookup!$E:$E,MATCH($Z100,Points_Lookup!$AH:$AH,0)),IF($B$4="R&amp;T Level 5 - Clinical Lecturers (Vet School)",SUMIF(Points_Lookup!$P:$P,$B100,Points_Lookup!$S:$S),IF($B$4="R&amp;T Level 6 - Clinical Associate Professors and Clinical Readers (Vet School)",SUMIF(Points_Lookup!$W:$W,$B100,Points_Lookup!$Z:$Z),IFERROR(INDEX(Points_Lookup!$B:$B,MATCH($Z100,Points_Lookup!$AH:$AH,0)),""))))))))</f>
        <v/>
      </c>
      <c r="D100" s="40"/>
      <c r="E100" s="25" t="str">
        <f ca="1">IF($B100="","",IF(AND($B$4="Salary Points 3 to 57",B100&lt;Thresholds_Rates!$C$16),"-",IF(SUMIF(Grades!$A:$A,$B$4,Grades!$BO:$BO)=0,"-",IF(AND($B$4="Salary Points 3 to 57",B100&gt;=Thresholds_Rates!$C$16),$C100*Thresholds_Rates!$F$15,IF(AND(OR($B$4="New Consultant Contract"),$B100&lt;&gt;""),$C100*Thresholds_Rates!$F$15,IF(AND(OR($B$4="Clinical Lecturer / Medical Research Fellow",$B$4="Clinical Consultant - Old Contract (GP)"),$B100&lt;&gt;""),$C100*Thresholds_Rates!$F$15,IF(OR($B$4="APM Level 7",$B$4="R&amp;T Level 7"),$C100*Thresholds_Rates!$F$15,IF(SUMIF(Grades!$A:$A,$B$4,Grades!$BO:$BO)=1,$C100*Thresholds_Rates!$F$15,""))))))))</f>
        <v/>
      </c>
      <c r="F100" s="25" t="str">
        <f ca="1">IF(B100="","",IF($B$4="Salary Points 1 to 57","-",IF(SUMIF(Grades!$A:$A,$B$4,Grades!$BP:$BP)=0,"-",IF(AND(OR($B$4="New Consultant Contract"),$B100&lt;&gt;""),$C100*Thresholds_Rates!$F$16,IF(AND(OR($B$4="Clinical Lecturer / Medical Research Fellow",$B$4="Clinical Consultant - Old Contract (GP)"),$B100&lt;&gt;""),$C100*Thresholds_Rates!$F$16,IF(AND(OR($B$4="APM Level 7",$B$4="R&amp;T Level 7"),E100&lt;&gt;""),$C100*Thresholds_Rates!$F$16,IF(SUMIF(Grades!$A:$A,$B$4,Grades!$BP:$BP)=1,$C100*Thresholds_Rates!$F$16,"")))))))</f>
        <v/>
      </c>
      <c r="G100" s="25" t="str">
        <f ca="1">IF(B100="","",IF(SUMIF(Grades!$A:$A,$B$4,Grades!$BQ:$BQ)=0,"-",IF(AND($B$4="Salary Points 1 to 57",B100&gt;Thresholds_Rates!$C$17),"-",IF(AND($B$4="Salary Points 1 to 57",B100&lt;=Thresholds_Rates!$C$17),$C100*Thresholds_Rates!$F$17,IF(AND(OR($B$4="New Consultant Contract"),$B100&lt;&gt;""),$C100*Thresholds_Rates!$F$17,IF(AND(OR($B$4="Clinical Lecturer / Medical Research Fellow",$B$4="Clinical Consultant - Old Contract (GP)"),$B100&lt;&gt;""),$C100*Thresholds_Rates!$F$17,IF(AND(OR($B$4="APM Level 7",$B$4="R&amp;T Level 7"),F100&lt;&gt;""),$C100*Thresholds_Rates!$F$17,IF(SUMIF(Grades!$A:$A,$B$4,Grades!$BQ:$BQ)=1,$C100*Thresholds_Rates!$F$17,""))))))))</f>
        <v/>
      </c>
      <c r="H100" s="25" t="str">
        <f ca="1">IF($B100="","",ROUND(($C100-(Thresholds_Rates!$C$5*12))*Thresholds_Rates!$C$10,0))</f>
        <v/>
      </c>
      <c r="I100" s="25" t="str">
        <f ca="1">IF(B100="","",(C100*Thresholds_Rates!$C$12))</f>
        <v/>
      </c>
      <c r="J100" s="25" t="str">
        <f ca="1">IF(B100="","",IF(AND($B$4="Salary Points 1 to 57",B100&gt;Thresholds_Rates!$C$17),"-",IF(SUMIF(Grades!$A:$A,$B$4,Grades!$BR:$BR)=0,"-",IF(AND($B$4="Salary Points 1 to 57",B100&lt;=Thresholds_Rates!$C$17),$C100*Thresholds_Rates!$F$18,IF(AND(OR($B$4="New Consultant Contract"),$B100&lt;&gt;""),$C100*Thresholds_Rates!$F$18,IF(AND(OR($B$4="Clinical Lecturer / Medical Research Fellow",$B$4="Clinical Consultant - Old Contract (GP)"),$B100&lt;&gt;""),$C100*Thresholds_Rates!$F$18,IF(AND(OR($B$4="APM Level 7",$B$4="R&amp;T Level 7"),H100&lt;&gt;""),$C100*Thresholds_Rates!$F$18,IF(SUMIF(Grades!$A:$A,$B$4,Grades!$BQ:$BQ)=1,$C100*Thresholds_Rates!$F$18,""))))))))</f>
        <v/>
      </c>
      <c r="K100" s="4"/>
      <c r="L100" s="25" t="str">
        <f t="shared" ca="1" si="13"/>
        <v/>
      </c>
      <c r="M100" s="25" t="str">
        <f t="shared" ca="1" si="14"/>
        <v/>
      </c>
      <c r="N100" s="25" t="str">
        <f t="shared" ca="1" si="15"/>
        <v/>
      </c>
      <c r="O100" s="25" t="str">
        <f t="shared" ca="1" si="16"/>
        <v/>
      </c>
      <c r="P100" s="25" t="str">
        <f t="shared" ca="1" si="17"/>
        <v/>
      </c>
      <c r="R100" s="28" t="str">
        <f ca="1">IF(B100="","",IF($B$4="R&amp;T Level 5 - Clinical Lecturers (Vet School)",SUMIF(Points_Lookup!$P:$P,$B100,Points_Lookup!$Q:$Q),IF($B$4="R&amp;T Level 6 - Clinical Associate Professors and Clinical Readers (Vet School)",SUMIF(Points_Lookup!$W:$W,$B100,Points_Lookup!$X:$X),"")))</f>
        <v/>
      </c>
      <c r="S100" s="29" t="str">
        <f ca="1">IF(B100="","",IF($B$4="R&amp;T Level 5 - Clinical Lecturers (Vet School)",$C100-SUMIF(Points_Lookup!$P:$P,$B100,Points_Lookup!$R:$R),IF($B$4="R&amp;T Level 6 - Clinical Associate Professors and Clinical Readers (Vet School)",$C100-SUMIF(Points_Lookup!$W:$W,$B100,Points_Lookup!$Y:$Y),"")))</f>
        <v/>
      </c>
      <c r="T100" s="28" t="str">
        <f ca="1">IF(B100="","",IF($B$4="R&amp;T Level 5 - Clinical Lecturers (Vet School)",SUMIF(Points_Lookup!$P:$P,$B100,Points_Lookup!$T:$T),IF($B$4="R&amp;T Level 6 - Clinical Associate Professors and Clinical Readers (Vet School)",SUMIF(Points_Lookup!$W:$W,$B100,Points_Lookup!$AA:$AA),"")))</f>
        <v/>
      </c>
      <c r="U100" s="29" t="str">
        <f t="shared" ca="1" si="12"/>
        <v/>
      </c>
    </row>
    <row r="101" spans="2:21" x14ac:dyDescent="0.25">
      <c r="B101" s="4" t="str">
        <f ca="1">IFERROR(INDEX(Points_Lookup!$A:$A,MATCH($Z103,Points_Lookup!$AH:$AH,0)),"")</f>
        <v/>
      </c>
      <c r="C101" s="25" t="str">
        <f ca="1">IF(B101="","",IF($B$4="Apprenticeship",SUMIF(Points_Lookup!$AD:$AD,B101,Points_Lookup!$AF:$AF),IF(AND(OR($B$4="New Consultant Contract"),$B101&lt;&gt;""),INDEX(Points_Lookup!$N:$N,MATCH($B101,Points_Lookup!$M:$M,0)),IF(AND(OR($B$4="Clinical Lecturer / Medical Research Fellow",$B$4="Clinical Consultant - Old Contract (GP)"),$B101&lt;&gt;""),INDEX(Points_Lookup!$K:$K,MATCH($B101,Points_Lookup!$J:$J,0)),IF(AND(OR($B$4="APM Level 7",$B$4="R&amp;T Level 7",$B$4="APM Level 8"),B101&lt;&gt;""),INDEX(Points_Lookup!$E:$E,MATCH($Z101,Points_Lookup!$AH:$AH,0)),IF($B$4="R&amp;T Level 5 - Clinical Lecturers (Vet School)",SUMIF(Points_Lookup!$P:$P,$B101,Points_Lookup!$S:$S),IF($B$4="R&amp;T Level 6 - Clinical Associate Professors and Clinical Readers (Vet School)",SUMIF(Points_Lookup!$W:$W,$B101,Points_Lookup!$Z:$Z),IFERROR(INDEX(Points_Lookup!$B:$B,MATCH($Z101,Points_Lookup!$AH:$AH,0)),""))))))))</f>
        <v/>
      </c>
      <c r="D101" s="40"/>
      <c r="E101" s="25" t="str">
        <f ca="1">IF($B101="","",IF(AND($B$4="Salary Points 3 to 57",B101&lt;Thresholds_Rates!$C$16),"-",IF(SUMIF(Grades!$A:$A,$B$4,Grades!$BO:$BO)=0,"-",IF(AND($B$4="Salary Points 3 to 57",B101&gt;=Thresholds_Rates!$C$16),$C101*Thresholds_Rates!$F$15,IF(AND(OR($B$4="New Consultant Contract"),$B101&lt;&gt;""),$C101*Thresholds_Rates!$F$15,IF(AND(OR($B$4="Clinical Lecturer / Medical Research Fellow",$B$4="Clinical Consultant - Old Contract (GP)"),$B101&lt;&gt;""),$C101*Thresholds_Rates!$F$15,IF(OR($B$4="APM Level 7",$B$4="R&amp;T Level 7"),$C101*Thresholds_Rates!$F$15,IF(SUMIF(Grades!$A:$A,$B$4,Grades!$BO:$BO)=1,$C101*Thresholds_Rates!$F$15,""))))))))</f>
        <v/>
      </c>
      <c r="F101" s="25" t="str">
        <f ca="1">IF(B101="","",IF($B$4="Salary Points 1 to 57","-",IF(SUMIF(Grades!$A:$A,$B$4,Grades!$BP:$BP)=0,"-",IF(AND(OR($B$4="New Consultant Contract"),$B101&lt;&gt;""),$C101*Thresholds_Rates!$F$16,IF(AND(OR($B$4="Clinical Lecturer / Medical Research Fellow",$B$4="Clinical Consultant - Old Contract (GP)"),$B101&lt;&gt;""),$C101*Thresholds_Rates!$F$16,IF(AND(OR($B$4="APM Level 7",$B$4="R&amp;T Level 7"),E101&lt;&gt;""),$C101*Thresholds_Rates!$F$16,IF(SUMIF(Grades!$A:$A,$B$4,Grades!$BP:$BP)=1,$C101*Thresholds_Rates!$F$16,"")))))))</f>
        <v/>
      </c>
      <c r="G101" s="25" t="str">
        <f ca="1">IF(B101="","",IF(SUMIF(Grades!$A:$A,$B$4,Grades!$BQ:$BQ)=0,"-",IF(AND($B$4="Salary Points 1 to 57",B101&gt;Thresholds_Rates!$C$17),"-",IF(AND($B$4="Salary Points 1 to 57",B101&lt;=Thresholds_Rates!$C$17),$C101*Thresholds_Rates!$F$17,IF(AND(OR($B$4="New Consultant Contract"),$B101&lt;&gt;""),$C101*Thresholds_Rates!$F$17,IF(AND(OR($B$4="Clinical Lecturer / Medical Research Fellow",$B$4="Clinical Consultant - Old Contract (GP)"),$B101&lt;&gt;""),$C101*Thresholds_Rates!$F$17,IF(AND(OR($B$4="APM Level 7",$B$4="R&amp;T Level 7"),F101&lt;&gt;""),$C101*Thresholds_Rates!$F$17,IF(SUMIF(Grades!$A:$A,$B$4,Grades!$BQ:$BQ)=1,$C101*Thresholds_Rates!$F$17,""))))))))</f>
        <v/>
      </c>
      <c r="H101" s="25" t="str">
        <f ca="1">IF($B101="","",ROUND(($C101-(Thresholds_Rates!$C$5*12))*Thresholds_Rates!$C$10,0))</f>
        <v/>
      </c>
      <c r="I101" s="25" t="str">
        <f ca="1">IF(B101="","",(C101*Thresholds_Rates!$C$12))</f>
        <v/>
      </c>
      <c r="J101" s="25" t="str">
        <f ca="1">IF(B101="","",IF(AND($B$4="Salary Points 1 to 57",B101&gt;Thresholds_Rates!$C$17),"-",IF(SUMIF(Grades!$A:$A,$B$4,Grades!$BR:$BR)=0,"-",IF(AND($B$4="Salary Points 1 to 57",B101&lt;=Thresholds_Rates!$C$17),$C101*Thresholds_Rates!$F$18,IF(AND(OR($B$4="New Consultant Contract"),$B101&lt;&gt;""),$C101*Thresholds_Rates!$F$18,IF(AND(OR($B$4="Clinical Lecturer / Medical Research Fellow",$B$4="Clinical Consultant - Old Contract (GP)"),$B101&lt;&gt;""),$C101*Thresholds_Rates!$F$18,IF(AND(OR($B$4="APM Level 7",$B$4="R&amp;T Level 7"),H101&lt;&gt;""),$C101*Thresholds_Rates!$F$18,IF(SUMIF(Grades!$A:$A,$B$4,Grades!$BQ:$BQ)=1,$C101*Thresholds_Rates!$F$18,""))))))))</f>
        <v/>
      </c>
      <c r="K101" s="4"/>
      <c r="L101" s="25" t="str">
        <f t="shared" ca="1" si="13"/>
        <v/>
      </c>
      <c r="M101" s="25" t="str">
        <f t="shared" ca="1" si="14"/>
        <v/>
      </c>
      <c r="N101" s="25" t="str">
        <f t="shared" ca="1" si="15"/>
        <v/>
      </c>
      <c r="O101" s="25" t="str">
        <f t="shared" ca="1" si="16"/>
        <v/>
      </c>
      <c r="P101" s="25" t="str">
        <f t="shared" ca="1" si="17"/>
        <v/>
      </c>
      <c r="R101" s="28" t="str">
        <f ca="1">IF(B101="","",IF($B$4="R&amp;T Level 5 - Clinical Lecturers (Vet School)",SUMIF(Points_Lookup!$P:$P,$B101,Points_Lookup!$Q:$Q),IF($B$4="R&amp;T Level 6 - Clinical Associate Professors and Clinical Readers (Vet School)",SUMIF(Points_Lookup!$W:$W,$B101,Points_Lookup!$X:$X),"")))</f>
        <v/>
      </c>
      <c r="S101" s="29" t="str">
        <f ca="1">IF(B101="","",IF($B$4="R&amp;T Level 5 - Clinical Lecturers (Vet School)",$C101-SUMIF(Points_Lookup!$P:$P,$B101,Points_Lookup!$R:$R),IF($B$4="R&amp;T Level 6 - Clinical Associate Professors and Clinical Readers (Vet School)",$C101-SUMIF(Points_Lookup!$W:$W,$B101,Points_Lookup!$Y:$Y),"")))</f>
        <v/>
      </c>
      <c r="T101" s="28" t="str">
        <f ca="1">IF(B101="","",IF($B$4="R&amp;T Level 5 - Clinical Lecturers (Vet School)",SUMIF(Points_Lookup!$P:$P,$B101,Points_Lookup!$T:$T),IF($B$4="R&amp;T Level 6 - Clinical Associate Professors and Clinical Readers (Vet School)",SUMIF(Points_Lookup!$W:$W,$B101,Points_Lookup!$AA:$AA),"")))</f>
        <v/>
      </c>
      <c r="U101" s="29" t="str">
        <f t="shared" ca="1" si="12"/>
        <v/>
      </c>
    </row>
    <row r="102" spans="2:21" x14ac:dyDescent="0.25">
      <c r="B102" s="4" t="str">
        <f ca="1">IFERROR(INDEX(Points_Lookup!$A:$A,MATCH($Z104,Points_Lookup!$AH:$AH,0)),"")</f>
        <v/>
      </c>
      <c r="C102" s="25" t="str">
        <f ca="1">IF(B102="","",IF($B$4="Apprenticeship",SUMIF(Points_Lookup!$AD:$AD,B102,Points_Lookup!$AF:$AF),IF(AND(OR($B$4="New Consultant Contract"),$B102&lt;&gt;""),INDEX(Points_Lookup!$N:$N,MATCH($B102,Points_Lookup!$M:$M,0)),IF(AND(OR($B$4="Clinical Lecturer / Medical Research Fellow",$B$4="Clinical Consultant - Old Contract (GP)"),$B102&lt;&gt;""),INDEX(Points_Lookup!$K:$K,MATCH($B102,Points_Lookup!$J:$J,0)),IF(AND(OR($B$4="APM Level 7",$B$4="R&amp;T Level 7",$B$4="APM Level 8"),B102&lt;&gt;""),INDEX(Points_Lookup!$E:$E,MATCH($Z102,Points_Lookup!$AH:$AH,0)),IF($B$4="R&amp;T Level 5 - Clinical Lecturers (Vet School)",SUMIF(Points_Lookup!$P:$P,$B102,Points_Lookup!$S:$S),IF($B$4="R&amp;T Level 6 - Clinical Associate Professors and Clinical Readers (Vet School)",SUMIF(Points_Lookup!$W:$W,$B102,Points_Lookup!$Z:$Z),IFERROR(INDEX(Points_Lookup!$B:$B,MATCH($Z102,Points_Lookup!$AH:$AH,0)),""))))))))</f>
        <v/>
      </c>
      <c r="D102" s="40"/>
      <c r="E102" s="25" t="str">
        <f ca="1">IF($B102="","",IF(AND($B$4="Salary Points 3 to 57",B102&lt;Thresholds_Rates!$C$16),"-",IF(SUMIF(Grades!$A:$A,$B$4,Grades!$BO:$BO)=0,"-",IF(AND($B$4="Salary Points 3 to 57",B102&gt;=Thresholds_Rates!$C$16),$C102*Thresholds_Rates!$F$15,IF(AND(OR($B$4="New Consultant Contract"),$B102&lt;&gt;""),$C102*Thresholds_Rates!$F$15,IF(AND(OR($B$4="Clinical Lecturer / Medical Research Fellow",$B$4="Clinical Consultant - Old Contract (GP)"),$B102&lt;&gt;""),$C102*Thresholds_Rates!$F$15,IF(OR($B$4="APM Level 7",$B$4="R&amp;T Level 7"),$C102*Thresholds_Rates!$F$15,IF(SUMIF(Grades!$A:$A,$B$4,Grades!$BO:$BO)=1,$C102*Thresholds_Rates!$F$15,""))))))))</f>
        <v/>
      </c>
      <c r="F102" s="25" t="str">
        <f ca="1">IF(B102="","",IF($B$4="Salary Points 1 to 57","-",IF(SUMIF(Grades!$A:$A,$B$4,Grades!$BP:$BP)=0,"-",IF(AND(OR($B$4="New Consultant Contract"),$B102&lt;&gt;""),$C102*Thresholds_Rates!$F$16,IF(AND(OR($B$4="Clinical Lecturer / Medical Research Fellow",$B$4="Clinical Consultant - Old Contract (GP)"),$B102&lt;&gt;""),$C102*Thresholds_Rates!$F$16,IF(AND(OR($B$4="APM Level 7",$B$4="R&amp;T Level 7"),E102&lt;&gt;""),$C102*Thresholds_Rates!$F$16,IF(SUMIF(Grades!$A:$A,$B$4,Grades!$BP:$BP)=1,$C102*Thresholds_Rates!$F$16,"")))))))</f>
        <v/>
      </c>
      <c r="G102" s="25" t="str">
        <f ca="1">IF(B102="","",IF(SUMIF(Grades!$A:$A,$B$4,Grades!$BQ:$BQ)=0,"-",IF(AND($B$4="Salary Points 1 to 57",B102&gt;Thresholds_Rates!$C$17),"-",IF(AND($B$4="Salary Points 1 to 57",B102&lt;=Thresholds_Rates!$C$17),$C102*Thresholds_Rates!$F$17,IF(AND(OR($B$4="New Consultant Contract"),$B102&lt;&gt;""),$C102*Thresholds_Rates!$F$17,IF(AND(OR($B$4="Clinical Lecturer / Medical Research Fellow",$B$4="Clinical Consultant - Old Contract (GP)"),$B102&lt;&gt;""),$C102*Thresholds_Rates!$F$17,IF(AND(OR($B$4="APM Level 7",$B$4="R&amp;T Level 7"),F102&lt;&gt;""),$C102*Thresholds_Rates!$F$17,IF(SUMIF(Grades!$A:$A,$B$4,Grades!$BQ:$BQ)=1,$C102*Thresholds_Rates!$F$17,""))))))))</f>
        <v/>
      </c>
      <c r="H102" s="25" t="str">
        <f ca="1">IF($B102="","",ROUND(($C102-(Thresholds_Rates!$C$5*12))*Thresholds_Rates!$C$10,0))</f>
        <v/>
      </c>
      <c r="I102" s="25" t="str">
        <f ca="1">IF(B102="","",(C102*Thresholds_Rates!$C$12))</f>
        <v/>
      </c>
      <c r="J102" s="25" t="str">
        <f ca="1">IF(B102="","",IF(AND($B$4="Salary Points 1 to 57",B102&gt;Thresholds_Rates!$C$17),"-",IF(SUMIF(Grades!$A:$A,$B$4,Grades!$BR:$BR)=0,"-",IF(AND($B$4="Salary Points 1 to 57",B102&lt;=Thresholds_Rates!$C$17),$C102*Thresholds_Rates!$F$18,IF(AND(OR($B$4="New Consultant Contract"),$B102&lt;&gt;""),$C102*Thresholds_Rates!$F$18,IF(AND(OR($B$4="Clinical Lecturer / Medical Research Fellow",$B$4="Clinical Consultant - Old Contract (GP)"),$B102&lt;&gt;""),$C102*Thresholds_Rates!$F$18,IF(AND(OR($B$4="APM Level 7",$B$4="R&amp;T Level 7"),H102&lt;&gt;""),$C102*Thresholds_Rates!$F$18,IF(SUMIF(Grades!$A:$A,$B$4,Grades!$BQ:$BQ)=1,$C102*Thresholds_Rates!$F$18,""))))))))</f>
        <v/>
      </c>
      <c r="K102" s="4"/>
      <c r="L102" s="25" t="str">
        <f t="shared" ca="1" si="13"/>
        <v/>
      </c>
      <c r="M102" s="25" t="str">
        <f t="shared" ca="1" si="14"/>
        <v/>
      </c>
      <c r="N102" s="25" t="str">
        <f t="shared" ca="1" si="15"/>
        <v/>
      </c>
      <c r="O102" s="25" t="str">
        <f t="shared" ca="1" si="16"/>
        <v/>
      </c>
      <c r="P102" s="25" t="str">
        <f t="shared" ca="1" si="17"/>
        <v/>
      </c>
      <c r="R102" s="28" t="str">
        <f ca="1">IF(B102="","",IF($B$4="R&amp;T Level 5 - Clinical Lecturers (Vet School)",SUMIF(Points_Lookup!$P:$P,$B102,Points_Lookup!$Q:$Q),IF($B$4="R&amp;T Level 6 - Clinical Associate Professors and Clinical Readers (Vet School)",SUMIF(Points_Lookup!$W:$W,$B102,Points_Lookup!$X:$X),"")))</f>
        <v/>
      </c>
      <c r="S102" s="29" t="str">
        <f ca="1">IF(B102="","",IF($B$4="R&amp;T Level 5 - Clinical Lecturers (Vet School)",$C102-SUMIF(Points_Lookup!$P:$P,$B102,Points_Lookup!$R:$R),IF($B$4="R&amp;T Level 6 - Clinical Associate Professors and Clinical Readers (Vet School)",$C102-SUMIF(Points_Lookup!$W:$W,$B102,Points_Lookup!$Y:$Y),"")))</f>
        <v/>
      </c>
      <c r="T102" s="28" t="str">
        <f ca="1">IF(B102="","",IF($B$4="R&amp;T Level 5 - Clinical Lecturers (Vet School)",SUMIF(Points_Lookup!$P:$P,$B102,Points_Lookup!$T:$T),IF($B$4="R&amp;T Level 6 - Clinical Associate Professors and Clinical Readers (Vet School)",SUMIF(Points_Lookup!$W:$W,$B102,Points_Lookup!$AA:$AA),"")))</f>
        <v/>
      </c>
      <c r="U102" s="29" t="str">
        <f t="shared" ca="1" si="12"/>
        <v/>
      </c>
    </row>
    <row r="103" spans="2:21" x14ac:dyDescent="0.25">
      <c r="B103" s="4" t="str">
        <f ca="1">IFERROR(INDEX(Points_Lookup!$A:$A,MATCH($Z105,Points_Lookup!$AH:$AH,0)),"")</f>
        <v/>
      </c>
      <c r="C103" s="25" t="str">
        <f ca="1">IF(B103="","",IF($B$4="Apprenticeship",SUMIF(Points_Lookup!$AD:$AD,B103,Points_Lookup!$AF:$AF),IF(AND(OR($B$4="New Consultant Contract"),$B103&lt;&gt;""),INDEX(Points_Lookup!$N:$N,MATCH($B103,Points_Lookup!$M:$M,0)),IF(AND(OR($B$4="Clinical Lecturer / Medical Research Fellow",$B$4="Clinical Consultant - Old Contract (GP)"),$B103&lt;&gt;""),INDEX(Points_Lookup!$K:$K,MATCH($B103,Points_Lookup!$J:$J,0)),IF(AND(OR($B$4="APM Level 7",$B$4="R&amp;T Level 7",$B$4="APM Level 8"),B103&lt;&gt;""),INDEX(Points_Lookup!$E:$E,MATCH($Z103,Points_Lookup!$AH:$AH,0)),IF($B$4="R&amp;T Level 5 - Clinical Lecturers (Vet School)",SUMIF(Points_Lookup!$P:$P,$B103,Points_Lookup!$S:$S),IF($B$4="R&amp;T Level 6 - Clinical Associate Professors and Clinical Readers (Vet School)",SUMIF(Points_Lookup!$W:$W,$B103,Points_Lookup!$Z:$Z),IFERROR(INDEX(Points_Lookup!$B:$B,MATCH($Z103,Points_Lookup!$AH:$AH,0)),""))))))))</f>
        <v/>
      </c>
      <c r="D103" s="40"/>
      <c r="E103" s="25" t="str">
        <f ca="1">IF($B103="","",IF(AND($B$4="Salary Points 3 to 57",B103&lt;Thresholds_Rates!$C$16),"-",IF(SUMIF(Grades!$A:$A,$B$4,Grades!$BO:$BO)=0,"-",IF(AND($B$4="Salary Points 3 to 57",B103&gt;=Thresholds_Rates!$C$16),$C103*Thresholds_Rates!$F$15,IF(AND(OR($B$4="New Consultant Contract"),$B103&lt;&gt;""),$C103*Thresholds_Rates!$F$15,IF(AND(OR($B$4="Clinical Lecturer / Medical Research Fellow",$B$4="Clinical Consultant - Old Contract (GP)"),$B103&lt;&gt;""),$C103*Thresholds_Rates!$F$15,IF(OR($B$4="APM Level 7",$B$4="R&amp;T Level 7"),$C103*Thresholds_Rates!$F$15,IF(SUMIF(Grades!$A:$A,$B$4,Grades!$BO:$BO)=1,$C103*Thresholds_Rates!$F$15,""))))))))</f>
        <v/>
      </c>
      <c r="F103" s="25" t="str">
        <f ca="1">IF(B103="","",IF($B$4="Salary Points 1 to 57","-",IF(SUMIF(Grades!$A:$A,$B$4,Grades!$BP:$BP)=0,"-",IF(AND(OR($B$4="New Consultant Contract"),$B103&lt;&gt;""),$C103*Thresholds_Rates!$F$16,IF(AND(OR($B$4="Clinical Lecturer / Medical Research Fellow",$B$4="Clinical Consultant - Old Contract (GP)"),$B103&lt;&gt;""),$C103*Thresholds_Rates!$F$16,IF(AND(OR($B$4="APM Level 7",$B$4="R&amp;T Level 7"),E103&lt;&gt;""),$C103*Thresholds_Rates!$F$16,IF(SUMIF(Grades!$A:$A,$B$4,Grades!$BP:$BP)=1,$C103*Thresholds_Rates!$F$16,"")))))))</f>
        <v/>
      </c>
      <c r="G103" s="25" t="str">
        <f ca="1">IF(B103="","",IF(SUMIF(Grades!$A:$A,$B$4,Grades!$BQ:$BQ)=0,"-",IF(AND($B$4="Salary Points 1 to 57",B103&gt;Thresholds_Rates!$C$17),"-",IF(AND($B$4="Salary Points 1 to 57",B103&lt;=Thresholds_Rates!$C$17),$C103*Thresholds_Rates!$F$17,IF(AND(OR($B$4="New Consultant Contract"),$B103&lt;&gt;""),$C103*Thresholds_Rates!$F$17,IF(AND(OR($B$4="Clinical Lecturer / Medical Research Fellow",$B$4="Clinical Consultant - Old Contract (GP)"),$B103&lt;&gt;""),$C103*Thresholds_Rates!$F$17,IF(AND(OR($B$4="APM Level 7",$B$4="R&amp;T Level 7"),F103&lt;&gt;""),$C103*Thresholds_Rates!$F$17,IF(SUMIF(Grades!$A:$A,$B$4,Grades!$BQ:$BQ)=1,$C103*Thresholds_Rates!$F$17,""))))))))</f>
        <v/>
      </c>
      <c r="H103" s="25" t="str">
        <f ca="1">IF($B103="","",ROUND(($C103-(Thresholds_Rates!$C$5*12))*Thresholds_Rates!$C$10,0))</f>
        <v/>
      </c>
      <c r="I103" s="25" t="str">
        <f ca="1">IF(B103="","",(C103*Thresholds_Rates!$C$12))</f>
        <v/>
      </c>
      <c r="J103" s="25" t="str">
        <f ca="1">IF(B103="","",IF(AND($B$4="Salary Points 1 to 57",B103&gt;Thresholds_Rates!$C$17),"-",IF(SUMIF(Grades!$A:$A,$B$4,Grades!$BR:$BR)=0,"-",IF(AND($B$4="Salary Points 1 to 57",B103&lt;=Thresholds_Rates!$C$17),$C103*Thresholds_Rates!$F$18,IF(AND(OR($B$4="New Consultant Contract"),$B103&lt;&gt;""),$C103*Thresholds_Rates!$F$18,IF(AND(OR($B$4="Clinical Lecturer / Medical Research Fellow",$B$4="Clinical Consultant - Old Contract (GP)"),$B103&lt;&gt;""),$C103*Thresholds_Rates!$F$18,IF(AND(OR($B$4="APM Level 7",$B$4="R&amp;T Level 7"),H103&lt;&gt;""),$C103*Thresholds_Rates!$F$18,IF(SUMIF(Grades!$A:$A,$B$4,Grades!$BQ:$BQ)=1,$C103*Thresholds_Rates!$F$18,""))))))))</f>
        <v/>
      </c>
      <c r="K103" s="4"/>
      <c r="L103" s="25" t="str">
        <f t="shared" ca="1" si="13"/>
        <v/>
      </c>
      <c r="M103" s="25" t="str">
        <f t="shared" ca="1" si="14"/>
        <v/>
      </c>
      <c r="N103" s="25" t="str">
        <f t="shared" ca="1" si="15"/>
        <v/>
      </c>
      <c r="O103" s="25" t="str">
        <f t="shared" ca="1" si="16"/>
        <v/>
      </c>
      <c r="P103" s="25" t="str">
        <f t="shared" ca="1" si="17"/>
        <v/>
      </c>
      <c r="R103" s="28" t="str">
        <f ca="1">IF(B103="","",IF($B$4="R&amp;T Level 5 - Clinical Lecturers (Vet School)",SUMIF(Points_Lookup!$P:$P,$B103,Points_Lookup!$Q:$Q),IF($B$4="R&amp;T Level 6 - Clinical Associate Professors and Clinical Readers (Vet School)",SUMIF(Points_Lookup!$W:$W,$B103,Points_Lookup!$X:$X),"")))</f>
        <v/>
      </c>
      <c r="S103" s="29" t="str">
        <f ca="1">IF(B103="","",IF($B$4="R&amp;T Level 5 - Clinical Lecturers (Vet School)",$C103-SUMIF(Points_Lookup!$P:$P,$B103,Points_Lookup!$R:$R),IF($B$4="R&amp;T Level 6 - Clinical Associate Professors and Clinical Readers (Vet School)",$C103-SUMIF(Points_Lookup!$W:$W,$B103,Points_Lookup!$Y:$Y),"")))</f>
        <v/>
      </c>
      <c r="T103" s="28" t="str">
        <f ca="1">IF(B103="","",IF($B$4="R&amp;T Level 5 - Clinical Lecturers (Vet School)",SUMIF(Points_Lookup!$P:$P,$B103,Points_Lookup!$T:$T),IF($B$4="R&amp;T Level 6 - Clinical Associate Professors and Clinical Readers (Vet School)",SUMIF(Points_Lookup!$W:$W,$B103,Points_Lookup!$AA:$AA),"")))</f>
        <v/>
      </c>
      <c r="U103" s="29" t="str">
        <f t="shared" ca="1" si="12"/>
        <v/>
      </c>
    </row>
    <row r="104" spans="2:21" x14ac:dyDescent="0.25">
      <c r="B104" s="4" t="str">
        <f ca="1">IFERROR(INDEX(Points_Lookup!$A:$A,MATCH($Z106,Points_Lookup!$AH:$AH,0)),"")</f>
        <v/>
      </c>
      <c r="C104" s="25" t="str">
        <f ca="1">IF(B104="","",IF($B$4="Apprenticeship",SUMIF(Points_Lookup!$AD:$AD,B104,Points_Lookup!$AF:$AF),IF(AND(OR($B$4="New Consultant Contract"),$B104&lt;&gt;""),INDEX(Points_Lookup!$N:$N,MATCH($B104,Points_Lookup!$M:$M,0)),IF(AND(OR($B$4="Clinical Lecturer / Medical Research Fellow",$B$4="Clinical Consultant - Old Contract (GP)"),$B104&lt;&gt;""),INDEX(Points_Lookup!$K:$K,MATCH($B104,Points_Lookup!$J:$J,0)),IF(AND(OR($B$4="APM Level 7",$B$4="R&amp;T Level 7",$B$4="APM Level 8"),B104&lt;&gt;""),INDEX(Points_Lookup!$E:$E,MATCH($Z104,Points_Lookup!$AH:$AH,0)),IF($B$4="R&amp;T Level 5 - Clinical Lecturers (Vet School)",SUMIF(Points_Lookup!$P:$P,$B104,Points_Lookup!$S:$S),IF($B$4="R&amp;T Level 6 - Clinical Associate Professors and Clinical Readers (Vet School)",SUMIF(Points_Lookup!$W:$W,$B104,Points_Lookup!$Z:$Z),IFERROR(INDEX(Points_Lookup!$B:$B,MATCH($Z104,Points_Lookup!$AH:$AH,0)),""))))))))</f>
        <v/>
      </c>
      <c r="D104" s="40"/>
      <c r="E104" s="25" t="str">
        <f ca="1">IF($B104="","",IF(AND($B$4="Salary Points 3 to 57",B104&lt;Thresholds_Rates!$C$16),"-",IF(SUMIF(Grades!$A:$A,$B$4,Grades!$BO:$BO)=0,"-",IF(AND($B$4="Salary Points 3 to 57",B104&gt;=Thresholds_Rates!$C$16),$C104*Thresholds_Rates!$F$15,IF(AND(OR($B$4="New Consultant Contract"),$B104&lt;&gt;""),$C104*Thresholds_Rates!$F$15,IF(AND(OR($B$4="Clinical Lecturer / Medical Research Fellow",$B$4="Clinical Consultant - Old Contract (GP)"),$B104&lt;&gt;""),$C104*Thresholds_Rates!$F$15,IF(OR($B$4="APM Level 7",$B$4="R&amp;T Level 7"),$C104*Thresholds_Rates!$F$15,IF(SUMIF(Grades!$A:$A,$B$4,Grades!$BO:$BO)=1,$C104*Thresholds_Rates!$F$15,""))))))))</f>
        <v/>
      </c>
      <c r="F104" s="25" t="str">
        <f ca="1">IF(B104="","",IF($B$4="Salary Points 1 to 57","-",IF(SUMIF(Grades!$A:$A,$B$4,Grades!$BP:$BP)=0,"-",IF(AND(OR($B$4="New Consultant Contract"),$B104&lt;&gt;""),$C104*Thresholds_Rates!$F$16,IF(AND(OR($B$4="Clinical Lecturer / Medical Research Fellow",$B$4="Clinical Consultant - Old Contract (GP)"),$B104&lt;&gt;""),$C104*Thresholds_Rates!$F$16,IF(AND(OR($B$4="APM Level 7",$B$4="R&amp;T Level 7"),E104&lt;&gt;""),$C104*Thresholds_Rates!$F$16,IF(SUMIF(Grades!$A:$A,$B$4,Grades!$BP:$BP)=1,$C104*Thresholds_Rates!$F$16,"")))))))</f>
        <v/>
      </c>
      <c r="G104" s="25" t="str">
        <f ca="1">IF(B104="","",IF(SUMIF(Grades!$A:$A,$B$4,Grades!$BQ:$BQ)=0,"-",IF(AND($B$4="Salary Points 1 to 57",B104&gt;Thresholds_Rates!$C$17),"-",IF(AND($B$4="Salary Points 1 to 57",B104&lt;=Thresholds_Rates!$C$17),$C104*Thresholds_Rates!$F$17,IF(AND(OR($B$4="New Consultant Contract"),$B104&lt;&gt;""),$C104*Thresholds_Rates!$F$17,IF(AND(OR($B$4="Clinical Lecturer / Medical Research Fellow",$B$4="Clinical Consultant - Old Contract (GP)"),$B104&lt;&gt;""),$C104*Thresholds_Rates!$F$17,IF(AND(OR($B$4="APM Level 7",$B$4="R&amp;T Level 7"),F104&lt;&gt;""),$C104*Thresholds_Rates!$F$17,IF(SUMIF(Grades!$A:$A,$B$4,Grades!$BQ:$BQ)=1,$C104*Thresholds_Rates!$F$17,""))))))))</f>
        <v/>
      </c>
      <c r="H104" s="25"/>
      <c r="I104" s="25" t="str">
        <f ca="1">IF(B104="","",(C104*Thresholds_Rates!$C$12))</f>
        <v/>
      </c>
      <c r="J104" s="25"/>
      <c r="K104" s="4"/>
      <c r="L104" s="25" t="str">
        <f t="shared" ca="1" si="13"/>
        <v/>
      </c>
      <c r="M104" s="25" t="str">
        <f t="shared" ca="1" si="14"/>
        <v/>
      </c>
      <c r="N104" s="25" t="str">
        <f t="shared" ca="1" si="15"/>
        <v/>
      </c>
      <c r="O104" s="25" t="str">
        <f t="shared" ca="1" si="16"/>
        <v/>
      </c>
      <c r="P104" s="25" t="str">
        <f t="shared" ca="1" si="17"/>
        <v/>
      </c>
      <c r="R104" s="28"/>
      <c r="S104" s="29"/>
      <c r="T104" s="28"/>
      <c r="U104" s="29"/>
    </row>
    <row r="105" spans="2:21" x14ac:dyDescent="0.25">
      <c r="B105" s="4" t="str">
        <f ca="1">IFERROR(INDEX(Points_Lookup!$A:$A,MATCH($Z107,Points_Lookup!$AH:$AH,0)),"")</f>
        <v/>
      </c>
      <c r="C105" s="25" t="str">
        <f ca="1">IF(B105="","",IF($B$4="Apprenticeship",SUMIF(Points_Lookup!$AD:$AD,B105,Points_Lookup!$AF:$AF),IF(AND(OR($B$4="New Consultant Contract"),$B105&lt;&gt;""),INDEX(Points_Lookup!$N:$N,MATCH($B105,Points_Lookup!$M:$M,0)),IF(AND(OR($B$4="Clinical Lecturer / Medical Research Fellow",$B$4="Clinical Consultant - Old Contract (GP)"),$B105&lt;&gt;""),INDEX(Points_Lookup!$K:$K,MATCH($B105,Points_Lookup!$J:$J,0)),IF(AND(OR($B$4="APM Level 7",$B$4="R&amp;T Level 7",$B$4="APM Level 8"),B105&lt;&gt;""),INDEX(Points_Lookup!$E:$E,MATCH($Z105,Points_Lookup!$AH:$AH,0)),IF($B$4="R&amp;T Level 5 - Clinical Lecturers (Vet School)",SUMIF(Points_Lookup!$P:$P,$B105,Points_Lookup!$S:$S),IF($B$4="R&amp;T Level 6 - Clinical Associate Professors and Clinical Readers (Vet School)",SUMIF(Points_Lookup!$W:$W,$B105,Points_Lookup!$Z:$Z),IFERROR(INDEX(Points_Lookup!$B:$B,MATCH($Z105,Points_Lookup!$AH:$AH,0)),""))))))))</f>
        <v/>
      </c>
      <c r="D105" s="40"/>
      <c r="E105" s="25" t="str">
        <f ca="1">IF($B105="","",IF(AND($B$4="Salary Points 3 to 57",B105&lt;Thresholds_Rates!$C$16),"-",IF(SUMIF(Grades!$A:$A,$B$4,Grades!$BO:$BO)=0,"-",IF(AND($B$4="Salary Points 3 to 57",B105&gt;=Thresholds_Rates!$C$16),$C105*Thresholds_Rates!$F$15,IF(AND(OR($B$4="New Consultant Contract"),$B105&lt;&gt;""),$C105*Thresholds_Rates!$F$15,IF(AND(OR($B$4="Clinical Lecturer / Medical Research Fellow",$B$4="Clinical Consultant - Old Contract (GP)"),$B105&lt;&gt;""),$C105*Thresholds_Rates!$F$15,IF(OR($B$4="APM Level 7",$B$4="R&amp;T Level 7"),$C105*Thresholds_Rates!$F$15,IF(SUMIF(Grades!$A:$A,$B$4,Grades!$BO:$BO)=1,$C105*Thresholds_Rates!$F$15,""))))))))</f>
        <v/>
      </c>
      <c r="F105" s="25" t="str">
        <f ca="1">IF(B105="","",IF($B$4="Salary Points 1 to 57","-",IF(SUMIF(Grades!$A:$A,$B$4,Grades!$BP:$BP)=0,"-",IF(AND(OR($B$4="New Consultant Contract"),$B105&lt;&gt;""),$C105*Thresholds_Rates!$F$16,IF(AND(OR($B$4="Clinical Lecturer / Medical Research Fellow",$B$4="Clinical Consultant - Old Contract (GP)"),$B105&lt;&gt;""),$C105*Thresholds_Rates!$F$16,IF(AND(OR($B$4="APM Level 7",$B$4="R&amp;T Level 7"),E105&lt;&gt;""),$C105*Thresholds_Rates!$F$16,IF(SUMIF(Grades!$A:$A,$B$4,Grades!$BP:$BP)=1,$C105*Thresholds_Rates!$F$16,"")))))))</f>
        <v/>
      </c>
      <c r="G105" s="25" t="str">
        <f ca="1">IF(B105="","",IF(SUMIF(Grades!$A:$A,$B$4,Grades!$BQ:$BQ)=0,"-",IF(AND($B$4="Salary Points 1 to 57",B105&gt;Thresholds_Rates!$C$17),"-",IF(AND($B$4="Salary Points 1 to 57",B105&lt;=Thresholds_Rates!$C$17),$C105*Thresholds_Rates!$F$17,IF(AND(OR($B$4="New Consultant Contract"),$B105&lt;&gt;""),$C105*Thresholds_Rates!$F$17,IF(AND(OR($B$4="Clinical Lecturer / Medical Research Fellow",$B$4="Clinical Consultant - Old Contract (GP)"),$B105&lt;&gt;""),$C105*Thresholds_Rates!$F$17,IF(AND(OR($B$4="APM Level 7",$B$4="R&amp;T Level 7"),F105&lt;&gt;""),$C105*Thresholds_Rates!$F$17,IF(SUMIF(Grades!$A:$A,$B$4,Grades!$BQ:$BQ)=1,$C105*Thresholds_Rates!$F$17,""))))))))</f>
        <v/>
      </c>
      <c r="H105" s="25"/>
      <c r="I105" s="25" t="str">
        <f ca="1">IF(B105="","",(C105*Thresholds_Rates!$C$12))</f>
        <v/>
      </c>
      <c r="J105" s="25"/>
      <c r="K105" s="4"/>
      <c r="L105" s="25" t="str">
        <f t="shared" ca="1" si="13"/>
        <v/>
      </c>
      <c r="M105" s="25" t="str">
        <f t="shared" ca="1" si="14"/>
        <v/>
      </c>
      <c r="N105" s="25" t="str">
        <f t="shared" ca="1" si="15"/>
        <v/>
      </c>
      <c r="O105" s="25" t="str">
        <f t="shared" ca="1" si="16"/>
        <v/>
      </c>
      <c r="P105" s="25" t="str">
        <f t="shared" ca="1" si="17"/>
        <v/>
      </c>
      <c r="R105" s="28"/>
      <c r="S105" s="29"/>
      <c r="T105" s="28"/>
      <c r="U105" s="29"/>
    </row>
    <row r="106" spans="2:21" x14ac:dyDescent="0.25">
      <c r="B106" s="4" t="str">
        <f ca="1">IFERROR(INDEX(Points_Lookup!$A:$A,MATCH($Z108,Points_Lookup!$AH:$AH,0)),"")</f>
        <v/>
      </c>
      <c r="C106" s="25" t="str">
        <f ca="1">IF(B106="","",IF($B$4="Apprenticeship",SUMIF(Points_Lookup!$AD:$AD,B106,Points_Lookup!$AF:$AF),IF(AND(OR($B$4="New Consultant Contract"),$B106&lt;&gt;""),INDEX(Points_Lookup!$N:$N,MATCH($B106,Points_Lookup!$M:$M,0)),IF(AND(OR($B$4="Clinical Lecturer / Medical Research Fellow",$B$4="Clinical Consultant - Old Contract (GP)"),$B106&lt;&gt;""),INDEX(Points_Lookup!$K:$K,MATCH($B106,Points_Lookup!$J:$J,0)),IF(AND(OR($B$4="APM Level 7",$B$4="R&amp;T Level 7",$B$4="APM Level 8"),B106&lt;&gt;""),INDEX(Points_Lookup!$E:$E,MATCH($Z106,Points_Lookup!$AH:$AH,0)),IF($B$4="R&amp;T Level 5 - Clinical Lecturers (Vet School)",SUMIF(Points_Lookup!$P:$P,$B106,Points_Lookup!$S:$S),IF($B$4="R&amp;T Level 6 - Clinical Associate Professors and Clinical Readers (Vet School)",SUMIF(Points_Lookup!$W:$W,$B106,Points_Lookup!$Z:$Z),IFERROR(INDEX(Points_Lookup!$B:$B,MATCH($Z106,Points_Lookup!$AH:$AH,0)),""))))))))</f>
        <v/>
      </c>
      <c r="D106" s="40"/>
      <c r="E106" s="25" t="str">
        <f ca="1">IF($B106="","",IF(AND($B$4="Salary Points 3 to 57",B106&lt;Thresholds_Rates!$C$16),"-",IF(SUMIF(Grades!$A:$A,$B$4,Grades!$BO:$BO)=0,"-",IF(AND($B$4="Salary Points 3 to 57",B106&gt;=Thresholds_Rates!$C$16),$C106*Thresholds_Rates!$F$15,IF(AND(OR($B$4="New Consultant Contract"),$B106&lt;&gt;""),$C106*Thresholds_Rates!$F$15,IF(AND(OR($B$4="Clinical Lecturer / Medical Research Fellow",$B$4="Clinical Consultant - Old Contract (GP)"),$B106&lt;&gt;""),$C106*Thresholds_Rates!$F$15,IF(OR($B$4="APM Level 7",$B$4="R&amp;T Level 7"),$C106*Thresholds_Rates!$F$15,IF(SUMIF(Grades!$A:$A,$B$4,Grades!$BO:$BO)=1,$C106*Thresholds_Rates!$F$15,""))))))))</f>
        <v/>
      </c>
      <c r="F106" s="25" t="str">
        <f ca="1">IF(B106="","",IF($B$4="Salary Points 1 to 57","-",IF(SUMIF(Grades!$A:$A,$B$4,Grades!$BP:$BP)=0,"-",IF(AND(OR($B$4="New Consultant Contract"),$B106&lt;&gt;""),$C106*Thresholds_Rates!$F$16,IF(AND(OR($B$4="Clinical Lecturer / Medical Research Fellow",$B$4="Clinical Consultant - Old Contract (GP)"),$B106&lt;&gt;""),$C106*Thresholds_Rates!$F$16,IF(AND(OR($B$4="APM Level 7",$B$4="R&amp;T Level 7"),E106&lt;&gt;""),$C106*Thresholds_Rates!$F$16,IF(SUMIF(Grades!$A:$A,$B$4,Grades!$BP:$BP)=1,$C106*Thresholds_Rates!$F$16,"")))))))</f>
        <v/>
      </c>
      <c r="G106" s="25" t="str">
        <f ca="1">IF(B106="","",IF(SUMIF(Grades!$A:$A,$B$4,Grades!$BQ:$BQ)=0,"-",IF(AND($B$4="Salary Points 1 to 57",B106&gt;Thresholds_Rates!$C$17),"-",IF(AND($B$4="Salary Points 1 to 57",B106&lt;=Thresholds_Rates!$C$17),$C106*Thresholds_Rates!$F$17,IF(AND(OR($B$4="New Consultant Contract"),$B106&lt;&gt;""),$C106*Thresholds_Rates!$F$17,IF(AND(OR($B$4="Clinical Lecturer / Medical Research Fellow",$B$4="Clinical Consultant - Old Contract (GP)"),$B106&lt;&gt;""),$C106*Thresholds_Rates!$F$17,IF(AND(OR($B$4="APM Level 7",$B$4="R&amp;T Level 7"),F106&lt;&gt;""),$C106*Thresholds_Rates!$F$17,IF(SUMIF(Grades!$A:$A,$B$4,Grades!$BQ:$BQ)=1,$C106*Thresholds_Rates!$F$17,""))))))))</f>
        <v/>
      </c>
      <c r="H106" s="25"/>
      <c r="I106" s="25" t="str">
        <f ca="1">IF(B106="","",(C106*Thresholds_Rates!$C$12))</f>
        <v/>
      </c>
      <c r="J106" s="25"/>
      <c r="K106" s="4"/>
      <c r="L106" s="25" t="str">
        <f t="shared" ca="1" si="13"/>
        <v/>
      </c>
      <c r="M106" s="25" t="str">
        <f t="shared" ca="1" si="14"/>
        <v/>
      </c>
      <c r="N106" s="25" t="str">
        <f t="shared" ca="1" si="15"/>
        <v/>
      </c>
      <c r="O106" s="25" t="str">
        <f t="shared" ca="1" si="16"/>
        <v/>
      </c>
      <c r="P106" s="25" t="str">
        <f t="shared" ca="1" si="17"/>
        <v/>
      </c>
      <c r="R106" s="28"/>
      <c r="S106" s="29"/>
      <c r="T106" s="28"/>
      <c r="U106" s="29"/>
    </row>
    <row r="107" spans="2:21" x14ac:dyDescent="0.25">
      <c r="B107" s="4" t="str">
        <f ca="1">IFERROR(INDEX(Points_Lookup!$A:$A,MATCH($Z109,Points_Lookup!$AH:$AH,0)),"")</f>
        <v/>
      </c>
      <c r="C107" s="25" t="str">
        <f ca="1">IF(B107="","",IF($B$4="Apprenticeship",SUMIF(Points_Lookup!$AD:$AD,B107,Points_Lookup!$AF:$AF),IF(AND(OR($B$4="New Consultant Contract"),$B107&lt;&gt;""),INDEX(Points_Lookup!$N:$N,MATCH($B107,Points_Lookup!$M:$M,0)),IF(AND(OR($B$4="Clinical Lecturer / Medical Research Fellow",$B$4="Clinical Consultant - Old Contract (GP)"),$B107&lt;&gt;""),INDEX(Points_Lookup!$K:$K,MATCH($B107,Points_Lookup!$J:$J,0)),IF(AND(OR($B$4="APM Level 7",$B$4="R&amp;T Level 7",$B$4="APM Level 8"),B107&lt;&gt;""),INDEX(Points_Lookup!$E:$E,MATCH($Z107,Points_Lookup!$AH:$AH,0)),IF($B$4="R&amp;T Level 5 - Clinical Lecturers (Vet School)",SUMIF(Points_Lookup!$P:$P,$B107,Points_Lookup!$S:$S),IF($B$4="R&amp;T Level 6 - Clinical Associate Professors and Clinical Readers (Vet School)",SUMIF(Points_Lookup!$W:$W,$B107,Points_Lookup!$Z:$Z),IFERROR(INDEX(Points_Lookup!$B:$B,MATCH($Z107,Points_Lookup!$AH:$AH,0)),""))))))))</f>
        <v/>
      </c>
      <c r="D107" s="40"/>
      <c r="E107" s="25" t="str">
        <f ca="1">IF($B107="","",IF(AND($B$4="Salary Points 3 to 57",B107&lt;Thresholds_Rates!$C$16),"-",IF(SUMIF(Grades!$A:$A,$B$4,Grades!$BO:$BO)=0,"-",IF(AND($B$4="Salary Points 3 to 57",B107&gt;=Thresholds_Rates!$C$16),$C107*Thresholds_Rates!$F$15,IF(AND(OR($B$4="New Consultant Contract"),$B107&lt;&gt;""),$C107*Thresholds_Rates!$F$15,IF(AND(OR($B$4="Clinical Lecturer / Medical Research Fellow",$B$4="Clinical Consultant - Old Contract (GP)"),$B107&lt;&gt;""),$C107*Thresholds_Rates!$F$15,IF(OR($B$4="APM Level 7",$B$4="R&amp;T Level 7"),$C107*Thresholds_Rates!$F$15,IF(SUMIF(Grades!$A:$A,$B$4,Grades!$BO:$BO)=1,$C107*Thresholds_Rates!$F$15,""))))))))</f>
        <v/>
      </c>
      <c r="F107" s="25" t="str">
        <f ca="1">IF(B107="","",IF($B$4="Salary Points 1 to 57","-",IF(SUMIF(Grades!$A:$A,$B$4,Grades!$BP:$BP)=0,"-",IF(AND(OR($B$4="New Consultant Contract"),$B107&lt;&gt;""),$C107*Thresholds_Rates!$F$16,IF(AND(OR($B$4="Clinical Lecturer / Medical Research Fellow",$B$4="Clinical Consultant - Old Contract (GP)"),$B107&lt;&gt;""),$C107*Thresholds_Rates!$F$16,IF(AND(OR($B$4="APM Level 7",$B$4="R&amp;T Level 7"),E107&lt;&gt;""),$C107*Thresholds_Rates!$F$16,IF(SUMIF(Grades!$A:$A,$B$4,Grades!$BP:$BP)=1,$C107*Thresholds_Rates!$F$16,"")))))))</f>
        <v/>
      </c>
      <c r="G107" s="25" t="str">
        <f ca="1">IF(B107="","",IF(SUMIF(Grades!$A:$A,$B$4,Grades!$BQ:$BQ)=0,"-",IF(AND($B$4="Salary Points 1 to 57",B107&gt;Thresholds_Rates!$C$17),"-",IF(AND($B$4="Salary Points 1 to 57",B107&lt;=Thresholds_Rates!$C$17),$C107*Thresholds_Rates!$F$17,IF(AND(OR($B$4="New Consultant Contract"),$B107&lt;&gt;""),$C107*Thresholds_Rates!$F$17,IF(AND(OR($B$4="Clinical Lecturer / Medical Research Fellow",$B$4="Clinical Consultant - Old Contract (GP)"),$B107&lt;&gt;""),$C107*Thresholds_Rates!$F$17,IF(AND(OR($B$4="APM Level 7",$B$4="R&amp;T Level 7"),F107&lt;&gt;""),$C107*Thresholds_Rates!$F$17,IF(SUMIF(Grades!$A:$A,$B$4,Grades!$BQ:$BQ)=1,$C107*Thresholds_Rates!$F$17,""))))))))</f>
        <v/>
      </c>
      <c r="H107" s="25"/>
      <c r="I107" s="25" t="str">
        <f ca="1">IF(B107="","",(C107*Thresholds_Rates!$C$12))</f>
        <v/>
      </c>
      <c r="J107" s="25"/>
      <c r="K107" s="4"/>
      <c r="L107" s="25" t="str">
        <f t="shared" ca="1" si="13"/>
        <v/>
      </c>
      <c r="M107" s="25" t="str">
        <f t="shared" ca="1" si="14"/>
        <v/>
      </c>
      <c r="N107" s="25" t="str">
        <f t="shared" ca="1" si="15"/>
        <v/>
      </c>
      <c r="O107" s="25" t="str">
        <f t="shared" ca="1" si="16"/>
        <v/>
      </c>
      <c r="P107" s="25" t="str">
        <f t="shared" ca="1" si="17"/>
        <v/>
      </c>
      <c r="R107" s="28"/>
      <c r="S107" s="29"/>
      <c r="T107" s="28"/>
      <c r="U107" s="29"/>
    </row>
    <row r="108" spans="2:21" x14ac:dyDescent="0.25">
      <c r="B108" s="4" t="str">
        <f ca="1">IFERROR(INDEX(Points_Lookup!$A:$A,MATCH($Z110,Points_Lookup!$AH:$AH,0)),"")</f>
        <v/>
      </c>
      <c r="C108" s="25" t="str">
        <f ca="1">IF(B108="","",IF($B$4="Apprenticeship",SUMIF(Points_Lookup!$AD:$AD,B108,Points_Lookup!$AF:$AF),IF(AND(OR($B$4="New Consultant Contract"),$B108&lt;&gt;""),INDEX(Points_Lookup!$N:$N,MATCH($B108,Points_Lookup!$M:$M,0)),IF(AND(OR($B$4="Clinical Lecturer / Medical Research Fellow",$B$4="Clinical Consultant - Old Contract (GP)"),$B108&lt;&gt;""),INDEX(Points_Lookup!$K:$K,MATCH($B108,Points_Lookup!$J:$J,0)),IF(AND(OR($B$4="APM Level 7",$B$4="R&amp;T Level 7",$B$4="APM Level 8"),B108&lt;&gt;""),INDEX(Points_Lookup!$E:$E,MATCH($Z108,Points_Lookup!$AH:$AH,0)),IF($B$4="R&amp;T Level 5 - Clinical Lecturers (Vet School)",SUMIF(Points_Lookup!$P:$P,$B108,Points_Lookup!$S:$S),IF($B$4="R&amp;T Level 6 - Clinical Associate Professors and Clinical Readers (Vet School)",SUMIF(Points_Lookup!$W:$W,$B108,Points_Lookup!$Z:$Z),IFERROR(INDEX(Points_Lookup!$B:$B,MATCH($Z108,Points_Lookup!$AH:$AH,0)),""))))))))</f>
        <v/>
      </c>
      <c r="D108" s="40"/>
      <c r="E108" s="25" t="str">
        <f ca="1">IF($B108="","",IF(AND($B$4="Salary Points 3 to 57",B108&lt;Thresholds_Rates!$C$16),"-",IF(SUMIF(Grades!$A:$A,$B$4,Grades!$BO:$BO)=0,"-",IF(AND($B$4="Salary Points 3 to 57",B108&gt;=Thresholds_Rates!$C$16),$C108*Thresholds_Rates!$F$15,IF(AND(OR($B$4="New Consultant Contract"),$B108&lt;&gt;""),$C108*Thresholds_Rates!$F$15,IF(AND(OR($B$4="Clinical Lecturer / Medical Research Fellow",$B$4="Clinical Consultant - Old Contract (GP)"),$B108&lt;&gt;""),$C108*Thresholds_Rates!$F$15,IF(OR($B$4="APM Level 7",$B$4="R&amp;T Level 7"),$C108*Thresholds_Rates!$F$15,IF(SUMIF(Grades!$A:$A,$B$4,Grades!$BO:$BO)=1,$C108*Thresholds_Rates!$F$15,""))))))))</f>
        <v/>
      </c>
      <c r="F108" s="25" t="str">
        <f ca="1">IF(B108="","",IF($B$4="Salary Points 1 to 57","-",IF(SUMIF(Grades!$A:$A,$B$4,Grades!$BP:$BP)=0,"-",IF(AND(OR($B$4="New Consultant Contract"),$B108&lt;&gt;""),$C108*Thresholds_Rates!$F$16,IF(AND(OR($B$4="Clinical Lecturer / Medical Research Fellow",$B$4="Clinical Consultant - Old Contract (GP)"),$B108&lt;&gt;""),$C108*Thresholds_Rates!$F$16,IF(AND(OR($B$4="APM Level 7",$B$4="R&amp;T Level 7"),E108&lt;&gt;""),$C108*Thresholds_Rates!$F$16,IF(SUMIF(Grades!$A:$A,$B$4,Grades!$BP:$BP)=1,$C108*Thresholds_Rates!$F$16,"")))))))</f>
        <v/>
      </c>
      <c r="G108" s="25" t="str">
        <f ca="1">IF(B108="","",IF(SUMIF(Grades!$A:$A,$B$4,Grades!$BQ:$BQ)=0,"-",IF(AND($B$4="Salary Points 1 to 57",B108&gt;Thresholds_Rates!$C$17),"-",IF(AND($B$4="Salary Points 1 to 57",B108&lt;=Thresholds_Rates!$C$17),$C108*Thresholds_Rates!$F$17,IF(AND(OR($B$4="New Consultant Contract"),$B108&lt;&gt;""),$C108*Thresholds_Rates!$F$17,IF(AND(OR($B$4="Clinical Lecturer / Medical Research Fellow",$B$4="Clinical Consultant - Old Contract (GP)"),$B108&lt;&gt;""),$C108*Thresholds_Rates!$F$17,IF(AND(OR($B$4="APM Level 7",$B$4="R&amp;T Level 7"),F108&lt;&gt;""),$C108*Thresholds_Rates!$F$17,IF(SUMIF(Grades!$A:$A,$B$4,Grades!$BQ:$BQ)=1,$C108*Thresholds_Rates!$F$17,""))))))))</f>
        <v/>
      </c>
      <c r="H108" s="25"/>
      <c r="I108" s="25" t="str">
        <f ca="1">IF(B108="","",(C108*Thresholds_Rates!$C$12))</f>
        <v/>
      </c>
      <c r="J108" s="25"/>
      <c r="K108" s="4"/>
      <c r="L108" s="25" t="str">
        <f t="shared" ca="1" si="13"/>
        <v/>
      </c>
      <c r="M108" s="25" t="str">
        <f t="shared" ca="1" si="14"/>
        <v/>
      </c>
      <c r="N108" s="25" t="str">
        <f t="shared" ca="1" si="15"/>
        <v/>
      </c>
      <c r="O108" s="25" t="str">
        <f t="shared" ca="1" si="16"/>
        <v/>
      </c>
      <c r="P108" s="25" t="str">
        <f t="shared" ca="1" si="17"/>
        <v/>
      </c>
      <c r="R108" s="28"/>
      <c r="S108" s="29"/>
      <c r="T108" s="28"/>
      <c r="U108" s="29"/>
    </row>
    <row r="109" spans="2:21" x14ac:dyDescent="0.25">
      <c r="B109" s="4" t="str">
        <f ca="1">IFERROR(INDEX(Points_Lookup!$A:$A,MATCH($Z111,Points_Lookup!$AH:$AH,0)),"")</f>
        <v/>
      </c>
      <c r="C109" s="25" t="str">
        <f ca="1">IF(B109="","",IF($B$4="Apprenticeship",SUMIF(Points_Lookup!$AD:$AD,B109,Points_Lookup!$AF:$AF),IF(AND(OR($B$4="New Consultant Contract"),$B109&lt;&gt;""),INDEX(Points_Lookup!$N:$N,MATCH($B109,Points_Lookup!$M:$M,0)),IF(AND(OR($B$4="Clinical Lecturer / Medical Research Fellow",$B$4="Clinical Consultant - Old Contract (GP)"),$B109&lt;&gt;""),INDEX(Points_Lookup!$K:$K,MATCH($B109,Points_Lookup!$J:$J,0)),IF(AND(OR($B$4="APM Level 7",$B$4="R&amp;T Level 7",$B$4="APM Level 8"),B109&lt;&gt;""),INDEX(Points_Lookup!$E:$E,MATCH($Z109,Points_Lookup!$AH:$AH,0)),IF($B$4="R&amp;T Level 5 - Clinical Lecturers (Vet School)",SUMIF(Points_Lookup!$P:$P,$B109,Points_Lookup!$S:$S),IF($B$4="R&amp;T Level 6 - Clinical Associate Professors and Clinical Readers (Vet School)",SUMIF(Points_Lookup!$W:$W,$B109,Points_Lookup!$Z:$Z),IFERROR(INDEX(Points_Lookup!$B:$B,MATCH($Z109,Points_Lookup!$AH:$AH,0)),""))))))))</f>
        <v/>
      </c>
      <c r="D109" s="40"/>
      <c r="E109" s="25" t="str">
        <f ca="1">IF($B109="","",IF(AND($B$4="Salary Points 3 to 57",B109&lt;Thresholds_Rates!$C$16),"-",IF(SUMIF(Grades!$A:$A,$B$4,Grades!$BO:$BO)=0,"-",IF(AND($B$4="Salary Points 3 to 57",B109&gt;=Thresholds_Rates!$C$16),$C109*Thresholds_Rates!$F$15,IF(AND(OR($B$4="New Consultant Contract"),$B109&lt;&gt;""),$C109*Thresholds_Rates!$F$15,IF(AND(OR($B$4="Clinical Lecturer / Medical Research Fellow",$B$4="Clinical Consultant - Old Contract (GP)"),$B109&lt;&gt;""),$C109*Thresholds_Rates!$F$15,IF(OR($B$4="APM Level 7",$B$4="R&amp;T Level 7"),$C109*Thresholds_Rates!$F$15,IF(SUMIF(Grades!$A:$A,$B$4,Grades!$BO:$BO)=1,$C109*Thresholds_Rates!$F$15,""))))))))</f>
        <v/>
      </c>
      <c r="F109" s="25" t="str">
        <f ca="1">IF(B109="","",IF($B$4="Salary Points 1 to 57","-",IF(SUMIF(Grades!$A:$A,$B$4,Grades!$BP:$BP)=0,"-",IF(AND(OR($B$4="New Consultant Contract"),$B109&lt;&gt;""),$C109*Thresholds_Rates!$F$16,IF(AND(OR($B$4="Clinical Lecturer / Medical Research Fellow",$B$4="Clinical Consultant - Old Contract (GP)"),$B109&lt;&gt;""),$C109*Thresholds_Rates!$F$16,IF(AND(OR($B$4="APM Level 7",$B$4="R&amp;T Level 7"),E109&lt;&gt;""),$C109*Thresholds_Rates!$F$16,IF(SUMIF(Grades!$A:$A,$B$4,Grades!$BP:$BP)=1,$C109*Thresholds_Rates!$F$16,"")))))))</f>
        <v/>
      </c>
      <c r="G109" s="25" t="str">
        <f ca="1">IF(B109="","",IF(SUMIF(Grades!$A:$A,$B$4,Grades!$BQ:$BQ)=0,"-",IF(AND($B$4="Salary Points 1 to 57",B109&gt;Thresholds_Rates!$C$17),"-",IF(AND($B$4="Salary Points 1 to 57",B109&lt;=Thresholds_Rates!$C$17),$C109*Thresholds_Rates!$F$17,IF(AND(OR($B$4="New Consultant Contract"),$B109&lt;&gt;""),$C109*Thresholds_Rates!$F$17,IF(AND(OR($B$4="Clinical Lecturer / Medical Research Fellow",$B$4="Clinical Consultant - Old Contract (GP)"),$B109&lt;&gt;""),$C109*Thresholds_Rates!$F$17,IF(AND(OR($B$4="APM Level 7",$B$4="R&amp;T Level 7"),F109&lt;&gt;""),$C109*Thresholds_Rates!$F$17,IF(SUMIF(Grades!$A:$A,$B$4,Grades!$BQ:$BQ)=1,$C109*Thresholds_Rates!$F$17,""))))))))</f>
        <v/>
      </c>
      <c r="H109" s="25"/>
      <c r="I109" s="25" t="str">
        <f ca="1">IF(B109="","",(C109*Thresholds_Rates!$C$12))</f>
        <v/>
      </c>
      <c r="J109" s="25"/>
      <c r="K109" s="4"/>
      <c r="L109" s="25" t="str">
        <f t="shared" ca="1" si="13"/>
        <v/>
      </c>
      <c r="M109" s="25" t="str">
        <f t="shared" ca="1" si="14"/>
        <v/>
      </c>
      <c r="N109" s="25" t="str">
        <f t="shared" ca="1" si="15"/>
        <v/>
      </c>
      <c r="O109" s="25" t="str">
        <f t="shared" ca="1" si="16"/>
        <v/>
      </c>
      <c r="P109" s="25" t="str">
        <f t="shared" ca="1" si="17"/>
        <v/>
      </c>
      <c r="R109" s="28"/>
      <c r="S109" s="29"/>
      <c r="T109" s="28"/>
      <c r="U109" s="29"/>
    </row>
    <row r="110" spans="2:21" x14ac:dyDescent="0.25">
      <c r="B110" s="4" t="str">
        <f ca="1">IFERROR(INDEX(Points_Lookup!$A:$A,MATCH($Z112,Points_Lookup!$AH:$AH,0)),"")</f>
        <v/>
      </c>
      <c r="C110" s="25" t="str">
        <f ca="1">IF(B110="","",IF($B$4="Apprenticeship",SUMIF(Points_Lookup!$AD:$AD,B110,Points_Lookup!$AF:$AF),IF(AND(OR($B$4="New Consultant Contract"),$B110&lt;&gt;""),INDEX(Points_Lookup!$N:$N,MATCH($B110,Points_Lookup!$M:$M,0)),IF(AND(OR($B$4="Clinical Lecturer / Medical Research Fellow",$B$4="Clinical Consultant - Old Contract (GP)"),$B110&lt;&gt;""),INDEX(Points_Lookup!$K:$K,MATCH($B110,Points_Lookup!$J:$J,0)),IF(AND(OR($B$4="APM Level 7",$B$4="R&amp;T Level 7",$B$4="APM Level 8"),B110&lt;&gt;""),INDEX(Points_Lookup!$E:$E,MATCH($Z110,Points_Lookup!$AH:$AH,0)),IF($B$4="R&amp;T Level 5 - Clinical Lecturers (Vet School)",SUMIF(Points_Lookup!$P:$P,$B110,Points_Lookup!$S:$S),IF($B$4="R&amp;T Level 6 - Clinical Associate Professors and Clinical Readers (Vet School)",SUMIF(Points_Lookup!$W:$W,$B110,Points_Lookup!$Z:$Z),IFERROR(INDEX(Points_Lookup!$B:$B,MATCH($Z110,Points_Lookup!$AH:$AH,0)),""))))))))</f>
        <v/>
      </c>
      <c r="D110" s="40"/>
      <c r="E110" s="25" t="str">
        <f ca="1">IF($B110="","",IF(AND($B$4="Salary Points 3 to 57",B110&lt;Thresholds_Rates!$C$16),"-",IF(SUMIF(Grades!$A:$A,$B$4,Grades!$BO:$BO)=0,"-",IF(AND($B$4="Salary Points 3 to 57",B110&gt;=Thresholds_Rates!$C$16),$C110*Thresholds_Rates!$F$15,IF(AND(OR($B$4="New Consultant Contract"),$B110&lt;&gt;""),$C110*Thresholds_Rates!$F$15,IF(AND(OR($B$4="Clinical Lecturer / Medical Research Fellow",$B$4="Clinical Consultant - Old Contract (GP)"),$B110&lt;&gt;""),$C110*Thresholds_Rates!$F$15,IF(OR($B$4="APM Level 7",$B$4="R&amp;T Level 7"),$C110*Thresholds_Rates!$F$15,IF(SUMIF(Grades!$A:$A,$B$4,Grades!$BO:$BO)=1,$C110*Thresholds_Rates!$F$15,""))))))))</f>
        <v/>
      </c>
      <c r="F110" s="25" t="str">
        <f ca="1">IF(B110="","",IF($B$4="Salary Points 1 to 57","-",IF(SUMIF(Grades!$A:$A,$B$4,Grades!$BP:$BP)=0,"-",IF(AND(OR($B$4="New Consultant Contract"),$B110&lt;&gt;""),$C110*Thresholds_Rates!$F$16,IF(AND(OR($B$4="Clinical Lecturer / Medical Research Fellow",$B$4="Clinical Consultant - Old Contract (GP)"),$B110&lt;&gt;""),$C110*Thresholds_Rates!$F$16,IF(AND(OR($B$4="APM Level 7",$B$4="R&amp;T Level 7"),E110&lt;&gt;""),$C110*Thresholds_Rates!$F$16,IF(SUMIF(Grades!$A:$A,$B$4,Grades!$BP:$BP)=1,$C110*Thresholds_Rates!$F$16,"")))))))</f>
        <v/>
      </c>
      <c r="G110" s="25" t="str">
        <f ca="1">IF(B110="","",IF(SUMIF(Grades!$A:$A,$B$4,Grades!$BQ:$BQ)=0,"-",IF(AND($B$4="Salary Points 1 to 57",B110&gt;Thresholds_Rates!$C$17),"-",IF(AND($B$4="Salary Points 1 to 57",B110&lt;=Thresholds_Rates!$C$17),$C110*Thresholds_Rates!$F$17,IF(AND(OR($B$4="New Consultant Contract"),$B110&lt;&gt;""),$C110*Thresholds_Rates!$F$17,IF(AND(OR($B$4="Clinical Lecturer / Medical Research Fellow",$B$4="Clinical Consultant - Old Contract (GP)"),$B110&lt;&gt;""),$C110*Thresholds_Rates!$F$17,IF(AND(OR($B$4="APM Level 7",$B$4="R&amp;T Level 7"),F110&lt;&gt;""),$C110*Thresholds_Rates!$F$17,IF(SUMIF(Grades!$A:$A,$B$4,Grades!$BQ:$BQ)=1,$C110*Thresholds_Rates!$F$17,""))))))))</f>
        <v/>
      </c>
      <c r="H110" s="25"/>
      <c r="I110" s="25" t="str">
        <f ca="1">IF(B110="","",(C110*Thresholds_Rates!$C$12))</f>
        <v/>
      </c>
      <c r="J110" s="25"/>
      <c r="K110" s="4"/>
      <c r="L110" s="25" t="str">
        <f t="shared" ca="1" si="13"/>
        <v/>
      </c>
      <c r="M110" s="25" t="str">
        <f t="shared" ca="1" si="14"/>
        <v/>
      </c>
      <c r="N110" s="25" t="str">
        <f t="shared" ca="1" si="15"/>
        <v/>
      </c>
      <c r="O110" s="25" t="str">
        <f t="shared" ca="1" si="16"/>
        <v/>
      </c>
      <c r="P110" s="25" t="str">
        <f t="shared" ca="1" si="17"/>
        <v/>
      </c>
      <c r="R110" s="28"/>
      <c r="S110" s="29"/>
      <c r="T110" s="28"/>
      <c r="U110" s="29"/>
    </row>
    <row r="111" spans="2:21" x14ac:dyDescent="0.25">
      <c r="B111" s="4" t="str">
        <f ca="1">IFERROR(INDEX(Points_Lookup!$A:$A,MATCH($Z113,Points_Lookup!$AH:$AH,0)),"")</f>
        <v/>
      </c>
      <c r="C111" s="25" t="str">
        <f ca="1">IF(B111="","",IF($B$4="Apprenticeship",SUMIF(Points_Lookup!$AD:$AD,B111,Points_Lookup!$AF:$AF),IF(AND(OR($B$4="New Consultant Contract"),$B111&lt;&gt;""),INDEX(Points_Lookup!$N:$N,MATCH($B111,Points_Lookup!$M:$M,0)),IF(AND(OR($B$4="Clinical Lecturer / Medical Research Fellow",$B$4="Clinical Consultant - Old Contract (GP)"),$B111&lt;&gt;""),INDEX(Points_Lookup!$K:$K,MATCH($B111,Points_Lookup!$J:$J,0)),IF(AND(OR($B$4="APM Level 7",$B$4="R&amp;T Level 7",$B$4="APM Level 8"),B111&lt;&gt;""),INDEX(Points_Lookup!$E:$E,MATCH($Z111,Points_Lookup!$AH:$AH,0)),IF($B$4="R&amp;T Level 5 - Clinical Lecturers (Vet School)",SUMIF(Points_Lookup!$P:$P,$B111,Points_Lookup!$S:$S),IF($B$4="R&amp;T Level 6 - Clinical Associate Professors and Clinical Readers (Vet School)",SUMIF(Points_Lookup!$W:$W,$B111,Points_Lookup!$Z:$Z),IFERROR(INDEX(Points_Lookup!$B:$B,MATCH($Z111,Points_Lookup!$AH:$AH,0)),""))))))))</f>
        <v/>
      </c>
      <c r="D111" s="40"/>
      <c r="E111" s="25" t="str">
        <f ca="1">IF($B111="","",IF(AND($B$4="Salary Points 3 to 57",B111&lt;Thresholds_Rates!$C$16),"-",IF(SUMIF(Grades!$A:$A,$B$4,Grades!$BO:$BO)=0,"-",IF(AND($B$4="Salary Points 3 to 57",B111&gt;=Thresholds_Rates!$C$16),$C111*Thresholds_Rates!$F$15,IF(AND(OR($B$4="New Consultant Contract"),$B111&lt;&gt;""),$C111*Thresholds_Rates!$F$15,IF(AND(OR($B$4="Clinical Lecturer / Medical Research Fellow",$B$4="Clinical Consultant - Old Contract (GP)"),$B111&lt;&gt;""),$C111*Thresholds_Rates!$F$15,IF(OR($B$4="APM Level 7",$B$4="R&amp;T Level 7"),$C111*Thresholds_Rates!$F$15,IF(SUMIF(Grades!$A:$A,$B$4,Grades!$BO:$BO)=1,$C111*Thresholds_Rates!$F$15,""))))))))</f>
        <v/>
      </c>
      <c r="F111" s="25" t="str">
        <f ca="1">IF(B111="","",IF($B$4="Salary Points 1 to 57","-",IF(SUMIF(Grades!$A:$A,$B$4,Grades!$BP:$BP)=0,"-",IF(AND(OR($B$4="New Consultant Contract"),$B111&lt;&gt;""),$C111*Thresholds_Rates!$F$16,IF(AND(OR($B$4="Clinical Lecturer / Medical Research Fellow",$B$4="Clinical Consultant - Old Contract (GP)"),$B111&lt;&gt;""),$C111*Thresholds_Rates!$F$16,IF(AND(OR($B$4="APM Level 7",$B$4="R&amp;T Level 7"),E111&lt;&gt;""),$C111*Thresholds_Rates!$F$16,IF(SUMIF(Grades!$A:$A,$B$4,Grades!$BP:$BP)=1,$C111*Thresholds_Rates!$F$16,"")))))))</f>
        <v/>
      </c>
      <c r="G111" s="25" t="str">
        <f ca="1">IF(B111="","",IF(SUMIF(Grades!$A:$A,$B$4,Grades!$BQ:$BQ)=0,"-",IF(AND($B$4="Salary Points 1 to 57",B111&gt;Thresholds_Rates!$C$17),"-",IF(AND($B$4="Salary Points 1 to 57",B111&lt;=Thresholds_Rates!$C$17),$C111*Thresholds_Rates!$F$17,IF(AND(OR($B$4="New Consultant Contract"),$B111&lt;&gt;""),$C111*Thresholds_Rates!$F$17,IF(AND(OR($B$4="Clinical Lecturer / Medical Research Fellow",$B$4="Clinical Consultant - Old Contract (GP)"),$B111&lt;&gt;""),$C111*Thresholds_Rates!$F$17,IF(AND(OR($B$4="APM Level 7",$B$4="R&amp;T Level 7"),F111&lt;&gt;""),$C111*Thresholds_Rates!$F$17,IF(SUMIF(Grades!$A:$A,$B$4,Grades!$BQ:$BQ)=1,$C111*Thresholds_Rates!$F$17,""))))))))</f>
        <v/>
      </c>
      <c r="H111" s="25"/>
      <c r="I111" s="25" t="str">
        <f ca="1">IF(B111="","",(C111*Thresholds_Rates!$C$12))</f>
        <v/>
      </c>
      <c r="J111" s="25"/>
      <c r="K111" s="4"/>
      <c r="L111" s="25" t="str">
        <f t="shared" ca="1" si="13"/>
        <v/>
      </c>
      <c r="M111" s="25" t="str">
        <f t="shared" ca="1" si="14"/>
        <v/>
      </c>
      <c r="N111" s="25" t="str">
        <f t="shared" ca="1" si="15"/>
        <v/>
      </c>
      <c r="O111" s="25" t="str">
        <f t="shared" ca="1" si="16"/>
        <v/>
      </c>
      <c r="P111" s="25" t="str">
        <f t="shared" ca="1" si="17"/>
        <v/>
      </c>
      <c r="R111" s="28"/>
      <c r="S111" s="29"/>
      <c r="T111" s="28"/>
      <c r="U111" s="29"/>
    </row>
    <row r="112" spans="2:21" x14ac:dyDescent="0.25">
      <c r="B112" s="4" t="str">
        <f ca="1">IFERROR(INDEX(Points_Lookup!$A:$A,MATCH($Z114,Points_Lookup!$AH:$AH,0)),"")</f>
        <v/>
      </c>
      <c r="C112" s="25" t="str">
        <f ca="1">IF(B112="","",IF($B$4="Apprenticeship",SUMIF(Points_Lookup!$AD:$AD,B112,Points_Lookup!$AF:$AF),IF(AND(OR($B$4="New Consultant Contract"),$B112&lt;&gt;""),INDEX(Points_Lookup!$N:$N,MATCH($B112,Points_Lookup!$M:$M,0)),IF(AND(OR($B$4="Clinical Lecturer / Medical Research Fellow",$B$4="Clinical Consultant - Old Contract (GP)"),$B112&lt;&gt;""),INDEX(Points_Lookup!$K:$K,MATCH($B112,Points_Lookup!$J:$J,0)),IF(AND(OR($B$4="APM Level 7",$B$4="R&amp;T Level 7",$B$4="APM Level 8"),B112&lt;&gt;""),INDEX(Points_Lookup!$E:$E,MATCH($Z112,Points_Lookup!$AH:$AH,0)),IF($B$4="R&amp;T Level 5 - Clinical Lecturers (Vet School)",SUMIF(Points_Lookup!$P:$P,$B112,Points_Lookup!$S:$S),IF($B$4="R&amp;T Level 6 - Clinical Associate Professors and Clinical Readers (Vet School)",SUMIF(Points_Lookup!$W:$W,$B112,Points_Lookup!$Z:$Z),IFERROR(INDEX(Points_Lookup!$B:$B,MATCH($Z112,Points_Lookup!$AH:$AH,0)),""))))))))</f>
        <v/>
      </c>
      <c r="D112" s="40"/>
      <c r="E112" s="25" t="str">
        <f ca="1">IF($B112="","",IF(AND($B$4="Salary Points 3 to 57",B112&lt;Thresholds_Rates!$C$16),"-",IF(SUMIF(Grades!$A:$A,$B$4,Grades!$BO:$BO)=0,"-",IF(AND($B$4="Salary Points 3 to 57",B112&gt;=Thresholds_Rates!$C$16),$C112*Thresholds_Rates!$F$15,IF(AND(OR($B$4="New Consultant Contract"),$B112&lt;&gt;""),$C112*Thresholds_Rates!$F$15,IF(AND(OR($B$4="Clinical Lecturer / Medical Research Fellow",$B$4="Clinical Consultant - Old Contract (GP)"),$B112&lt;&gt;""),$C112*Thresholds_Rates!$F$15,IF(OR($B$4="APM Level 7",$B$4="R&amp;T Level 7"),$C112*Thresholds_Rates!$F$15,IF(SUMIF(Grades!$A:$A,$B$4,Grades!$BO:$BO)=1,$C112*Thresholds_Rates!$F$15,""))))))))</f>
        <v/>
      </c>
      <c r="F112" s="25" t="str">
        <f ca="1">IF(B112="","",IF($B$4="Salary Points 1 to 57","-",IF(SUMIF(Grades!$A:$A,$B$4,Grades!$BP:$BP)=0,"-",IF(AND(OR($B$4="New Consultant Contract"),$B112&lt;&gt;""),$C112*Thresholds_Rates!$F$16,IF(AND(OR($B$4="Clinical Lecturer / Medical Research Fellow",$B$4="Clinical Consultant - Old Contract (GP)"),$B112&lt;&gt;""),$C112*Thresholds_Rates!$F$16,IF(AND(OR($B$4="APM Level 7",$B$4="R&amp;T Level 7"),E112&lt;&gt;""),$C112*Thresholds_Rates!$F$16,IF(SUMIF(Grades!$A:$A,$B$4,Grades!$BP:$BP)=1,$C112*Thresholds_Rates!$F$16,"")))))))</f>
        <v/>
      </c>
      <c r="G112" s="25" t="str">
        <f ca="1">IF(B112="","",IF(SUMIF(Grades!$A:$A,$B$4,Grades!$BQ:$BQ)=0,"-",IF(AND($B$4="Salary Points 1 to 57",B112&gt;Thresholds_Rates!$C$17),"-",IF(AND($B$4="Salary Points 1 to 57",B112&lt;=Thresholds_Rates!$C$17),$C112*Thresholds_Rates!$F$17,IF(AND(OR($B$4="New Consultant Contract"),$B112&lt;&gt;""),$C112*Thresholds_Rates!$F$17,IF(AND(OR($B$4="Clinical Lecturer / Medical Research Fellow",$B$4="Clinical Consultant - Old Contract (GP)"),$B112&lt;&gt;""),$C112*Thresholds_Rates!$F$17,IF(AND(OR($B$4="APM Level 7",$B$4="R&amp;T Level 7"),F112&lt;&gt;""),$C112*Thresholds_Rates!$F$17,IF(SUMIF(Grades!$A:$A,$B$4,Grades!$BQ:$BQ)=1,$C112*Thresholds_Rates!$F$17,""))))))))</f>
        <v/>
      </c>
      <c r="H112" s="25"/>
      <c r="I112" s="25" t="str">
        <f ca="1">IF(B112="","",(C112*Thresholds_Rates!$C$12))</f>
        <v/>
      </c>
      <c r="J112" s="25"/>
      <c r="K112" s="4"/>
      <c r="L112" s="25" t="str">
        <f t="shared" ca="1" si="13"/>
        <v/>
      </c>
      <c r="M112" s="25" t="str">
        <f t="shared" ca="1" si="14"/>
        <v/>
      </c>
      <c r="N112" s="25" t="str">
        <f t="shared" ca="1" si="15"/>
        <v/>
      </c>
      <c r="O112" s="25" t="str">
        <f t="shared" ca="1" si="16"/>
        <v/>
      </c>
      <c r="P112" s="25" t="str">
        <f t="shared" ca="1" si="17"/>
        <v/>
      </c>
      <c r="R112" s="28"/>
      <c r="S112" s="29"/>
      <c r="T112" s="28"/>
      <c r="U112" s="29"/>
    </row>
    <row r="113" spans="2:21" x14ac:dyDescent="0.25">
      <c r="B113" s="4" t="str">
        <f ca="1">IFERROR(INDEX(Points_Lookup!$A:$A,MATCH($Z115,Points_Lookup!$AH:$AH,0)),"")</f>
        <v/>
      </c>
      <c r="C113" s="25" t="str">
        <f ca="1">IF(B113="","",IF($B$4="Apprenticeship",SUMIF(Points_Lookup!$AD:$AD,B113,Points_Lookup!$AF:$AF),IF(AND(OR($B$4="New Consultant Contract"),$B113&lt;&gt;""),INDEX(Points_Lookup!$N:$N,MATCH($B113,Points_Lookup!$M:$M,0)),IF(AND(OR($B$4="Clinical Lecturer / Medical Research Fellow",$B$4="Clinical Consultant - Old Contract (GP)"),$B113&lt;&gt;""),INDEX(Points_Lookup!$K:$K,MATCH($B113,Points_Lookup!$J:$J,0)),IF(AND(OR($B$4="APM Level 7",$B$4="R&amp;T Level 7",$B$4="APM Level 8"),B113&lt;&gt;""),INDEX(Points_Lookup!$E:$E,MATCH($Z113,Points_Lookup!$AH:$AH,0)),IF($B$4="R&amp;T Level 5 - Clinical Lecturers (Vet School)",SUMIF(Points_Lookup!$P:$P,$B113,Points_Lookup!$S:$S),IF($B$4="R&amp;T Level 6 - Clinical Associate Professors and Clinical Readers (Vet School)",SUMIF(Points_Lookup!$W:$W,$B113,Points_Lookup!$Z:$Z),IFERROR(INDEX(Points_Lookup!$B:$B,MATCH($Z113,Points_Lookup!$AH:$AH,0)),""))))))))</f>
        <v/>
      </c>
      <c r="D113" s="40"/>
      <c r="E113" s="25" t="str">
        <f ca="1">IF($B113="","",IF(AND($B$4="Salary Points 3 to 57",B113&lt;Thresholds_Rates!$C$16),"-",IF(SUMIF(Grades!$A:$A,$B$4,Grades!$BO:$BO)=0,"-",IF(AND($B$4="Salary Points 3 to 57",B113&gt;=Thresholds_Rates!$C$16),$C113*Thresholds_Rates!$F$15,IF(AND(OR($B$4="New Consultant Contract"),$B113&lt;&gt;""),$C113*Thresholds_Rates!$F$15,IF(AND(OR($B$4="Clinical Lecturer / Medical Research Fellow",$B$4="Clinical Consultant - Old Contract (GP)"),$B113&lt;&gt;""),$C113*Thresholds_Rates!$F$15,IF(OR($B$4="APM Level 7",$B$4="R&amp;T Level 7"),$C113*Thresholds_Rates!$F$15,IF(SUMIF(Grades!$A:$A,$B$4,Grades!$BO:$BO)=1,$C113*Thresholds_Rates!$F$15,""))))))))</f>
        <v/>
      </c>
      <c r="F113" s="25" t="str">
        <f ca="1">IF(B113="","",IF($B$4="Salary Points 1 to 57","-",IF(SUMIF(Grades!$A:$A,$B$4,Grades!$BP:$BP)=0,"-",IF(AND(OR($B$4="New Consultant Contract"),$B113&lt;&gt;""),$C113*Thresholds_Rates!$F$16,IF(AND(OR($B$4="Clinical Lecturer / Medical Research Fellow",$B$4="Clinical Consultant - Old Contract (GP)"),$B113&lt;&gt;""),$C113*Thresholds_Rates!$F$16,IF(AND(OR($B$4="APM Level 7",$B$4="R&amp;T Level 7"),E113&lt;&gt;""),$C113*Thresholds_Rates!$F$16,IF(SUMIF(Grades!$A:$A,$B$4,Grades!$BP:$BP)=1,$C113*Thresholds_Rates!$F$16,"")))))))</f>
        <v/>
      </c>
      <c r="G113" s="25" t="str">
        <f ca="1">IF(B113="","",IF(SUMIF(Grades!$A:$A,$B$4,Grades!$BQ:$BQ)=0,"-",IF(AND($B$4="Salary Points 1 to 57",B113&gt;Thresholds_Rates!$C$17),"-",IF(AND($B$4="Salary Points 1 to 57",B113&lt;=Thresholds_Rates!$C$17),$C113*Thresholds_Rates!$F$17,IF(AND(OR($B$4="New Consultant Contract"),$B113&lt;&gt;""),$C113*Thresholds_Rates!$F$17,IF(AND(OR($B$4="Clinical Lecturer / Medical Research Fellow",$B$4="Clinical Consultant - Old Contract (GP)"),$B113&lt;&gt;""),$C113*Thresholds_Rates!$F$17,IF(AND(OR($B$4="APM Level 7",$B$4="R&amp;T Level 7"),F113&lt;&gt;""),$C113*Thresholds_Rates!$F$17,IF(SUMIF(Grades!$A:$A,$B$4,Grades!$BQ:$BQ)=1,$C113*Thresholds_Rates!$F$17,""))))))))</f>
        <v/>
      </c>
      <c r="H113" s="25"/>
      <c r="I113" s="25" t="str">
        <f ca="1">IF(B113="","",(C113*Thresholds_Rates!$C$12))</f>
        <v/>
      </c>
      <c r="J113" s="25"/>
      <c r="K113" s="4"/>
      <c r="L113" s="25" t="str">
        <f t="shared" ca="1" si="13"/>
        <v/>
      </c>
      <c r="M113" s="25" t="str">
        <f t="shared" ca="1" si="14"/>
        <v/>
      </c>
      <c r="N113" s="25" t="str">
        <f t="shared" ca="1" si="15"/>
        <v/>
      </c>
      <c r="O113" s="25" t="str">
        <f t="shared" ca="1" si="16"/>
        <v/>
      </c>
      <c r="P113" s="25" t="str">
        <f t="shared" ca="1" si="17"/>
        <v/>
      </c>
      <c r="R113" s="28"/>
      <c r="S113" s="29"/>
      <c r="T113" s="28"/>
      <c r="U113" s="29"/>
    </row>
    <row r="114" spans="2:21" x14ac:dyDescent="0.25">
      <c r="B114" s="4" t="str">
        <f ca="1">IFERROR(INDEX(Points_Lookup!$A:$A,MATCH($Z116,Points_Lookup!$AH:$AH,0)),"")</f>
        <v/>
      </c>
      <c r="C114" s="25" t="str">
        <f ca="1">IF(B114="","",IF($B$4="Apprenticeship",SUMIF(Points_Lookup!$AD:$AD,B114,Points_Lookup!$AF:$AF),IF(AND(OR($B$4="New Consultant Contract"),$B114&lt;&gt;""),INDEX(Points_Lookup!$N:$N,MATCH($B114,Points_Lookup!$M:$M,0)),IF(AND(OR($B$4="Clinical Lecturer / Medical Research Fellow",$B$4="Clinical Consultant - Old Contract (GP)"),$B114&lt;&gt;""),INDEX(Points_Lookup!$K:$K,MATCH($B114,Points_Lookup!$J:$J,0)),IF(AND(OR($B$4="APM Level 7",$B$4="R&amp;T Level 7",$B$4="APM Level 8"),B114&lt;&gt;""),INDEX(Points_Lookup!$E:$E,MATCH($Z114,Points_Lookup!$AH:$AH,0)),IF($B$4="R&amp;T Level 5 - Clinical Lecturers (Vet School)",SUMIF(Points_Lookup!$P:$P,$B114,Points_Lookup!$S:$S),IF($B$4="R&amp;T Level 6 - Clinical Associate Professors and Clinical Readers (Vet School)",SUMIF(Points_Lookup!$W:$W,$B114,Points_Lookup!$Z:$Z),IFERROR(INDEX(Points_Lookup!$B:$B,MATCH($Z114,Points_Lookup!$AH:$AH,0)),""))))))))</f>
        <v/>
      </c>
      <c r="D114" s="40"/>
      <c r="E114" s="25" t="str">
        <f ca="1">IF($B114="","",IF(AND($B$4="Salary Points 3 to 57",B114&lt;Thresholds_Rates!$C$16),"-",IF(SUMIF(Grades!$A:$A,$B$4,Grades!$BO:$BO)=0,"-",IF(AND($B$4="Salary Points 3 to 57",B114&gt;=Thresholds_Rates!$C$16),$C114*Thresholds_Rates!$F$15,IF(AND(OR($B$4="New Consultant Contract"),$B114&lt;&gt;""),$C114*Thresholds_Rates!$F$15,IF(AND(OR($B$4="Clinical Lecturer / Medical Research Fellow",$B$4="Clinical Consultant - Old Contract (GP)"),$B114&lt;&gt;""),$C114*Thresholds_Rates!$F$15,IF(OR($B$4="APM Level 7",$B$4="R&amp;T Level 7"),$C114*Thresholds_Rates!$F$15,IF(SUMIF(Grades!$A:$A,$B$4,Grades!$BO:$BO)=1,$C114*Thresholds_Rates!$F$15,""))))))))</f>
        <v/>
      </c>
      <c r="F114" s="25" t="str">
        <f ca="1">IF(B114="","",IF($B$4="Salary Points 1 to 57","-",IF(SUMIF(Grades!$A:$A,$B$4,Grades!$BP:$BP)=0,"-",IF(AND(OR($B$4="New Consultant Contract"),$B114&lt;&gt;""),$C114*Thresholds_Rates!$F$16,IF(AND(OR($B$4="Clinical Lecturer / Medical Research Fellow",$B$4="Clinical Consultant - Old Contract (GP)"),$B114&lt;&gt;""),$C114*Thresholds_Rates!$F$16,IF(AND(OR($B$4="APM Level 7",$B$4="R&amp;T Level 7"),E114&lt;&gt;""),$C114*Thresholds_Rates!$F$16,IF(SUMIF(Grades!$A:$A,$B$4,Grades!$BP:$BP)=1,$C114*Thresholds_Rates!$F$16,"")))))))</f>
        <v/>
      </c>
      <c r="G114" s="25" t="str">
        <f ca="1">IF(B114="","",IF(SUMIF(Grades!$A:$A,$B$4,Grades!$BQ:$BQ)=0,"-",IF(AND($B$4="Salary Points 1 to 57",B114&gt;Thresholds_Rates!$C$17),"-",IF(AND($B$4="Salary Points 1 to 57",B114&lt;=Thresholds_Rates!$C$17),$C114*Thresholds_Rates!$F$17,IF(AND(OR($B$4="New Consultant Contract"),$B114&lt;&gt;""),$C114*Thresholds_Rates!$F$17,IF(AND(OR($B$4="Clinical Lecturer / Medical Research Fellow",$B$4="Clinical Consultant - Old Contract (GP)"),$B114&lt;&gt;""),$C114*Thresholds_Rates!$F$17,IF(AND(OR($B$4="APM Level 7",$B$4="R&amp;T Level 7"),F114&lt;&gt;""),$C114*Thresholds_Rates!$F$17,IF(SUMIF(Grades!$A:$A,$B$4,Grades!$BQ:$BQ)=1,$C114*Thresholds_Rates!$F$17,""))))))))</f>
        <v/>
      </c>
      <c r="H114" s="25"/>
      <c r="I114" s="25" t="str">
        <f ca="1">IF(B114="","",(C114*Thresholds_Rates!$C$12))</f>
        <v/>
      </c>
      <c r="J114" s="25"/>
      <c r="K114" s="4"/>
      <c r="L114" s="25" t="str">
        <f t="shared" ca="1" si="13"/>
        <v/>
      </c>
      <c r="M114" s="25" t="str">
        <f t="shared" ca="1" si="14"/>
        <v/>
      </c>
      <c r="N114" s="25" t="str">
        <f t="shared" ca="1" si="15"/>
        <v/>
      </c>
      <c r="O114" s="25" t="str">
        <f t="shared" ca="1" si="16"/>
        <v/>
      </c>
      <c r="P114" s="25" t="str">
        <f t="shared" ca="1" si="17"/>
        <v/>
      </c>
      <c r="R114" s="28"/>
      <c r="S114" s="29"/>
      <c r="T114" s="28"/>
      <c r="U114" s="29"/>
    </row>
    <row r="115" spans="2:21" x14ac:dyDescent="0.25">
      <c r="B115" s="4" t="str">
        <f ca="1">IFERROR(INDEX(Points_Lookup!$A:$A,MATCH($Z117,Points_Lookup!$AH:$AH,0)),"")</f>
        <v/>
      </c>
      <c r="C115" s="25" t="str">
        <f ca="1">IF(B115="","",IF($B$4="Apprenticeship",SUMIF(Points_Lookup!$AD:$AD,B115,Points_Lookup!$AF:$AF),IF(AND(OR($B$4="New Consultant Contract"),$B115&lt;&gt;""),INDEX(Points_Lookup!$N:$N,MATCH($B115,Points_Lookup!$M:$M,0)),IF(AND(OR($B$4="Clinical Lecturer / Medical Research Fellow",$B$4="Clinical Consultant - Old Contract (GP)"),$B115&lt;&gt;""),INDEX(Points_Lookup!$K:$K,MATCH($B115,Points_Lookup!$J:$J,0)),IF(AND(OR($B$4="APM Level 7",$B$4="R&amp;T Level 7",$B$4="APM Level 8"),B115&lt;&gt;""),INDEX(Points_Lookup!$E:$E,MATCH($Z115,Points_Lookup!$AH:$AH,0)),IF($B$4="R&amp;T Level 5 - Clinical Lecturers (Vet School)",SUMIF(Points_Lookup!$P:$P,$B115,Points_Lookup!$S:$S),IF($B$4="R&amp;T Level 6 - Clinical Associate Professors and Clinical Readers (Vet School)",SUMIF(Points_Lookup!$W:$W,$B115,Points_Lookup!$Z:$Z),IFERROR(INDEX(Points_Lookup!$B:$B,MATCH($Z115,Points_Lookup!$AH:$AH,0)),""))))))))</f>
        <v/>
      </c>
      <c r="D115" s="40"/>
      <c r="E115" s="25" t="str">
        <f ca="1">IF($B115="","",IF(AND($B$4="Salary Points 3 to 57",B115&lt;Thresholds_Rates!$C$16),"-",IF(SUMIF(Grades!$A:$A,$B$4,Grades!$BO:$BO)=0,"-",IF(AND($B$4="Salary Points 3 to 57",B115&gt;=Thresholds_Rates!$C$16),$C115*Thresholds_Rates!$F$15,IF(AND(OR($B$4="New Consultant Contract"),$B115&lt;&gt;""),$C115*Thresholds_Rates!$F$15,IF(AND(OR($B$4="Clinical Lecturer / Medical Research Fellow",$B$4="Clinical Consultant - Old Contract (GP)"),$B115&lt;&gt;""),$C115*Thresholds_Rates!$F$15,IF(OR($B$4="APM Level 7",$B$4="R&amp;T Level 7"),$C115*Thresholds_Rates!$F$15,IF(SUMIF(Grades!$A:$A,$B$4,Grades!$BO:$BO)=1,$C115*Thresholds_Rates!$F$15,""))))))))</f>
        <v/>
      </c>
      <c r="F115" s="25" t="str">
        <f ca="1">IF(B115="","",IF($B$4="Salary Points 1 to 57","-",IF(SUMIF(Grades!$A:$A,$B$4,Grades!$BP:$BP)=0,"-",IF(AND(OR($B$4="New Consultant Contract"),$B115&lt;&gt;""),$C115*Thresholds_Rates!$F$16,IF(AND(OR($B$4="Clinical Lecturer / Medical Research Fellow",$B$4="Clinical Consultant - Old Contract (GP)"),$B115&lt;&gt;""),$C115*Thresholds_Rates!$F$16,IF(AND(OR($B$4="APM Level 7",$B$4="R&amp;T Level 7"),E115&lt;&gt;""),$C115*Thresholds_Rates!$F$16,IF(SUMIF(Grades!$A:$A,$B$4,Grades!$BP:$BP)=1,$C115*Thresholds_Rates!$F$16,"")))))))</f>
        <v/>
      </c>
      <c r="G115" s="25" t="str">
        <f ca="1">IF(B115="","",IF(SUMIF(Grades!$A:$A,$B$4,Grades!$BQ:$BQ)=0,"-",IF(AND($B$4="Salary Points 1 to 57",B115&gt;Thresholds_Rates!$C$17),"-",IF(AND($B$4="Salary Points 1 to 57",B115&lt;=Thresholds_Rates!$C$17),$C115*Thresholds_Rates!$F$17,IF(AND(OR($B$4="New Consultant Contract"),$B115&lt;&gt;""),$C115*Thresholds_Rates!$F$17,IF(AND(OR($B$4="Clinical Lecturer / Medical Research Fellow",$B$4="Clinical Consultant - Old Contract (GP)"),$B115&lt;&gt;""),$C115*Thresholds_Rates!$F$17,IF(AND(OR($B$4="APM Level 7",$B$4="R&amp;T Level 7"),F115&lt;&gt;""),$C115*Thresholds_Rates!$F$17,IF(SUMIF(Grades!$A:$A,$B$4,Grades!$BQ:$BQ)=1,$C115*Thresholds_Rates!$F$17,""))))))))</f>
        <v/>
      </c>
      <c r="H115" s="25"/>
      <c r="I115" s="25" t="str">
        <f ca="1">IF(B115="","",(C115*Thresholds_Rates!$C$12))</f>
        <v/>
      </c>
      <c r="J115" s="25"/>
      <c r="K115" s="4"/>
      <c r="L115" s="25" t="str">
        <f t="shared" ca="1" si="13"/>
        <v/>
      </c>
      <c r="M115" s="25" t="str">
        <f t="shared" ca="1" si="14"/>
        <v/>
      </c>
      <c r="N115" s="25" t="str">
        <f t="shared" ca="1" si="15"/>
        <v/>
      </c>
      <c r="O115" s="25" t="str">
        <f t="shared" ca="1" si="16"/>
        <v/>
      </c>
      <c r="P115" s="25" t="str">
        <f t="shared" ca="1" si="17"/>
        <v/>
      </c>
      <c r="R115" s="28"/>
      <c r="S115" s="29"/>
      <c r="T115" s="28"/>
      <c r="U115" s="29"/>
    </row>
    <row r="116" spans="2:21" x14ac:dyDescent="0.25">
      <c r="B116" s="4" t="str">
        <f ca="1">IFERROR(INDEX(Points_Lookup!$A:$A,MATCH($Z118,Points_Lookup!$AH:$AH,0)),"")</f>
        <v/>
      </c>
      <c r="C116" s="25" t="str">
        <f ca="1">IF(B116="","",IF($B$4="Apprenticeship",SUMIF(Points_Lookup!$AD:$AD,B116,Points_Lookup!$AF:$AF),IF(AND(OR($B$4="New Consultant Contract"),$B116&lt;&gt;""),INDEX(Points_Lookup!$N:$N,MATCH($B116,Points_Lookup!$M:$M,0)),IF(AND(OR($B$4="Clinical Lecturer / Medical Research Fellow",$B$4="Clinical Consultant - Old Contract (GP)"),$B116&lt;&gt;""),INDEX(Points_Lookup!$K:$K,MATCH($B116,Points_Lookup!$J:$J,0)),IF(AND(OR($B$4="APM Level 7",$B$4="R&amp;T Level 7",$B$4="APM Level 8"),B116&lt;&gt;""),INDEX(Points_Lookup!$E:$E,MATCH($Z116,Points_Lookup!$AH:$AH,0)),IF($B$4="R&amp;T Level 5 - Clinical Lecturers (Vet School)",SUMIF(Points_Lookup!$P:$P,$B116,Points_Lookup!$S:$S),IF($B$4="R&amp;T Level 6 - Clinical Associate Professors and Clinical Readers (Vet School)",SUMIF(Points_Lookup!$W:$W,$B116,Points_Lookup!$Z:$Z),IFERROR(INDEX(Points_Lookup!$B:$B,MATCH($Z116,Points_Lookup!$AH:$AH,0)),""))))))))</f>
        <v/>
      </c>
      <c r="D116" s="40"/>
      <c r="E116" s="25" t="str">
        <f ca="1">IF($B116="","",IF(AND($B$4="Salary Points 3 to 57",B116&lt;Thresholds_Rates!$C$16),"-",IF(SUMIF(Grades!$A:$A,$B$4,Grades!$BO:$BO)=0,"-",IF(AND($B$4="Salary Points 3 to 57",B116&gt;=Thresholds_Rates!$C$16),$C116*Thresholds_Rates!$F$15,IF(AND(OR($B$4="New Consultant Contract"),$B116&lt;&gt;""),$C116*Thresholds_Rates!$F$15,IF(AND(OR($B$4="Clinical Lecturer / Medical Research Fellow",$B$4="Clinical Consultant - Old Contract (GP)"),$B116&lt;&gt;""),$C116*Thresholds_Rates!$F$15,IF(OR($B$4="APM Level 7",$B$4="R&amp;T Level 7"),$C116*Thresholds_Rates!$F$15,IF(SUMIF(Grades!$A:$A,$B$4,Grades!$BO:$BO)=1,$C116*Thresholds_Rates!$F$15,""))))))))</f>
        <v/>
      </c>
      <c r="F116" s="25" t="str">
        <f ca="1">IF(B116="","",IF($B$4="Salary Points 1 to 57","-",IF(SUMIF(Grades!$A:$A,$B$4,Grades!$BP:$BP)=0,"-",IF(AND(OR($B$4="New Consultant Contract"),$B116&lt;&gt;""),$C116*Thresholds_Rates!$F$16,IF(AND(OR($B$4="Clinical Lecturer / Medical Research Fellow",$B$4="Clinical Consultant - Old Contract (GP)"),$B116&lt;&gt;""),$C116*Thresholds_Rates!$F$16,IF(AND(OR($B$4="APM Level 7",$B$4="R&amp;T Level 7"),E116&lt;&gt;""),$C116*Thresholds_Rates!$F$16,IF(SUMIF(Grades!$A:$A,$B$4,Grades!$BP:$BP)=1,$C116*Thresholds_Rates!$F$16,"")))))))</f>
        <v/>
      </c>
      <c r="G116" s="25" t="str">
        <f ca="1">IF(B116="","",IF(SUMIF(Grades!$A:$A,$B$4,Grades!$BQ:$BQ)=0,"-",IF(AND($B$4="Salary Points 1 to 57",B116&gt;Thresholds_Rates!$C$17),"-",IF(AND($B$4="Salary Points 1 to 57",B116&lt;=Thresholds_Rates!$C$17),$C116*Thresholds_Rates!$F$17,IF(AND(OR($B$4="New Consultant Contract"),$B116&lt;&gt;""),$C116*Thresholds_Rates!$F$17,IF(AND(OR($B$4="Clinical Lecturer / Medical Research Fellow",$B$4="Clinical Consultant - Old Contract (GP)"),$B116&lt;&gt;""),$C116*Thresholds_Rates!$F$17,IF(AND(OR($B$4="APM Level 7",$B$4="R&amp;T Level 7"),F116&lt;&gt;""),$C116*Thresholds_Rates!$F$17,IF(SUMIF(Grades!$A:$A,$B$4,Grades!$BQ:$BQ)=1,$C116*Thresholds_Rates!$F$17,""))))))))</f>
        <v/>
      </c>
      <c r="H116" s="25"/>
      <c r="I116" s="25" t="str">
        <f ca="1">IF(B116="","",(C116*Thresholds_Rates!$C$12))</f>
        <v/>
      </c>
      <c r="J116" s="25"/>
      <c r="K116" s="4"/>
      <c r="L116" s="25" t="str">
        <f t="shared" ca="1" si="13"/>
        <v/>
      </c>
      <c r="M116" s="25" t="str">
        <f t="shared" ca="1" si="14"/>
        <v/>
      </c>
      <c r="N116" s="25" t="str">
        <f t="shared" ca="1" si="15"/>
        <v/>
      </c>
      <c r="O116" s="25" t="str">
        <f t="shared" ca="1" si="16"/>
        <v/>
      </c>
      <c r="P116" s="25" t="str">
        <f t="shared" ca="1" si="17"/>
        <v/>
      </c>
      <c r="R116" s="28"/>
      <c r="S116" s="29"/>
      <c r="T116" s="28"/>
      <c r="U116" s="29"/>
    </row>
    <row r="117" spans="2:21" x14ac:dyDescent="0.25">
      <c r="B117" s="4" t="str">
        <f ca="1">IFERROR(INDEX(Points_Lookup!$A:$A,MATCH($Z119,Points_Lookup!$AH:$AH,0)),"")</f>
        <v/>
      </c>
      <c r="C117" s="25" t="str">
        <f ca="1">IF(B117="","",IF($B$4="Apprenticeship",SUMIF(Points_Lookup!$AD:$AD,B117,Points_Lookup!$AF:$AF),IF(AND(OR($B$4="New Consultant Contract"),$B117&lt;&gt;""),INDEX(Points_Lookup!$N:$N,MATCH($B117,Points_Lookup!$M:$M,0)),IF(AND(OR($B$4="Clinical Lecturer / Medical Research Fellow",$B$4="Clinical Consultant - Old Contract (GP)"),$B117&lt;&gt;""),INDEX(Points_Lookup!$K:$K,MATCH($B117,Points_Lookup!$J:$J,0)),IF(AND(OR($B$4="APM Level 7",$B$4="R&amp;T Level 7",$B$4="APM Level 8"),B117&lt;&gt;""),INDEX(Points_Lookup!$E:$E,MATCH($Z117,Points_Lookup!$AH:$AH,0)),IF($B$4="R&amp;T Level 5 - Clinical Lecturers (Vet School)",SUMIF(Points_Lookup!$P:$P,$B117,Points_Lookup!$S:$S),IF($B$4="R&amp;T Level 6 - Clinical Associate Professors and Clinical Readers (Vet School)",SUMIF(Points_Lookup!$W:$W,$B117,Points_Lookup!$Z:$Z),IFERROR(INDEX(Points_Lookup!$B:$B,MATCH($Z117,Points_Lookup!$AH:$AH,0)),""))))))))</f>
        <v/>
      </c>
      <c r="D117" s="40"/>
      <c r="E117" s="25" t="str">
        <f ca="1">IF($B117="","",IF(AND($B$4="Salary Points 3 to 57",B117&lt;Thresholds_Rates!$C$16),"-",IF(SUMIF(Grades!$A:$A,$B$4,Grades!$BO:$BO)=0,"-",IF(AND($B$4="Salary Points 3 to 57",B117&gt;=Thresholds_Rates!$C$16),$C117*Thresholds_Rates!$F$15,IF(AND(OR($B$4="New Consultant Contract"),$B117&lt;&gt;""),$C117*Thresholds_Rates!$F$15,IF(AND(OR($B$4="Clinical Lecturer / Medical Research Fellow",$B$4="Clinical Consultant - Old Contract (GP)"),$B117&lt;&gt;""),$C117*Thresholds_Rates!$F$15,IF(OR($B$4="APM Level 7",$B$4="R&amp;T Level 7"),$C117*Thresholds_Rates!$F$15,IF(SUMIF(Grades!$A:$A,$B$4,Grades!$BO:$BO)=1,$C117*Thresholds_Rates!$F$15,""))))))))</f>
        <v/>
      </c>
      <c r="F117" s="25" t="str">
        <f ca="1">IF(B117="","",IF($B$4="Salary Points 1 to 57","-",IF(SUMIF(Grades!$A:$A,$B$4,Grades!$BP:$BP)=0,"-",IF(AND(OR($B$4="New Consultant Contract"),$B117&lt;&gt;""),$C117*Thresholds_Rates!$F$16,IF(AND(OR($B$4="Clinical Lecturer / Medical Research Fellow",$B$4="Clinical Consultant - Old Contract (GP)"),$B117&lt;&gt;""),$C117*Thresholds_Rates!$F$16,IF(AND(OR($B$4="APM Level 7",$B$4="R&amp;T Level 7"),E117&lt;&gt;""),$C117*Thresholds_Rates!$F$16,IF(SUMIF(Grades!$A:$A,$B$4,Grades!$BP:$BP)=1,$C117*Thresholds_Rates!$F$16,"")))))))</f>
        <v/>
      </c>
      <c r="G117" s="25" t="str">
        <f ca="1">IF(B117="","",IF(SUMIF(Grades!$A:$A,$B$4,Grades!$BQ:$BQ)=0,"-",IF(AND($B$4="Salary Points 1 to 57",B117&gt;Thresholds_Rates!$C$17),"-",IF(AND($B$4="Salary Points 1 to 57",B117&lt;=Thresholds_Rates!$C$17),$C117*Thresholds_Rates!$F$17,IF(AND(OR($B$4="New Consultant Contract"),$B117&lt;&gt;""),$C117*Thresholds_Rates!$F$17,IF(AND(OR($B$4="Clinical Lecturer / Medical Research Fellow",$B$4="Clinical Consultant - Old Contract (GP)"),$B117&lt;&gt;""),$C117*Thresholds_Rates!$F$17,IF(AND(OR($B$4="APM Level 7",$B$4="R&amp;T Level 7"),F117&lt;&gt;""),$C117*Thresholds_Rates!$F$17,IF(SUMIF(Grades!$A:$A,$B$4,Grades!$BQ:$BQ)=1,$C117*Thresholds_Rates!$F$17,""))))))))</f>
        <v/>
      </c>
      <c r="H117" s="25"/>
      <c r="I117" s="25" t="str">
        <f ca="1">IF(B117="","",(C117*Thresholds_Rates!$C$12))</f>
        <v/>
      </c>
      <c r="J117" s="25"/>
      <c r="K117" s="4"/>
      <c r="L117" s="25" t="str">
        <f t="shared" ca="1" si="13"/>
        <v/>
      </c>
      <c r="M117" s="25" t="str">
        <f t="shared" ca="1" si="14"/>
        <v/>
      </c>
      <c r="N117" s="25" t="str">
        <f t="shared" ca="1" si="15"/>
        <v/>
      </c>
      <c r="O117" s="25" t="str">
        <f t="shared" ca="1" si="16"/>
        <v/>
      </c>
      <c r="P117" s="25" t="str">
        <f t="shared" ca="1" si="17"/>
        <v/>
      </c>
      <c r="R117" s="28"/>
      <c r="S117" s="29"/>
      <c r="T117" s="28"/>
      <c r="U117" s="29"/>
    </row>
    <row r="118" spans="2:21" x14ac:dyDescent="0.25">
      <c r="B118" s="4" t="str">
        <f ca="1">IFERROR(INDEX(Points_Lookup!$A:$A,MATCH($Z120,Points_Lookup!$AH:$AH,0)),"")</f>
        <v/>
      </c>
      <c r="C118" s="25" t="str">
        <f ca="1">IF(B118="","",IF($B$4="Apprenticeship",SUMIF(Points_Lookup!$AD:$AD,B118,Points_Lookup!$AF:$AF),IF(AND(OR($B$4="New Consultant Contract"),$B118&lt;&gt;""),INDEX(Points_Lookup!$N:$N,MATCH($B118,Points_Lookup!$M:$M,0)),IF(AND(OR($B$4="Clinical Lecturer / Medical Research Fellow",$B$4="Clinical Consultant - Old Contract (GP)"),$B118&lt;&gt;""),INDEX(Points_Lookup!$K:$K,MATCH($B118,Points_Lookup!$J:$J,0)),IF(AND(OR($B$4="APM Level 7",$B$4="R&amp;T Level 7",$B$4="APM Level 8"),B118&lt;&gt;""),INDEX(Points_Lookup!$E:$E,MATCH($Z118,Points_Lookup!$AH:$AH,0)),IF($B$4="R&amp;T Level 5 - Clinical Lecturers (Vet School)",SUMIF(Points_Lookup!$P:$P,$B118,Points_Lookup!$S:$S),IF($B$4="R&amp;T Level 6 - Clinical Associate Professors and Clinical Readers (Vet School)",SUMIF(Points_Lookup!$W:$W,$B118,Points_Lookup!$Z:$Z),IFERROR(INDEX(Points_Lookup!$B:$B,MATCH($Z118,Points_Lookup!$AH:$AH,0)),""))))))))</f>
        <v/>
      </c>
      <c r="D118" s="40"/>
      <c r="E118" s="25" t="str">
        <f ca="1">IF($B118="","",IF(AND($B$4="Salary Points 3 to 57",B118&lt;Thresholds_Rates!$C$16),"-",IF(SUMIF(Grades!$A:$A,$B$4,Grades!$BO:$BO)=0,"-",IF(AND($B$4="Salary Points 3 to 57",B118&gt;=Thresholds_Rates!$C$16),$C118*Thresholds_Rates!$F$15,IF(AND(OR($B$4="New Consultant Contract"),$B118&lt;&gt;""),$C118*Thresholds_Rates!$F$15,IF(AND(OR($B$4="Clinical Lecturer / Medical Research Fellow",$B$4="Clinical Consultant - Old Contract (GP)"),$B118&lt;&gt;""),$C118*Thresholds_Rates!$F$15,IF(OR($B$4="APM Level 7",$B$4="R&amp;T Level 7"),$C118*Thresholds_Rates!$F$15,IF(SUMIF(Grades!$A:$A,$B$4,Grades!$BO:$BO)=1,$C118*Thresholds_Rates!$F$15,""))))))))</f>
        <v/>
      </c>
      <c r="F118" s="25" t="str">
        <f ca="1">IF(B118="","",IF($B$4="Salary Points 1 to 57","-",IF(SUMIF(Grades!$A:$A,$B$4,Grades!$BP:$BP)=0,"-",IF(AND(OR($B$4="New Consultant Contract"),$B118&lt;&gt;""),$C118*Thresholds_Rates!$F$16,IF(AND(OR($B$4="Clinical Lecturer / Medical Research Fellow",$B$4="Clinical Consultant - Old Contract (GP)"),$B118&lt;&gt;""),$C118*Thresholds_Rates!$F$16,IF(AND(OR($B$4="APM Level 7",$B$4="R&amp;T Level 7"),E118&lt;&gt;""),$C118*Thresholds_Rates!$F$16,IF(SUMIF(Grades!$A:$A,$B$4,Grades!$BP:$BP)=1,$C118*Thresholds_Rates!$F$16,"")))))))</f>
        <v/>
      </c>
      <c r="G118" s="25" t="str">
        <f ca="1">IF(B118="","",IF(SUMIF(Grades!$A:$A,$B$4,Grades!$BQ:$BQ)=0,"-",IF(AND($B$4="Salary Points 1 to 57",B118&gt;Thresholds_Rates!$C$17),"-",IF(AND($B$4="Salary Points 1 to 57",B118&lt;=Thresholds_Rates!$C$17),$C118*Thresholds_Rates!$F$17,IF(AND(OR($B$4="New Consultant Contract"),$B118&lt;&gt;""),$C118*Thresholds_Rates!$F$17,IF(AND(OR($B$4="Clinical Lecturer / Medical Research Fellow",$B$4="Clinical Consultant - Old Contract (GP)"),$B118&lt;&gt;""),$C118*Thresholds_Rates!$F$17,IF(AND(OR($B$4="APM Level 7",$B$4="R&amp;T Level 7"),F118&lt;&gt;""),$C118*Thresholds_Rates!$F$17,IF(SUMIF(Grades!$A:$A,$B$4,Grades!$BQ:$BQ)=1,$C118*Thresholds_Rates!$F$17,""))))))))</f>
        <v/>
      </c>
      <c r="H118" s="25"/>
      <c r="I118" s="25" t="str">
        <f ca="1">IF(B118="","",(C118*Thresholds_Rates!$C$12))</f>
        <v/>
      </c>
      <c r="J118" s="25"/>
      <c r="K118" s="4"/>
      <c r="L118" s="25" t="str">
        <f t="shared" ca="1" si="13"/>
        <v/>
      </c>
      <c r="M118" s="25" t="str">
        <f t="shared" ca="1" si="14"/>
        <v/>
      </c>
      <c r="N118" s="25" t="str">
        <f t="shared" ca="1" si="15"/>
        <v/>
      </c>
      <c r="O118" s="25" t="str">
        <f t="shared" ca="1" si="16"/>
        <v/>
      </c>
      <c r="P118" s="25" t="str">
        <f t="shared" ca="1" si="17"/>
        <v/>
      </c>
      <c r="R118" s="28"/>
      <c r="S118" s="29"/>
      <c r="T118" s="28"/>
      <c r="U118" s="29"/>
    </row>
    <row r="119" spans="2:21" x14ac:dyDescent="0.25">
      <c r="B119" s="4" t="str">
        <f ca="1">IFERROR(INDEX(Points_Lookup!$A:$A,MATCH($Z121,Points_Lookup!$AH:$AH,0)),"")</f>
        <v/>
      </c>
      <c r="C119" s="25" t="str">
        <f ca="1">IF(B119="","",IF($B$4="Apprenticeship",SUMIF(Points_Lookup!$AD:$AD,B119,Points_Lookup!$AF:$AF),IF(AND(OR($B$4="New Consultant Contract"),$B119&lt;&gt;""),INDEX(Points_Lookup!$N:$N,MATCH($B119,Points_Lookup!$M:$M,0)),IF(AND(OR($B$4="Clinical Lecturer / Medical Research Fellow",$B$4="Clinical Consultant - Old Contract (GP)"),$B119&lt;&gt;""),INDEX(Points_Lookup!$K:$K,MATCH($B119,Points_Lookup!$J:$J,0)),IF(AND(OR($B$4="APM Level 7",$B$4="R&amp;T Level 7",$B$4="APM Level 8"),B119&lt;&gt;""),INDEX(Points_Lookup!$E:$E,MATCH($Z119,Points_Lookup!$AH:$AH,0)),IF($B$4="R&amp;T Level 5 - Clinical Lecturers (Vet School)",SUMIF(Points_Lookup!$P:$P,$B119,Points_Lookup!$S:$S),IF($B$4="R&amp;T Level 6 - Clinical Associate Professors and Clinical Readers (Vet School)",SUMIF(Points_Lookup!$W:$W,$B119,Points_Lookup!$Z:$Z),IFERROR(INDEX(Points_Lookup!$B:$B,MATCH($Z119,Points_Lookup!$AH:$AH,0)),""))))))))</f>
        <v/>
      </c>
      <c r="D119" s="40"/>
      <c r="E119" s="25" t="str">
        <f ca="1">IF($B119="","",IF(AND($B$4="Salary Points 3 to 57",B119&lt;Thresholds_Rates!$C$16),"-",IF(SUMIF(Grades!$A:$A,$B$4,Grades!$BO:$BO)=0,"-",IF(AND($B$4="Salary Points 3 to 57",B119&gt;=Thresholds_Rates!$C$16),$C119*Thresholds_Rates!$F$15,IF(AND(OR($B$4="New Consultant Contract"),$B119&lt;&gt;""),$C119*Thresholds_Rates!$F$15,IF(AND(OR($B$4="Clinical Lecturer / Medical Research Fellow",$B$4="Clinical Consultant - Old Contract (GP)"),$B119&lt;&gt;""),$C119*Thresholds_Rates!$F$15,IF(OR($B$4="APM Level 7",$B$4="R&amp;T Level 7"),$C119*Thresholds_Rates!$F$15,IF(SUMIF(Grades!$A:$A,$B$4,Grades!$BO:$BO)=1,$C119*Thresholds_Rates!$F$15,""))))))))</f>
        <v/>
      </c>
      <c r="F119" s="25" t="str">
        <f ca="1">IF(B119="","",IF($B$4="Salary Points 1 to 57","-",IF(SUMIF(Grades!$A:$A,$B$4,Grades!$BP:$BP)=0,"-",IF(AND(OR($B$4="New Consultant Contract"),$B119&lt;&gt;""),$C119*Thresholds_Rates!$F$16,IF(AND(OR($B$4="Clinical Lecturer / Medical Research Fellow",$B$4="Clinical Consultant - Old Contract (GP)"),$B119&lt;&gt;""),$C119*Thresholds_Rates!$F$16,IF(AND(OR($B$4="APM Level 7",$B$4="R&amp;T Level 7"),E119&lt;&gt;""),$C119*Thresholds_Rates!$F$16,IF(SUMIF(Grades!$A:$A,$B$4,Grades!$BP:$BP)=1,$C119*Thresholds_Rates!$F$16,"")))))))</f>
        <v/>
      </c>
      <c r="G119" s="25" t="str">
        <f ca="1">IF(B119="","",IF(SUMIF(Grades!$A:$A,$B$4,Grades!$BQ:$BQ)=0,"-",IF(AND($B$4="Salary Points 1 to 57",B119&gt;Thresholds_Rates!$C$17),"-",IF(AND($B$4="Salary Points 1 to 57",B119&lt;=Thresholds_Rates!$C$17),$C119*Thresholds_Rates!$F$17,IF(AND(OR($B$4="New Consultant Contract"),$B119&lt;&gt;""),$C119*Thresholds_Rates!$F$17,IF(AND(OR($B$4="Clinical Lecturer / Medical Research Fellow",$B$4="Clinical Consultant - Old Contract (GP)"),$B119&lt;&gt;""),$C119*Thresholds_Rates!$F$17,IF(AND(OR($B$4="APM Level 7",$B$4="R&amp;T Level 7"),F119&lt;&gt;""),$C119*Thresholds_Rates!$F$17,IF(SUMIF(Grades!$A:$A,$B$4,Grades!$BQ:$BQ)=1,$C119*Thresholds_Rates!$F$17,""))))))))</f>
        <v/>
      </c>
      <c r="H119" s="25"/>
      <c r="I119" s="25" t="str">
        <f ca="1">IF(B119="","",(C119*Thresholds_Rates!$C$12))</f>
        <v/>
      </c>
      <c r="J119" s="25"/>
      <c r="K119" s="4"/>
      <c r="L119" s="25" t="str">
        <f t="shared" ca="1" si="13"/>
        <v/>
      </c>
      <c r="M119" s="25" t="str">
        <f t="shared" ca="1" si="14"/>
        <v/>
      </c>
      <c r="N119" s="25" t="str">
        <f t="shared" ca="1" si="15"/>
        <v/>
      </c>
      <c r="O119" s="25" t="str">
        <f t="shared" ca="1" si="16"/>
        <v/>
      </c>
      <c r="P119" s="25" t="str">
        <f t="shared" ca="1" si="17"/>
        <v/>
      </c>
      <c r="R119" s="28"/>
      <c r="S119" s="29"/>
      <c r="T119" s="28"/>
      <c r="U119" s="29"/>
    </row>
    <row r="120" spans="2:21" x14ac:dyDescent="0.25">
      <c r="B120" s="4" t="str">
        <f ca="1">IFERROR(INDEX(Points_Lookup!$A:$A,MATCH($Z122,Points_Lookup!$AH:$AH,0)),"")</f>
        <v/>
      </c>
      <c r="C120" s="25" t="str">
        <f ca="1">IF(B120="","",IF($B$4="Apprenticeship",SUMIF(Points_Lookup!$AD:$AD,B120,Points_Lookup!$AF:$AF),IF(AND(OR($B$4="New Consultant Contract"),$B120&lt;&gt;""),INDEX(Points_Lookup!$N:$N,MATCH($B120,Points_Lookup!$M:$M,0)),IF(AND(OR($B$4="Clinical Lecturer / Medical Research Fellow",$B$4="Clinical Consultant - Old Contract (GP)"),$B120&lt;&gt;""),INDEX(Points_Lookup!$K:$K,MATCH($B120,Points_Lookup!$J:$J,0)),IF(AND(OR($B$4="APM Level 7",$B$4="R&amp;T Level 7",$B$4="APM Level 8"),B120&lt;&gt;""),INDEX(Points_Lookup!$E:$E,MATCH($Z120,Points_Lookup!$AH:$AH,0)),IF($B$4="R&amp;T Level 5 - Clinical Lecturers (Vet School)",SUMIF(Points_Lookup!$P:$P,$B120,Points_Lookup!$S:$S),IF($B$4="R&amp;T Level 6 - Clinical Associate Professors and Clinical Readers (Vet School)",SUMIF(Points_Lookup!$W:$W,$B120,Points_Lookup!$Z:$Z),IFERROR(INDEX(Points_Lookup!$B:$B,MATCH($Z120,Points_Lookup!$AH:$AH,0)),""))))))))</f>
        <v/>
      </c>
      <c r="D120" s="40"/>
      <c r="E120" s="25" t="str">
        <f ca="1">IF($B120="","",IF(AND($B$4="Salary Points 3 to 57",B120&lt;Thresholds_Rates!$C$16),"-",IF(SUMIF(Grades!$A:$A,$B$4,Grades!$BO:$BO)=0,"-",IF(AND($B$4="Salary Points 3 to 57",B120&gt;=Thresholds_Rates!$C$16),$C120*Thresholds_Rates!$F$15,IF(AND(OR($B$4="New Consultant Contract"),$B120&lt;&gt;""),$C120*Thresholds_Rates!$F$15,IF(AND(OR($B$4="Clinical Lecturer / Medical Research Fellow",$B$4="Clinical Consultant - Old Contract (GP)"),$B120&lt;&gt;""),$C120*Thresholds_Rates!$F$15,IF(OR($B$4="APM Level 7",$B$4="R&amp;T Level 7"),$C120*Thresholds_Rates!$F$15,IF(SUMIF(Grades!$A:$A,$B$4,Grades!$BO:$BO)=1,$C120*Thresholds_Rates!$F$15,""))))))))</f>
        <v/>
      </c>
      <c r="F120" s="25" t="str">
        <f ca="1">IF(B120="","",IF($B$4="Salary Points 1 to 57","-",IF(SUMIF(Grades!$A:$A,$B$4,Grades!$BP:$BP)=0,"-",IF(AND(OR($B$4="New Consultant Contract"),$B120&lt;&gt;""),$C120*Thresholds_Rates!$F$16,IF(AND(OR($B$4="Clinical Lecturer / Medical Research Fellow",$B$4="Clinical Consultant - Old Contract (GP)"),$B120&lt;&gt;""),$C120*Thresholds_Rates!$F$16,IF(AND(OR($B$4="APM Level 7",$B$4="R&amp;T Level 7"),E120&lt;&gt;""),$C120*Thresholds_Rates!$F$16,IF(SUMIF(Grades!$A:$A,$B$4,Grades!$BP:$BP)=1,$C120*Thresholds_Rates!$F$16,"")))))))</f>
        <v/>
      </c>
      <c r="G120" s="25" t="str">
        <f ca="1">IF(B120="","",IF(SUMIF(Grades!$A:$A,$B$4,Grades!$BQ:$BQ)=0,"-",IF(AND($B$4="Salary Points 1 to 57",B120&gt;Thresholds_Rates!$C$17),"-",IF(AND($B$4="Salary Points 1 to 57",B120&lt;=Thresholds_Rates!$C$17),$C120*Thresholds_Rates!$F$17,IF(AND(OR($B$4="New Consultant Contract"),$B120&lt;&gt;""),$C120*Thresholds_Rates!$F$17,IF(AND(OR($B$4="Clinical Lecturer / Medical Research Fellow",$B$4="Clinical Consultant - Old Contract (GP)"),$B120&lt;&gt;""),$C120*Thresholds_Rates!$F$17,IF(AND(OR($B$4="APM Level 7",$B$4="R&amp;T Level 7"),F120&lt;&gt;""),$C120*Thresholds_Rates!$F$17,IF(SUMIF(Grades!$A:$A,$B$4,Grades!$BQ:$BQ)=1,$C120*Thresholds_Rates!$F$17,""))))))))</f>
        <v/>
      </c>
      <c r="H120" s="25"/>
      <c r="I120" s="25" t="str">
        <f ca="1">IF(B120="","",(C120*Thresholds_Rates!$C$12))</f>
        <v/>
      </c>
      <c r="J120" s="25"/>
      <c r="K120" s="4"/>
      <c r="L120" s="25" t="str">
        <f t="shared" ca="1" si="13"/>
        <v/>
      </c>
      <c r="M120" s="25" t="str">
        <f t="shared" ca="1" si="14"/>
        <v/>
      </c>
      <c r="N120" s="25" t="str">
        <f t="shared" ca="1" si="15"/>
        <v/>
      </c>
      <c r="O120" s="25" t="str">
        <f t="shared" ca="1" si="16"/>
        <v/>
      </c>
      <c r="P120" s="25" t="str">
        <f t="shared" ca="1" si="17"/>
        <v/>
      </c>
      <c r="R120" s="28"/>
      <c r="S120" s="29"/>
      <c r="T120" s="28"/>
      <c r="U120" s="29"/>
    </row>
    <row r="121" spans="2:21" x14ac:dyDescent="0.25">
      <c r="B121" s="4" t="str">
        <f ca="1">IFERROR(INDEX(Points_Lookup!$A:$A,MATCH($Z123,Points_Lookup!$AH:$AH,0)),"")</f>
        <v/>
      </c>
      <c r="C121" s="25" t="str">
        <f ca="1">IF(B121="","",IF($B$4="Apprenticeship",SUMIF(Points_Lookup!$AD:$AD,B121,Points_Lookup!$AF:$AF),IF(AND(OR($B$4="New Consultant Contract"),$B121&lt;&gt;""),INDEX(Points_Lookup!$N:$N,MATCH($B121,Points_Lookup!$M:$M,0)),IF(AND(OR($B$4="Clinical Lecturer / Medical Research Fellow",$B$4="Clinical Consultant - Old Contract (GP)"),$B121&lt;&gt;""),INDEX(Points_Lookup!$K:$K,MATCH($B121,Points_Lookup!$J:$J,0)),IF(AND(OR($B$4="APM Level 7",$B$4="R&amp;T Level 7",$B$4="APM Level 8"),B121&lt;&gt;""),INDEX(Points_Lookup!$E:$E,MATCH($Z121,Points_Lookup!$AH:$AH,0)),IF($B$4="R&amp;T Level 5 - Clinical Lecturers (Vet School)",SUMIF(Points_Lookup!$P:$P,$B121,Points_Lookup!$S:$S),IF($B$4="R&amp;T Level 6 - Clinical Associate Professors and Clinical Readers (Vet School)",SUMIF(Points_Lookup!$W:$W,$B121,Points_Lookup!$Z:$Z),IFERROR(INDEX(Points_Lookup!$B:$B,MATCH($Z121,Points_Lookup!$AH:$AH,0)),""))))))))</f>
        <v/>
      </c>
      <c r="D121" s="40"/>
      <c r="E121" s="25" t="str">
        <f ca="1">IF($B121="","",IF(AND($B$4="Salary Points 3 to 57",B121&lt;Thresholds_Rates!$C$16),"-",IF(SUMIF(Grades!$A:$A,$B$4,Grades!$BO:$BO)=0,"-",IF(AND($B$4="Salary Points 3 to 57",B121&gt;=Thresholds_Rates!$C$16),$C121*Thresholds_Rates!$F$15,IF(AND(OR($B$4="New Consultant Contract"),$B121&lt;&gt;""),$C121*Thresholds_Rates!$F$15,IF(AND(OR($B$4="Clinical Lecturer / Medical Research Fellow",$B$4="Clinical Consultant - Old Contract (GP)"),$B121&lt;&gt;""),$C121*Thresholds_Rates!$F$15,IF(OR($B$4="APM Level 7",$B$4="R&amp;T Level 7"),$C121*Thresholds_Rates!$F$15,IF(SUMIF(Grades!$A:$A,$B$4,Grades!$BO:$BO)=1,$C121*Thresholds_Rates!$F$15,""))))))))</f>
        <v/>
      </c>
      <c r="F121" s="25" t="str">
        <f ca="1">IF(B121="","",IF($B$4="Salary Points 1 to 57","-",IF(SUMIF(Grades!$A:$A,$B$4,Grades!$BP:$BP)=0,"-",IF(AND(OR($B$4="New Consultant Contract"),$B121&lt;&gt;""),$C121*Thresholds_Rates!$F$16,IF(AND(OR($B$4="Clinical Lecturer / Medical Research Fellow",$B$4="Clinical Consultant - Old Contract (GP)"),$B121&lt;&gt;""),$C121*Thresholds_Rates!$F$16,IF(AND(OR($B$4="APM Level 7",$B$4="R&amp;T Level 7"),E121&lt;&gt;""),$C121*Thresholds_Rates!$F$16,IF(SUMIF(Grades!$A:$A,$B$4,Grades!$BP:$BP)=1,$C121*Thresholds_Rates!$F$16,"")))))))</f>
        <v/>
      </c>
      <c r="G121" s="25" t="str">
        <f ca="1">IF(B121="","",IF(SUMIF(Grades!$A:$A,$B$4,Grades!$BQ:$BQ)=0,"-",IF(AND($B$4="Salary Points 1 to 57",B121&gt;Thresholds_Rates!$C$17),"-",IF(AND($B$4="Salary Points 1 to 57",B121&lt;=Thresholds_Rates!$C$17),$C121*Thresholds_Rates!$F$17,IF(AND(OR($B$4="New Consultant Contract"),$B121&lt;&gt;""),$C121*Thresholds_Rates!$F$17,IF(AND(OR($B$4="Clinical Lecturer / Medical Research Fellow",$B$4="Clinical Consultant - Old Contract (GP)"),$B121&lt;&gt;""),$C121*Thresholds_Rates!$F$17,IF(AND(OR($B$4="APM Level 7",$B$4="R&amp;T Level 7"),F121&lt;&gt;""),$C121*Thresholds_Rates!$F$17,IF(SUMIF(Grades!$A:$A,$B$4,Grades!$BQ:$BQ)=1,$C121*Thresholds_Rates!$F$17,""))))))))</f>
        <v/>
      </c>
      <c r="H121" s="25"/>
      <c r="I121" s="25" t="str">
        <f ca="1">IF(B121="","",(C121*Thresholds_Rates!$C$12))</f>
        <v/>
      </c>
      <c r="J121" s="25"/>
      <c r="K121" s="4"/>
      <c r="L121" s="25" t="str">
        <f t="shared" ca="1" si="13"/>
        <v/>
      </c>
      <c r="M121" s="25" t="str">
        <f t="shared" ca="1" si="14"/>
        <v/>
      </c>
      <c r="N121" s="25" t="str">
        <f t="shared" ca="1" si="15"/>
        <v/>
      </c>
      <c r="O121" s="25" t="str">
        <f t="shared" ca="1" si="16"/>
        <v/>
      </c>
      <c r="P121" s="25" t="str">
        <f t="shared" ca="1" si="17"/>
        <v/>
      </c>
      <c r="R121" s="28"/>
      <c r="S121" s="29"/>
      <c r="T121" s="28"/>
      <c r="U121" s="29"/>
    </row>
    <row r="122" spans="2:21" x14ac:dyDescent="0.25">
      <c r="B122" s="4" t="str">
        <f ca="1">IFERROR(INDEX(Points_Lookup!$A:$A,MATCH($Z124,Points_Lookup!$AH:$AH,0)),"")</f>
        <v/>
      </c>
      <c r="C122" s="25" t="str">
        <f ca="1">IF(B122="","",IF($B$4="Apprenticeship",SUMIF(Points_Lookup!$AD:$AD,B122,Points_Lookup!$AF:$AF),IF(AND(OR($B$4="New Consultant Contract"),$B122&lt;&gt;""),INDEX(Points_Lookup!$N:$N,MATCH($B122,Points_Lookup!$M:$M,0)),IF(AND(OR($B$4="Clinical Lecturer / Medical Research Fellow",$B$4="Clinical Consultant - Old Contract (GP)"),$B122&lt;&gt;""),INDEX(Points_Lookup!$K:$K,MATCH($B122,Points_Lookup!$J:$J,0)),IF(AND(OR($B$4="APM Level 7",$B$4="R&amp;T Level 7",$B$4="APM Level 8"),B122&lt;&gt;""),INDEX(Points_Lookup!$E:$E,MATCH($Z122,Points_Lookup!$AH:$AH,0)),IF($B$4="R&amp;T Level 5 - Clinical Lecturers (Vet School)",SUMIF(Points_Lookup!$P:$P,$B122,Points_Lookup!$S:$S),IF($B$4="R&amp;T Level 6 - Clinical Associate Professors and Clinical Readers (Vet School)",SUMIF(Points_Lookup!$W:$W,$B122,Points_Lookup!$Z:$Z),IFERROR(INDEX(Points_Lookup!$B:$B,MATCH($Z122,Points_Lookup!$AH:$AH,0)),""))))))))</f>
        <v/>
      </c>
      <c r="D122" s="40"/>
      <c r="E122" s="25" t="str">
        <f ca="1">IF($B122="","",IF(AND($B$4="Salary Points 3 to 57",B122&lt;Thresholds_Rates!$C$16),"-",IF(SUMIF(Grades!$A:$A,$B$4,Grades!$BO:$BO)=0,"-",IF(AND($B$4="Salary Points 3 to 57",B122&gt;=Thresholds_Rates!$C$16),$C122*Thresholds_Rates!$F$15,IF(AND(OR($B$4="New Consultant Contract"),$B122&lt;&gt;""),$C122*Thresholds_Rates!$F$15,IF(AND(OR($B$4="Clinical Lecturer / Medical Research Fellow",$B$4="Clinical Consultant - Old Contract (GP)"),$B122&lt;&gt;""),$C122*Thresholds_Rates!$F$15,IF(OR($B$4="APM Level 7",$B$4="R&amp;T Level 7"),$C122*Thresholds_Rates!$F$15,IF(SUMIF(Grades!$A:$A,$B$4,Grades!$BO:$BO)=1,$C122*Thresholds_Rates!$F$15,""))))))))</f>
        <v/>
      </c>
      <c r="F122" s="25" t="str">
        <f ca="1">IF(B122="","",IF($B$4="Salary Points 1 to 57","-",IF(SUMIF(Grades!$A:$A,$B$4,Grades!$BP:$BP)=0,"-",IF(AND(OR($B$4="New Consultant Contract"),$B122&lt;&gt;""),$C122*Thresholds_Rates!$F$16,IF(AND(OR($B$4="Clinical Lecturer / Medical Research Fellow",$B$4="Clinical Consultant - Old Contract (GP)"),$B122&lt;&gt;""),$C122*Thresholds_Rates!$F$16,IF(AND(OR($B$4="APM Level 7",$B$4="R&amp;T Level 7"),E122&lt;&gt;""),$C122*Thresholds_Rates!$F$16,IF(SUMIF(Grades!$A:$A,$B$4,Grades!$BP:$BP)=1,$C122*Thresholds_Rates!$F$16,"")))))))</f>
        <v/>
      </c>
      <c r="G122" s="25" t="str">
        <f ca="1">IF(B122="","",IF(SUMIF(Grades!$A:$A,$B$4,Grades!$BQ:$BQ)=0,"-",IF(AND($B$4="Salary Points 1 to 57",B122&gt;Thresholds_Rates!$C$17),"-",IF(AND($B$4="Salary Points 1 to 57",B122&lt;=Thresholds_Rates!$C$17),$C122*Thresholds_Rates!$F$17,IF(AND(OR($B$4="New Consultant Contract"),$B122&lt;&gt;""),$C122*Thresholds_Rates!$F$17,IF(AND(OR($B$4="Clinical Lecturer / Medical Research Fellow",$B$4="Clinical Consultant - Old Contract (GP)"),$B122&lt;&gt;""),$C122*Thresholds_Rates!$F$17,IF(AND(OR($B$4="APM Level 7",$B$4="R&amp;T Level 7"),F122&lt;&gt;""),$C122*Thresholds_Rates!$F$17,IF(SUMIF(Grades!$A:$A,$B$4,Grades!$BQ:$BQ)=1,$C122*Thresholds_Rates!$F$17,""))))))))</f>
        <v/>
      </c>
      <c r="H122" s="25"/>
      <c r="I122" s="25" t="str">
        <f ca="1">IF(B122="","",(C122*Thresholds_Rates!$C$12))</f>
        <v/>
      </c>
      <c r="J122" s="25"/>
      <c r="K122" s="4"/>
      <c r="L122" s="25" t="str">
        <f t="shared" ca="1" si="13"/>
        <v/>
      </c>
      <c r="M122" s="25" t="str">
        <f t="shared" ca="1" si="14"/>
        <v/>
      </c>
      <c r="N122" s="25" t="str">
        <f t="shared" ca="1" si="15"/>
        <v/>
      </c>
      <c r="O122" s="25" t="str">
        <f t="shared" ca="1" si="16"/>
        <v/>
      </c>
      <c r="P122" s="25" t="str">
        <f t="shared" ca="1" si="17"/>
        <v/>
      </c>
      <c r="R122" s="28"/>
      <c r="S122" s="29"/>
      <c r="T122" s="28"/>
      <c r="U122" s="29"/>
    </row>
    <row r="123" spans="2:21" x14ac:dyDescent="0.25">
      <c r="B123" s="4" t="str">
        <f ca="1">IFERROR(INDEX(Points_Lookup!$A:$A,MATCH($Z125,Points_Lookup!$AH:$AH,0)),"")</f>
        <v/>
      </c>
      <c r="C123" s="25" t="str">
        <f ca="1">IF(B123="","",IF($B$4="Apprenticeship",SUMIF(Points_Lookup!$AD:$AD,B123,Points_Lookup!$AF:$AF),IF(AND(OR($B$4="New Consultant Contract"),$B123&lt;&gt;""),INDEX(Points_Lookup!$N:$N,MATCH($B123,Points_Lookup!$M:$M,0)),IF(AND(OR($B$4="Clinical Lecturer / Medical Research Fellow",$B$4="Clinical Consultant - Old Contract (GP)"),$B123&lt;&gt;""),INDEX(Points_Lookup!$K:$K,MATCH($B123,Points_Lookup!$J:$J,0)),IF(AND(OR($B$4="APM Level 7",$B$4="R&amp;T Level 7",$B$4="APM Level 8"),B123&lt;&gt;""),INDEX(Points_Lookup!$E:$E,MATCH($Z123,Points_Lookup!$AH:$AH,0)),IF($B$4="R&amp;T Level 5 - Clinical Lecturers (Vet School)",SUMIF(Points_Lookup!$P:$P,$B123,Points_Lookup!$S:$S),IF($B$4="R&amp;T Level 6 - Clinical Associate Professors and Clinical Readers (Vet School)",SUMIF(Points_Lookup!$W:$W,$B123,Points_Lookup!$Z:$Z),IFERROR(INDEX(Points_Lookup!$B:$B,MATCH($Z123,Points_Lookup!$AH:$AH,0)),""))))))))</f>
        <v/>
      </c>
      <c r="D123" s="40"/>
      <c r="E123" s="25" t="str">
        <f ca="1">IF($B123="","",IF(AND($B$4="Salary Points 3 to 57",B123&lt;Thresholds_Rates!$C$16),"-",IF(SUMIF(Grades!$A:$A,$B$4,Grades!$BO:$BO)=0,"-",IF(AND($B$4="Salary Points 3 to 57",B123&gt;=Thresholds_Rates!$C$16),$C123*Thresholds_Rates!$F$15,IF(AND(OR($B$4="New Consultant Contract"),$B123&lt;&gt;""),$C123*Thresholds_Rates!$F$15,IF(AND(OR($B$4="Clinical Lecturer / Medical Research Fellow",$B$4="Clinical Consultant - Old Contract (GP)"),$B123&lt;&gt;""),$C123*Thresholds_Rates!$F$15,IF(OR($B$4="APM Level 7",$B$4="R&amp;T Level 7"),$C123*Thresholds_Rates!$F$15,IF(SUMIF(Grades!$A:$A,$B$4,Grades!$BO:$BO)=1,$C123*Thresholds_Rates!$F$15,""))))))))</f>
        <v/>
      </c>
      <c r="F123" s="25" t="str">
        <f ca="1">IF(B123="","",IF($B$4="Salary Points 1 to 57","-",IF(SUMIF(Grades!$A:$A,$B$4,Grades!$BP:$BP)=0,"-",IF(AND(OR($B$4="New Consultant Contract"),$B123&lt;&gt;""),$C123*Thresholds_Rates!$F$16,IF(AND(OR($B$4="Clinical Lecturer / Medical Research Fellow",$B$4="Clinical Consultant - Old Contract (GP)"),$B123&lt;&gt;""),$C123*Thresholds_Rates!$F$16,IF(AND(OR($B$4="APM Level 7",$B$4="R&amp;T Level 7"),E123&lt;&gt;""),$C123*Thresholds_Rates!$F$16,IF(SUMIF(Grades!$A:$A,$B$4,Grades!$BP:$BP)=1,$C123*Thresholds_Rates!$F$16,"")))))))</f>
        <v/>
      </c>
      <c r="G123" s="25" t="str">
        <f ca="1">IF(B123="","",IF(SUMIF(Grades!$A:$A,$B$4,Grades!$BQ:$BQ)=0,"-",IF(AND($B$4="Salary Points 1 to 57",B123&gt;Thresholds_Rates!$C$17),"-",IF(AND($B$4="Salary Points 1 to 57",B123&lt;=Thresholds_Rates!$C$17),$C123*Thresholds_Rates!$F$17,IF(AND(OR($B$4="New Consultant Contract"),$B123&lt;&gt;""),$C123*Thresholds_Rates!$F$17,IF(AND(OR($B$4="Clinical Lecturer / Medical Research Fellow",$B$4="Clinical Consultant - Old Contract (GP)"),$B123&lt;&gt;""),$C123*Thresholds_Rates!$F$17,IF(AND(OR($B$4="APM Level 7",$B$4="R&amp;T Level 7"),F123&lt;&gt;""),$C123*Thresholds_Rates!$F$17,IF(SUMIF(Grades!$A:$A,$B$4,Grades!$BQ:$BQ)=1,$C123*Thresholds_Rates!$F$17,""))))))))</f>
        <v/>
      </c>
      <c r="H123" s="25"/>
      <c r="I123" s="25" t="str">
        <f ca="1">IF(B123="","",(C123*Thresholds_Rates!$C$12))</f>
        <v/>
      </c>
      <c r="J123" s="25"/>
      <c r="K123" s="4"/>
      <c r="L123" s="25" t="str">
        <f t="shared" ca="1" si="13"/>
        <v/>
      </c>
      <c r="M123" s="25" t="str">
        <f t="shared" ca="1" si="14"/>
        <v/>
      </c>
      <c r="N123" s="25" t="str">
        <f t="shared" ca="1" si="15"/>
        <v/>
      </c>
      <c r="O123" s="25" t="str">
        <f t="shared" ca="1" si="16"/>
        <v/>
      </c>
      <c r="P123" s="25" t="str">
        <f t="shared" ca="1" si="17"/>
        <v/>
      </c>
      <c r="R123" s="28"/>
      <c r="S123" s="29"/>
      <c r="T123" s="28"/>
      <c r="U123" s="29"/>
    </row>
    <row r="124" spans="2:21" x14ac:dyDescent="0.25">
      <c r="B124" s="4" t="str">
        <f ca="1">IFERROR(INDEX(Points_Lookup!$A:$A,MATCH($Z126,Points_Lookup!$AH:$AH,0)),"")</f>
        <v/>
      </c>
      <c r="C124" s="25" t="str">
        <f ca="1">IF(B124="","",IF($B$4="Apprenticeship",SUMIF(Points_Lookup!$AD:$AD,B124,Points_Lookup!$AF:$AF),IF(AND(OR($B$4="New Consultant Contract"),$B124&lt;&gt;""),INDEX(Points_Lookup!$N:$N,MATCH($B124,Points_Lookup!$M:$M,0)),IF(AND(OR($B$4="Clinical Lecturer / Medical Research Fellow",$B$4="Clinical Consultant - Old Contract (GP)"),$B124&lt;&gt;""),INDEX(Points_Lookup!$K:$K,MATCH($B124,Points_Lookup!$J:$J,0)),IF(AND(OR($B$4="APM Level 7",$B$4="R&amp;T Level 7",$B$4="APM Level 8"),B124&lt;&gt;""),INDEX(Points_Lookup!$E:$E,MATCH($Z124,Points_Lookup!$AH:$AH,0)),IF($B$4="R&amp;T Level 5 - Clinical Lecturers (Vet School)",SUMIF(Points_Lookup!$P:$P,$B124,Points_Lookup!$S:$S),IF($B$4="R&amp;T Level 6 - Clinical Associate Professors and Clinical Readers (Vet School)",SUMIF(Points_Lookup!$W:$W,$B124,Points_Lookup!$Z:$Z),IFERROR(INDEX(Points_Lookup!$B:$B,MATCH($Z124,Points_Lookup!$AH:$AH,0)),""))))))))</f>
        <v/>
      </c>
      <c r="D124" s="40"/>
      <c r="E124" s="25" t="str">
        <f ca="1">IF($B124="","",IF(AND($B$4="Salary Points 3 to 57",B124&lt;Thresholds_Rates!$C$16),"-",IF(SUMIF(Grades!$A:$A,$B$4,Grades!$BO:$BO)=0,"-",IF(AND($B$4="Salary Points 3 to 57",B124&gt;=Thresholds_Rates!$C$16),$C124*Thresholds_Rates!$F$15,IF(AND(OR($B$4="New Consultant Contract"),$B124&lt;&gt;""),$C124*Thresholds_Rates!$F$15,IF(AND(OR($B$4="Clinical Lecturer / Medical Research Fellow",$B$4="Clinical Consultant - Old Contract (GP)"),$B124&lt;&gt;""),$C124*Thresholds_Rates!$F$15,IF(OR($B$4="APM Level 7",$B$4="R&amp;T Level 7"),$C124*Thresholds_Rates!$F$15,IF(SUMIF(Grades!$A:$A,$B$4,Grades!$BO:$BO)=1,$C124*Thresholds_Rates!$F$15,""))))))))</f>
        <v/>
      </c>
      <c r="F124" s="25" t="str">
        <f ca="1">IF(B124="","",IF($B$4="Salary Points 1 to 57","-",IF(SUMIF(Grades!$A:$A,$B$4,Grades!$BP:$BP)=0,"-",IF(AND(OR($B$4="New Consultant Contract"),$B124&lt;&gt;""),$C124*Thresholds_Rates!$F$16,IF(AND(OR($B$4="Clinical Lecturer / Medical Research Fellow",$B$4="Clinical Consultant - Old Contract (GP)"),$B124&lt;&gt;""),$C124*Thresholds_Rates!$F$16,IF(AND(OR($B$4="APM Level 7",$B$4="R&amp;T Level 7"),E124&lt;&gt;""),$C124*Thresholds_Rates!$F$16,IF(SUMIF(Grades!$A:$A,$B$4,Grades!$BP:$BP)=1,$C124*Thresholds_Rates!$F$16,"")))))))</f>
        <v/>
      </c>
      <c r="G124" s="25" t="str">
        <f ca="1">IF(B124="","",IF(SUMIF(Grades!$A:$A,$B$4,Grades!$BQ:$BQ)=0,"-",IF(AND($B$4="Salary Points 1 to 57",B124&gt;Thresholds_Rates!$C$17),"-",IF(AND($B$4="Salary Points 1 to 57",B124&lt;=Thresholds_Rates!$C$17),$C124*Thresholds_Rates!$F$17,IF(AND(OR($B$4="New Consultant Contract"),$B124&lt;&gt;""),$C124*Thresholds_Rates!$F$17,IF(AND(OR($B$4="Clinical Lecturer / Medical Research Fellow",$B$4="Clinical Consultant - Old Contract (GP)"),$B124&lt;&gt;""),$C124*Thresholds_Rates!$F$17,IF(AND(OR($B$4="APM Level 7",$B$4="R&amp;T Level 7"),F124&lt;&gt;""),$C124*Thresholds_Rates!$F$17,IF(SUMIF(Grades!$A:$A,$B$4,Grades!$BQ:$BQ)=1,$C124*Thresholds_Rates!$F$17,""))))))))</f>
        <v/>
      </c>
      <c r="H124" s="25"/>
      <c r="I124" s="25" t="str">
        <f ca="1">IF(B124="","",(C124*Thresholds_Rates!$C$12))</f>
        <v/>
      </c>
      <c r="J124" s="25"/>
      <c r="K124" s="4"/>
      <c r="L124" s="25" t="str">
        <f t="shared" ca="1" si="13"/>
        <v/>
      </c>
      <c r="M124" s="25" t="str">
        <f t="shared" ca="1" si="14"/>
        <v/>
      </c>
      <c r="N124" s="25" t="str">
        <f t="shared" ca="1" si="15"/>
        <v/>
      </c>
      <c r="O124" s="25" t="str">
        <f t="shared" ca="1" si="16"/>
        <v/>
      </c>
      <c r="P124" s="25" t="str">
        <f t="shared" ca="1" si="17"/>
        <v/>
      </c>
      <c r="R124" s="28"/>
      <c r="S124" s="29"/>
      <c r="T124" s="28"/>
      <c r="U124" s="29"/>
    </row>
    <row r="125" spans="2:21" x14ac:dyDescent="0.25">
      <c r="B125" s="4" t="str">
        <f ca="1">IFERROR(INDEX(Points_Lookup!$A:$A,MATCH($Z127,Points_Lookup!$AH:$AH,0)),"")</f>
        <v/>
      </c>
      <c r="C125" s="25" t="str">
        <f ca="1">IF(B125="","",IF($B$4="Apprenticeship",SUMIF(Points_Lookup!$AD:$AD,B125,Points_Lookup!$AF:$AF),IF(AND(OR($B$4="New Consultant Contract"),$B125&lt;&gt;""),INDEX(Points_Lookup!$N:$N,MATCH($B125,Points_Lookup!$M:$M,0)),IF(AND(OR($B$4="Clinical Lecturer / Medical Research Fellow",$B$4="Clinical Consultant - Old Contract (GP)"),$B125&lt;&gt;""),INDEX(Points_Lookup!$K:$K,MATCH($B125,Points_Lookup!$J:$J,0)),IF(AND(OR($B$4="APM Level 7",$B$4="R&amp;T Level 7",$B$4="APM Level 8"),B125&lt;&gt;""),INDEX(Points_Lookup!$E:$E,MATCH($Z125,Points_Lookup!$AH:$AH,0)),IF($B$4="R&amp;T Level 5 - Clinical Lecturers (Vet School)",SUMIF(Points_Lookup!$P:$P,$B125,Points_Lookup!$S:$S),IF($B$4="R&amp;T Level 6 - Clinical Associate Professors and Clinical Readers (Vet School)",SUMIF(Points_Lookup!$W:$W,$B125,Points_Lookup!$Z:$Z),IFERROR(INDEX(Points_Lookup!$B:$B,MATCH($Z125,Points_Lookup!$AH:$AH,0)),""))))))))</f>
        <v/>
      </c>
      <c r="D125" s="40"/>
      <c r="E125" s="25" t="str">
        <f ca="1">IF($B125="","",IF(AND($B$4="Salary Points 3 to 57",B125&lt;Thresholds_Rates!$C$16),"-",IF(SUMIF(Grades!$A:$A,$B$4,Grades!$BO:$BO)=0,"-",IF(AND($B$4="Salary Points 3 to 57",B125&gt;=Thresholds_Rates!$C$16),$C125*Thresholds_Rates!$F$15,IF(AND(OR($B$4="New Consultant Contract"),$B125&lt;&gt;""),$C125*Thresholds_Rates!$F$15,IF(AND(OR($B$4="Clinical Lecturer / Medical Research Fellow",$B$4="Clinical Consultant - Old Contract (GP)"),$B125&lt;&gt;""),$C125*Thresholds_Rates!$F$15,IF(OR($B$4="APM Level 7",$B$4="R&amp;T Level 7"),$C125*Thresholds_Rates!$F$15,IF(SUMIF(Grades!$A:$A,$B$4,Grades!$BO:$BO)=1,$C125*Thresholds_Rates!$F$15,""))))))))</f>
        <v/>
      </c>
      <c r="F125" s="25" t="str">
        <f ca="1">IF(B125="","",IF($B$4="Salary Points 1 to 57","-",IF(SUMIF(Grades!$A:$A,$B$4,Grades!$BP:$BP)=0,"-",IF(AND(OR($B$4="New Consultant Contract"),$B125&lt;&gt;""),$C125*Thresholds_Rates!$F$16,IF(AND(OR($B$4="Clinical Lecturer / Medical Research Fellow",$B$4="Clinical Consultant - Old Contract (GP)"),$B125&lt;&gt;""),$C125*Thresholds_Rates!$F$16,IF(AND(OR($B$4="APM Level 7",$B$4="R&amp;T Level 7"),E125&lt;&gt;""),$C125*Thresholds_Rates!$F$16,IF(SUMIF(Grades!$A:$A,$B$4,Grades!$BP:$BP)=1,$C125*Thresholds_Rates!$F$16,"")))))))</f>
        <v/>
      </c>
      <c r="G125" s="25" t="str">
        <f ca="1">IF(B125="","",IF(SUMIF(Grades!$A:$A,$B$4,Grades!$BQ:$BQ)=0,"-",IF(AND($B$4="Salary Points 1 to 57",B125&gt;Thresholds_Rates!$C$17),"-",IF(AND($B$4="Salary Points 1 to 57",B125&lt;=Thresholds_Rates!$C$17),$C125*Thresholds_Rates!$F$17,IF(AND(OR($B$4="New Consultant Contract"),$B125&lt;&gt;""),$C125*Thresholds_Rates!$F$17,IF(AND(OR($B$4="Clinical Lecturer / Medical Research Fellow",$B$4="Clinical Consultant - Old Contract (GP)"),$B125&lt;&gt;""),$C125*Thresholds_Rates!$F$17,IF(AND(OR($B$4="APM Level 7",$B$4="R&amp;T Level 7"),F125&lt;&gt;""),$C125*Thresholds_Rates!$F$17,IF(SUMIF(Grades!$A:$A,$B$4,Grades!$BQ:$BQ)=1,$C125*Thresholds_Rates!$F$17,""))))))))</f>
        <v/>
      </c>
      <c r="H125" s="25"/>
      <c r="I125" s="25" t="str">
        <f ca="1">IF(B125="","",(C125*Thresholds_Rates!$C$12))</f>
        <v/>
      </c>
      <c r="J125" s="25"/>
      <c r="K125" s="4"/>
      <c r="L125" s="25" t="str">
        <f t="shared" ca="1" si="13"/>
        <v/>
      </c>
      <c r="M125" s="25" t="str">
        <f t="shared" ca="1" si="14"/>
        <v/>
      </c>
      <c r="N125" s="25" t="str">
        <f t="shared" ca="1" si="15"/>
        <v/>
      </c>
      <c r="O125" s="25" t="str">
        <f t="shared" ca="1" si="16"/>
        <v/>
      </c>
      <c r="P125" s="25" t="str">
        <f t="shared" ca="1" si="17"/>
        <v/>
      </c>
      <c r="R125" s="28"/>
      <c r="S125" s="29"/>
      <c r="T125" s="28"/>
      <c r="U125" s="29"/>
    </row>
    <row r="126" spans="2:21" x14ac:dyDescent="0.25">
      <c r="B126" s="4" t="str">
        <f ca="1">IFERROR(INDEX(Points_Lookup!$A:$A,MATCH($Z128,Points_Lookup!$AH:$AH,0)),"")</f>
        <v/>
      </c>
      <c r="C126" s="25" t="str">
        <f ca="1">IF(B126="","",IF($B$4="Apprenticeship",SUMIF(Points_Lookup!$AD:$AD,B126,Points_Lookup!$AF:$AF),IF(AND(OR($B$4="New Consultant Contract"),$B126&lt;&gt;""),INDEX(Points_Lookup!$N:$N,MATCH($B126,Points_Lookup!$M:$M,0)),IF(AND(OR($B$4="Clinical Lecturer / Medical Research Fellow",$B$4="Clinical Consultant - Old Contract (GP)"),$B126&lt;&gt;""),INDEX(Points_Lookup!$K:$K,MATCH($B126,Points_Lookup!$J:$J,0)),IF(AND(OR($B$4="APM Level 7",$B$4="R&amp;T Level 7",$B$4="APM Level 8"),B126&lt;&gt;""),INDEX(Points_Lookup!$E:$E,MATCH($Z126,Points_Lookup!$AH:$AH,0)),IF($B$4="R&amp;T Level 5 - Clinical Lecturers (Vet School)",SUMIF(Points_Lookup!$P:$P,$B126,Points_Lookup!$S:$S),IF($B$4="R&amp;T Level 6 - Clinical Associate Professors and Clinical Readers (Vet School)",SUMIF(Points_Lookup!$W:$W,$B126,Points_Lookup!$Z:$Z),IFERROR(INDEX(Points_Lookup!$B:$B,MATCH($Z126,Points_Lookup!$AH:$AH,0)),""))))))))</f>
        <v/>
      </c>
      <c r="D126" s="40"/>
      <c r="E126" s="25" t="str">
        <f ca="1">IF($B126="","",IF(AND($B$4="Salary Points 3 to 57",B126&lt;Thresholds_Rates!$C$16),"-",IF(SUMIF(Grades!$A:$A,$B$4,Grades!$BO:$BO)=0,"-",IF(AND($B$4="Salary Points 3 to 57",B126&gt;=Thresholds_Rates!$C$16),$C126*Thresholds_Rates!$F$15,IF(AND(OR($B$4="New Consultant Contract"),$B126&lt;&gt;""),$C126*Thresholds_Rates!$F$15,IF(AND(OR($B$4="Clinical Lecturer / Medical Research Fellow",$B$4="Clinical Consultant - Old Contract (GP)"),$B126&lt;&gt;""),$C126*Thresholds_Rates!$F$15,IF(OR($B$4="APM Level 7",$B$4="R&amp;T Level 7"),$C126*Thresholds_Rates!$F$15,IF(SUMIF(Grades!$A:$A,$B$4,Grades!$BO:$BO)=1,$C126*Thresholds_Rates!$F$15,""))))))))</f>
        <v/>
      </c>
      <c r="F126" s="25" t="str">
        <f ca="1">IF(B126="","",IF($B$4="Salary Points 1 to 57","-",IF(SUMIF(Grades!$A:$A,$B$4,Grades!$BP:$BP)=0,"-",IF(AND(OR($B$4="New Consultant Contract"),$B126&lt;&gt;""),$C126*Thresholds_Rates!$F$16,IF(AND(OR($B$4="Clinical Lecturer / Medical Research Fellow",$B$4="Clinical Consultant - Old Contract (GP)"),$B126&lt;&gt;""),$C126*Thresholds_Rates!$F$16,IF(AND(OR($B$4="APM Level 7",$B$4="R&amp;T Level 7"),E126&lt;&gt;""),$C126*Thresholds_Rates!$F$16,IF(SUMIF(Grades!$A:$A,$B$4,Grades!$BP:$BP)=1,$C126*Thresholds_Rates!$F$16,"")))))))</f>
        <v/>
      </c>
      <c r="G126" s="25" t="str">
        <f ca="1">IF(B126="","",IF(SUMIF(Grades!$A:$A,$B$4,Grades!$BQ:$BQ)=0,"-",IF(AND($B$4="Salary Points 1 to 57",B126&gt;Thresholds_Rates!$C$17),"-",IF(AND($B$4="Salary Points 1 to 57",B126&lt;=Thresholds_Rates!$C$17),$C126*Thresholds_Rates!$F$17,IF(AND(OR($B$4="New Consultant Contract"),$B126&lt;&gt;""),$C126*Thresholds_Rates!$F$17,IF(AND(OR($B$4="Clinical Lecturer / Medical Research Fellow",$B$4="Clinical Consultant - Old Contract (GP)"),$B126&lt;&gt;""),$C126*Thresholds_Rates!$F$17,IF(AND(OR($B$4="APM Level 7",$B$4="R&amp;T Level 7"),F126&lt;&gt;""),$C126*Thresholds_Rates!$F$17,IF(SUMIF(Grades!$A:$A,$B$4,Grades!$BQ:$BQ)=1,$C126*Thresholds_Rates!$F$17,""))))))))</f>
        <v/>
      </c>
      <c r="H126" s="25"/>
      <c r="I126" s="25" t="str">
        <f ca="1">IF(B126="","",(C126*Thresholds_Rates!$C$12))</f>
        <v/>
      </c>
      <c r="J126" s="25"/>
      <c r="K126" s="4"/>
      <c r="L126" s="25" t="str">
        <f t="shared" ca="1" si="13"/>
        <v/>
      </c>
      <c r="M126" s="25" t="str">
        <f t="shared" ca="1" si="14"/>
        <v/>
      </c>
      <c r="N126" s="25" t="str">
        <f t="shared" ca="1" si="15"/>
        <v/>
      </c>
      <c r="O126" s="25" t="str">
        <f t="shared" ca="1" si="16"/>
        <v/>
      </c>
      <c r="P126" s="25" t="str">
        <f t="shared" ca="1" si="17"/>
        <v/>
      </c>
      <c r="R126" s="28"/>
      <c r="S126" s="29"/>
      <c r="T126" s="28"/>
      <c r="U126" s="29"/>
    </row>
    <row r="127" spans="2:21" x14ac:dyDescent="0.25">
      <c r="B127" s="4" t="str">
        <f ca="1">IFERROR(INDEX(Points_Lookup!$A:$A,MATCH($Z129,Points_Lookup!$AH:$AH,0)),"")</f>
        <v/>
      </c>
      <c r="C127" s="25" t="str">
        <f ca="1">IF(B127="","",IF($B$4="Apprenticeship",SUMIF(Points_Lookup!$AD:$AD,B127,Points_Lookup!$AF:$AF),IF(AND(OR($B$4="New Consultant Contract"),$B127&lt;&gt;""),INDEX(Points_Lookup!$N:$N,MATCH($B127,Points_Lookup!$M:$M,0)),IF(AND(OR($B$4="Clinical Lecturer / Medical Research Fellow",$B$4="Clinical Consultant - Old Contract (GP)"),$B127&lt;&gt;""),INDEX(Points_Lookup!$K:$K,MATCH($B127,Points_Lookup!$J:$J,0)),IF(AND(OR($B$4="APM Level 7",$B$4="R&amp;T Level 7",$B$4="APM Level 8"),B127&lt;&gt;""),INDEX(Points_Lookup!$E:$E,MATCH($Z127,Points_Lookup!$AH:$AH,0)),IF($B$4="R&amp;T Level 5 - Clinical Lecturers (Vet School)",SUMIF(Points_Lookup!$P:$P,$B127,Points_Lookup!$S:$S),IF($B$4="R&amp;T Level 6 - Clinical Associate Professors and Clinical Readers (Vet School)",SUMIF(Points_Lookup!$W:$W,$B127,Points_Lookup!$Z:$Z),IFERROR(INDEX(Points_Lookup!$B:$B,MATCH($Z127,Points_Lookup!$AH:$AH,0)),""))))))))</f>
        <v/>
      </c>
      <c r="D127" s="40"/>
      <c r="E127" s="25" t="str">
        <f ca="1">IF($B127="","",IF(AND($B$4="Salary Points 3 to 57",B127&lt;Thresholds_Rates!$C$16),"-",IF(SUMIF(Grades!$A:$A,$B$4,Grades!$BO:$BO)=0,"-",IF(AND($B$4="Salary Points 3 to 57",B127&gt;=Thresholds_Rates!$C$16),$C127*Thresholds_Rates!$F$15,IF(AND(OR($B$4="New Consultant Contract"),$B127&lt;&gt;""),$C127*Thresholds_Rates!$F$15,IF(AND(OR($B$4="Clinical Lecturer / Medical Research Fellow",$B$4="Clinical Consultant - Old Contract (GP)"),$B127&lt;&gt;""),$C127*Thresholds_Rates!$F$15,IF(OR($B$4="APM Level 7",$B$4="R&amp;T Level 7"),$C127*Thresholds_Rates!$F$15,IF(SUMIF(Grades!$A:$A,$B$4,Grades!$BO:$BO)=1,$C127*Thresholds_Rates!$F$15,""))))))))</f>
        <v/>
      </c>
      <c r="F127" s="25" t="str">
        <f ca="1">IF(B127="","",IF($B$4="Salary Points 1 to 57","-",IF(SUMIF(Grades!$A:$A,$B$4,Grades!$BP:$BP)=0,"-",IF(AND(OR($B$4="New Consultant Contract"),$B127&lt;&gt;""),$C127*Thresholds_Rates!$F$16,IF(AND(OR($B$4="Clinical Lecturer / Medical Research Fellow",$B$4="Clinical Consultant - Old Contract (GP)"),$B127&lt;&gt;""),$C127*Thresholds_Rates!$F$16,IF(AND(OR($B$4="APM Level 7",$B$4="R&amp;T Level 7"),E127&lt;&gt;""),$C127*Thresholds_Rates!$F$16,IF(SUMIF(Grades!$A:$A,$B$4,Grades!$BP:$BP)=1,$C127*Thresholds_Rates!$F$16,"")))))))</f>
        <v/>
      </c>
      <c r="G127" s="25" t="str">
        <f ca="1">IF(B127="","",IF(SUMIF(Grades!$A:$A,$B$4,Grades!$BQ:$BQ)=0,"-",IF(AND($B$4="Salary Points 1 to 57",B127&gt;Thresholds_Rates!$C$17),"-",IF(AND($B$4="Salary Points 1 to 57",B127&lt;=Thresholds_Rates!$C$17),$C127*Thresholds_Rates!$F$17,IF(AND(OR($B$4="New Consultant Contract"),$B127&lt;&gt;""),$C127*Thresholds_Rates!$F$17,IF(AND(OR($B$4="Clinical Lecturer / Medical Research Fellow",$B$4="Clinical Consultant - Old Contract (GP)"),$B127&lt;&gt;""),$C127*Thresholds_Rates!$F$17,IF(AND(OR($B$4="APM Level 7",$B$4="R&amp;T Level 7"),F127&lt;&gt;""),$C127*Thresholds_Rates!$F$17,IF(SUMIF(Grades!$A:$A,$B$4,Grades!$BQ:$BQ)=1,$C127*Thresholds_Rates!$F$17,""))))))))</f>
        <v/>
      </c>
      <c r="H127" s="25"/>
      <c r="I127" s="25" t="str">
        <f ca="1">IF(B127="","",(C127*Thresholds_Rates!$C$12))</f>
        <v/>
      </c>
      <c r="J127" s="25"/>
      <c r="K127" s="4"/>
      <c r="L127" s="25" t="str">
        <f t="shared" ca="1" si="13"/>
        <v/>
      </c>
      <c r="M127" s="25" t="str">
        <f t="shared" ca="1" si="14"/>
        <v/>
      </c>
      <c r="N127" s="25" t="str">
        <f t="shared" ca="1" si="15"/>
        <v/>
      </c>
      <c r="O127" s="25" t="str">
        <f t="shared" ca="1" si="16"/>
        <v/>
      </c>
      <c r="P127" s="25" t="str">
        <f t="shared" ca="1" si="17"/>
        <v/>
      </c>
      <c r="R127" s="28"/>
      <c r="S127" s="29"/>
      <c r="T127" s="28"/>
      <c r="U127" s="29"/>
    </row>
    <row r="128" spans="2:21" x14ac:dyDescent="0.25">
      <c r="B128" s="4" t="str">
        <f ca="1">IFERROR(INDEX(Points_Lookup!$A:$A,MATCH($Z130,Points_Lookup!$AH:$AH,0)),"")</f>
        <v/>
      </c>
      <c r="C128" s="25" t="str">
        <f ca="1">IF(B128="","",IF($B$4="Apprenticeship",SUMIF(Points_Lookup!$AD:$AD,B128,Points_Lookup!$AF:$AF),IF(AND(OR($B$4="New Consultant Contract"),$B128&lt;&gt;""),INDEX(Points_Lookup!$N:$N,MATCH($B128,Points_Lookup!$M:$M,0)),IF(AND(OR($B$4="Clinical Lecturer / Medical Research Fellow",$B$4="Clinical Consultant - Old Contract (GP)"),$B128&lt;&gt;""),INDEX(Points_Lookup!$K:$K,MATCH($B128,Points_Lookup!$J:$J,0)),IF(AND(OR($B$4="APM Level 7",$B$4="R&amp;T Level 7",$B$4="APM Level 8"),B128&lt;&gt;""),INDEX(Points_Lookup!$E:$E,MATCH($Z128,Points_Lookup!$AH:$AH,0)),IF($B$4="R&amp;T Level 5 - Clinical Lecturers (Vet School)",SUMIF(Points_Lookup!$P:$P,$B128,Points_Lookup!$S:$S),IF($B$4="R&amp;T Level 6 - Clinical Associate Professors and Clinical Readers (Vet School)",SUMIF(Points_Lookup!$W:$W,$B128,Points_Lookup!$Z:$Z),IFERROR(INDEX(Points_Lookup!$B:$B,MATCH($Z128,Points_Lookup!$AH:$AH,0)),""))))))))</f>
        <v/>
      </c>
      <c r="D128" s="40"/>
      <c r="E128" s="25" t="str">
        <f ca="1">IF($B128="","",IF(AND($B$4="Salary Points 3 to 57",B128&lt;Thresholds_Rates!$C$16),"-",IF(SUMIF(Grades!$A:$A,$B$4,Grades!$BO:$BO)=0,"-",IF(AND($B$4="Salary Points 3 to 57",B128&gt;=Thresholds_Rates!$C$16),$C128*Thresholds_Rates!$F$15,IF(AND(OR($B$4="New Consultant Contract"),$B128&lt;&gt;""),$C128*Thresholds_Rates!$F$15,IF(AND(OR($B$4="Clinical Lecturer / Medical Research Fellow",$B$4="Clinical Consultant - Old Contract (GP)"),$B128&lt;&gt;""),$C128*Thresholds_Rates!$F$15,IF(OR($B$4="APM Level 7",$B$4="R&amp;T Level 7"),$C128*Thresholds_Rates!$F$15,IF(SUMIF(Grades!$A:$A,$B$4,Grades!$BO:$BO)=1,$C128*Thresholds_Rates!$F$15,""))))))))</f>
        <v/>
      </c>
      <c r="F128" s="25" t="str">
        <f ca="1">IF(B128="","",IF($B$4="Salary Points 1 to 57","-",IF(SUMIF(Grades!$A:$A,$B$4,Grades!$BP:$BP)=0,"-",IF(AND(OR($B$4="New Consultant Contract"),$B128&lt;&gt;""),$C128*Thresholds_Rates!$F$16,IF(AND(OR($B$4="Clinical Lecturer / Medical Research Fellow",$B$4="Clinical Consultant - Old Contract (GP)"),$B128&lt;&gt;""),$C128*Thresholds_Rates!$F$16,IF(AND(OR($B$4="APM Level 7",$B$4="R&amp;T Level 7"),E128&lt;&gt;""),$C128*Thresholds_Rates!$F$16,IF(SUMIF(Grades!$A:$A,$B$4,Grades!$BP:$BP)=1,$C128*Thresholds_Rates!$F$16,"")))))))</f>
        <v/>
      </c>
      <c r="G128" s="25" t="str">
        <f ca="1">IF(B128="","",IF(SUMIF(Grades!$A:$A,$B$4,Grades!$BQ:$BQ)=0,"-",IF(AND($B$4="Salary Points 1 to 57",B128&gt;Thresholds_Rates!$C$17),"-",IF(AND($B$4="Salary Points 1 to 57",B128&lt;=Thresholds_Rates!$C$17),$C128*Thresholds_Rates!$F$17,IF(AND(OR($B$4="New Consultant Contract"),$B128&lt;&gt;""),$C128*Thresholds_Rates!$F$17,IF(AND(OR($B$4="Clinical Lecturer / Medical Research Fellow",$B$4="Clinical Consultant - Old Contract (GP)"),$B128&lt;&gt;""),$C128*Thresholds_Rates!$F$17,IF(AND(OR($B$4="APM Level 7",$B$4="R&amp;T Level 7"),F128&lt;&gt;""),$C128*Thresholds_Rates!$F$17,IF(SUMIF(Grades!$A:$A,$B$4,Grades!$BQ:$BQ)=1,$C128*Thresholds_Rates!$F$17,""))))))))</f>
        <v/>
      </c>
      <c r="H128" s="25"/>
      <c r="I128" s="25" t="str">
        <f ca="1">IF(B128="","",(C128*Thresholds_Rates!$C$12))</f>
        <v/>
      </c>
      <c r="J128" s="25"/>
      <c r="K128" s="4"/>
      <c r="L128" s="25" t="str">
        <f t="shared" ca="1" si="13"/>
        <v/>
      </c>
      <c r="M128" s="25" t="str">
        <f t="shared" ca="1" si="14"/>
        <v/>
      </c>
      <c r="N128" s="25" t="str">
        <f t="shared" ca="1" si="15"/>
        <v/>
      </c>
      <c r="O128" s="25" t="str">
        <f t="shared" ca="1" si="16"/>
        <v/>
      </c>
      <c r="P128" s="25" t="str">
        <f t="shared" ca="1" si="17"/>
        <v/>
      </c>
      <c r="R128" s="28"/>
      <c r="S128" s="29"/>
      <c r="T128" s="28"/>
      <c r="U128" s="29"/>
    </row>
    <row r="129" spans="2:21" x14ac:dyDescent="0.25">
      <c r="B129" s="4" t="str">
        <f ca="1">IFERROR(INDEX(Points_Lookup!$A:$A,MATCH($Z131,Points_Lookup!$AH:$AH,0)),"")</f>
        <v/>
      </c>
      <c r="C129" s="25" t="str">
        <f ca="1">IF(B129="","",IF($B$4="Apprenticeship",SUMIF(Points_Lookup!$AD:$AD,B129,Points_Lookup!$AF:$AF),IF(AND(OR($B$4="New Consultant Contract"),$B129&lt;&gt;""),INDEX(Points_Lookup!$N:$N,MATCH($B129,Points_Lookup!$M:$M,0)),IF(AND(OR($B$4="Clinical Lecturer / Medical Research Fellow",$B$4="Clinical Consultant - Old Contract (GP)"),$B129&lt;&gt;""),INDEX(Points_Lookup!$K:$K,MATCH($B129,Points_Lookup!$J:$J,0)),IF(AND(OR($B$4="APM Level 7",$B$4="R&amp;T Level 7",$B$4="APM Level 8"),B129&lt;&gt;""),INDEX(Points_Lookup!$E:$E,MATCH($Z129,Points_Lookup!$AH:$AH,0)),IF($B$4="R&amp;T Level 5 - Clinical Lecturers (Vet School)",SUMIF(Points_Lookup!$P:$P,$B129,Points_Lookup!$S:$S),IF($B$4="R&amp;T Level 6 - Clinical Associate Professors and Clinical Readers (Vet School)",SUMIF(Points_Lookup!$W:$W,$B129,Points_Lookup!$Z:$Z),IFERROR(INDEX(Points_Lookup!$B:$B,MATCH($Z129,Points_Lookup!$AH:$AH,0)),""))))))))</f>
        <v/>
      </c>
      <c r="D129" s="40"/>
      <c r="E129" s="25" t="str">
        <f ca="1">IF($B129="","",IF(AND($B$4="Salary Points 3 to 57",B129&lt;Thresholds_Rates!$C$16),"-",IF(SUMIF(Grades!$A:$A,$B$4,Grades!$BO:$BO)=0,"-",IF(AND($B$4="Salary Points 3 to 57",B129&gt;=Thresholds_Rates!$C$16),$C129*Thresholds_Rates!$F$15,IF(AND(OR($B$4="New Consultant Contract"),$B129&lt;&gt;""),$C129*Thresholds_Rates!$F$15,IF(AND(OR($B$4="Clinical Lecturer / Medical Research Fellow",$B$4="Clinical Consultant - Old Contract (GP)"),$B129&lt;&gt;""),$C129*Thresholds_Rates!$F$15,IF(OR($B$4="APM Level 7",$B$4="R&amp;T Level 7"),$C129*Thresholds_Rates!$F$15,IF(SUMIF(Grades!$A:$A,$B$4,Grades!$BO:$BO)=1,$C129*Thresholds_Rates!$F$15,""))))))))</f>
        <v/>
      </c>
      <c r="F129" s="25" t="str">
        <f ca="1">IF(B129="","",IF($B$4="Salary Points 1 to 57","-",IF(SUMIF(Grades!$A:$A,$B$4,Grades!$BP:$BP)=0,"-",IF(AND(OR($B$4="New Consultant Contract"),$B129&lt;&gt;""),$C129*Thresholds_Rates!$F$16,IF(AND(OR($B$4="Clinical Lecturer / Medical Research Fellow",$B$4="Clinical Consultant - Old Contract (GP)"),$B129&lt;&gt;""),$C129*Thresholds_Rates!$F$16,IF(AND(OR($B$4="APM Level 7",$B$4="R&amp;T Level 7"),E129&lt;&gt;""),$C129*Thresholds_Rates!$F$16,IF(SUMIF(Grades!$A:$A,$B$4,Grades!$BP:$BP)=1,$C129*Thresholds_Rates!$F$16,"")))))))</f>
        <v/>
      </c>
      <c r="G129" s="25" t="str">
        <f ca="1">IF(B129="","",IF(SUMIF(Grades!$A:$A,$B$4,Grades!$BQ:$BQ)=0,"-",IF(AND($B$4="Salary Points 1 to 57",B129&gt;Thresholds_Rates!$C$17),"-",IF(AND($B$4="Salary Points 1 to 57",B129&lt;=Thresholds_Rates!$C$17),$C129*Thresholds_Rates!$F$17,IF(AND(OR($B$4="New Consultant Contract"),$B129&lt;&gt;""),$C129*Thresholds_Rates!$F$17,IF(AND(OR($B$4="Clinical Lecturer / Medical Research Fellow",$B$4="Clinical Consultant - Old Contract (GP)"),$B129&lt;&gt;""),$C129*Thresholds_Rates!$F$17,IF(AND(OR($B$4="APM Level 7",$B$4="R&amp;T Level 7"),F129&lt;&gt;""),$C129*Thresholds_Rates!$F$17,IF(SUMIF(Grades!$A:$A,$B$4,Grades!$BQ:$BQ)=1,$C129*Thresholds_Rates!$F$17,""))))))))</f>
        <v/>
      </c>
      <c r="H129" s="25"/>
      <c r="I129" s="25" t="str">
        <f ca="1">IF(B129="","",(C129*Thresholds_Rates!$C$12))</f>
        <v/>
      </c>
      <c r="J129" s="25"/>
      <c r="K129" s="4"/>
      <c r="L129" s="25" t="str">
        <f t="shared" ca="1" si="13"/>
        <v/>
      </c>
      <c r="M129" s="25" t="str">
        <f t="shared" ca="1" si="14"/>
        <v/>
      </c>
      <c r="N129" s="25" t="str">
        <f t="shared" ca="1" si="15"/>
        <v/>
      </c>
      <c r="O129" s="25" t="str">
        <f t="shared" ca="1" si="16"/>
        <v/>
      </c>
      <c r="P129" s="25" t="str">
        <f t="shared" ca="1" si="17"/>
        <v/>
      </c>
      <c r="R129" s="28"/>
      <c r="S129" s="29"/>
      <c r="T129" s="28"/>
      <c r="U129" s="29"/>
    </row>
    <row r="130" spans="2:21" x14ac:dyDescent="0.25">
      <c r="B130" s="4" t="str">
        <f ca="1">IFERROR(INDEX(Points_Lookup!$A:$A,MATCH($Z132,Points_Lookup!$AH:$AH,0)),"")</f>
        <v/>
      </c>
      <c r="C130" s="25" t="str">
        <f ca="1">IF(B130="","",IF($B$4="Apprenticeship",SUMIF(Points_Lookup!$AD:$AD,B130,Points_Lookup!$AF:$AF),IF(AND(OR($B$4="New Consultant Contract"),$B130&lt;&gt;""),INDEX(Points_Lookup!$N:$N,MATCH($B130,Points_Lookup!$M:$M,0)),IF(AND(OR($B$4="Clinical Lecturer / Medical Research Fellow",$B$4="Clinical Consultant - Old Contract (GP)"),$B130&lt;&gt;""),INDEX(Points_Lookup!$K:$K,MATCH($B130,Points_Lookup!$J:$J,0)),IF(AND(OR($B$4="APM Level 7",$B$4="R&amp;T Level 7",$B$4="APM Level 8"),B130&lt;&gt;""),INDEX(Points_Lookup!$E:$E,MATCH($Z130,Points_Lookup!$AH:$AH,0)),IF($B$4="R&amp;T Level 5 - Clinical Lecturers (Vet School)",SUMIF(Points_Lookup!$P:$P,$B130,Points_Lookup!$S:$S),IF($B$4="R&amp;T Level 6 - Clinical Associate Professors and Clinical Readers (Vet School)",SUMIF(Points_Lookup!$W:$W,$B130,Points_Lookup!$Z:$Z),IFERROR(INDEX(Points_Lookup!$B:$B,MATCH($Z130,Points_Lookup!$AH:$AH,0)),""))))))))</f>
        <v/>
      </c>
      <c r="D130" s="40"/>
      <c r="E130" s="25" t="str">
        <f ca="1">IF($B130="","",IF(AND($B$4="Salary Points 3 to 57",B130&lt;Thresholds_Rates!$C$16),"-",IF(SUMIF(Grades!$A:$A,$B$4,Grades!$BO:$BO)=0,"-",IF(AND($B$4="Salary Points 3 to 57",B130&gt;=Thresholds_Rates!$C$16),$C130*Thresholds_Rates!$F$15,IF(AND(OR($B$4="New Consultant Contract"),$B130&lt;&gt;""),$C130*Thresholds_Rates!$F$15,IF(AND(OR($B$4="Clinical Lecturer / Medical Research Fellow",$B$4="Clinical Consultant - Old Contract (GP)"),$B130&lt;&gt;""),$C130*Thresholds_Rates!$F$15,IF(OR($B$4="APM Level 7",$B$4="R&amp;T Level 7"),$C130*Thresholds_Rates!$F$15,IF(SUMIF(Grades!$A:$A,$B$4,Grades!$BO:$BO)=1,$C130*Thresholds_Rates!$F$15,""))))))))</f>
        <v/>
      </c>
      <c r="F130" s="25" t="str">
        <f ca="1">IF(B130="","",IF($B$4="Salary Points 1 to 57","-",IF(SUMIF(Grades!$A:$A,$B$4,Grades!$BP:$BP)=0,"-",IF(AND(OR($B$4="New Consultant Contract"),$B130&lt;&gt;""),$C130*Thresholds_Rates!$F$16,IF(AND(OR($B$4="Clinical Lecturer / Medical Research Fellow",$B$4="Clinical Consultant - Old Contract (GP)"),$B130&lt;&gt;""),$C130*Thresholds_Rates!$F$16,IF(AND(OR($B$4="APM Level 7",$B$4="R&amp;T Level 7"),E130&lt;&gt;""),$C130*Thresholds_Rates!$F$16,IF(SUMIF(Grades!$A:$A,$B$4,Grades!$BP:$BP)=1,$C130*Thresholds_Rates!$F$16,"")))))))</f>
        <v/>
      </c>
      <c r="G130" s="25" t="str">
        <f ca="1">IF(B130="","",IF(SUMIF(Grades!$A:$A,$B$4,Grades!$BQ:$BQ)=0,"-",IF(AND($B$4="Salary Points 1 to 57",B130&gt;Thresholds_Rates!$C$17),"-",IF(AND($B$4="Salary Points 1 to 57",B130&lt;=Thresholds_Rates!$C$17),$C130*Thresholds_Rates!$F$17,IF(AND(OR($B$4="New Consultant Contract"),$B130&lt;&gt;""),$C130*Thresholds_Rates!$F$17,IF(AND(OR($B$4="Clinical Lecturer / Medical Research Fellow",$B$4="Clinical Consultant - Old Contract (GP)"),$B130&lt;&gt;""),$C130*Thresholds_Rates!$F$17,IF(AND(OR($B$4="APM Level 7",$B$4="R&amp;T Level 7"),F130&lt;&gt;""),$C130*Thresholds_Rates!$F$17,IF(SUMIF(Grades!$A:$A,$B$4,Grades!$BQ:$BQ)=1,$C130*Thresholds_Rates!$F$17,""))))))))</f>
        <v/>
      </c>
      <c r="H130" s="25"/>
      <c r="I130" s="25" t="str">
        <f ca="1">IF(B130="","",(C130*Thresholds_Rates!$C$12))</f>
        <v/>
      </c>
      <c r="J130" s="25"/>
      <c r="K130" s="4"/>
      <c r="L130" s="25" t="str">
        <f t="shared" ca="1" si="13"/>
        <v/>
      </c>
      <c r="M130" s="25" t="str">
        <f t="shared" ca="1" si="14"/>
        <v/>
      </c>
      <c r="N130" s="25" t="str">
        <f t="shared" ca="1" si="15"/>
        <v/>
      </c>
      <c r="O130" s="25" t="str">
        <f t="shared" ca="1" si="16"/>
        <v/>
      </c>
      <c r="P130" s="25" t="str">
        <f t="shared" ca="1" si="17"/>
        <v/>
      </c>
      <c r="R130" s="28"/>
      <c r="S130" s="29"/>
      <c r="T130" s="28"/>
      <c r="U130" s="29"/>
    </row>
    <row r="131" spans="2:21" x14ac:dyDescent="0.25">
      <c r="B131" s="4" t="str">
        <f ca="1">IFERROR(INDEX(Points_Lookup!$A:$A,MATCH($Z133,Points_Lookup!$AH:$AH,0)),"")</f>
        <v/>
      </c>
      <c r="C131" s="25" t="str">
        <f ca="1">IF(B131="","",IF($B$4="Apprenticeship",SUMIF(Points_Lookup!$AD:$AD,B131,Points_Lookup!$AF:$AF),IF(AND(OR($B$4="New Consultant Contract"),$B131&lt;&gt;""),INDEX(Points_Lookup!$N:$N,MATCH($B131,Points_Lookup!$M:$M,0)),IF(AND(OR($B$4="Clinical Lecturer / Medical Research Fellow",$B$4="Clinical Consultant - Old Contract (GP)"),$B131&lt;&gt;""),INDEX(Points_Lookup!$K:$K,MATCH($B131,Points_Lookup!$J:$J,0)),IF(AND(OR($B$4="APM Level 7",$B$4="R&amp;T Level 7",$B$4="APM Level 8"),B131&lt;&gt;""),INDEX(Points_Lookup!$E:$E,MATCH($Z131,Points_Lookup!$AH:$AH,0)),IF($B$4="R&amp;T Level 5 - Clinical Lecturers (Vet School)",SUMIF(Points_Lookup!$P:$P,$B131,Points_Lookup!$S:$S),IF($B$4="R&amp;T Level 6 - Clinical Associate Professors and Clinical Readers (Vet School)",SUMIF(Points_Lookup!$W:$W,$B131,Points_Lookup!$Z:$Z),IFERROR(INDEX(Points_Lookup!$B:$B,MATCH($Z131,Points_Lookup!$AH:$AH,0)),""))))))))</f>
        <v/>
      </c>
      <c r="D131" s="40"/>
      <c r="E131" s="25" t="str">
        <f ca="1">IF($B131="","",IF(AND($B$4="Salary Points 3 to 57",B131&lt;Thresholds_Rates!$C$16),"-",IF(SUMIF(Grades!$A:$A,$B$4,Grades!$BO:$BO)=0,"-",IF(AND($B$4="Salary Points 3 to 57",B131&gt;=Thresholds_Rates!$C$16),$C131*Thresholds_Rates!$F$15,IF(AND(OR($B$4="New Consultant Contract"),$B131&lt;&gt;""),$C131*Thresholds_Rates!$F$15,IF(AND(OR($B$4="Clinical Lecturer / Medical Research Fellow",$B$4="Clinical Consultant - Old Contract (GP)"),$B131&lt;&gt;""),$C131*Thresholds_Rates!$F$15,IF(OR($B$4="APM Level 7",$B$4="R&amp;T Level 7"),$C131*Thresholds_Rates!$F$15,IF(SUMIF(Grades!$A:$A,$B$4,Grades!$BO:$BO)=1,$C131*Thresholds_Rates!$F$15,""))))))))</f>
        <v/>
      </c>
      <c r="F131" s="25" t="str">
        <f ca="1">IF(B131="","",IF($B$4="Salary Points 1 to 57","-",IF(SUMIF(Grades!$A:$A,$B$4,Grades!$BP:$BP)=0,"-",IF(AND(OR($B$4="New Consultant Contract"),$B131&lt;&gt;""),$C131*Thresholds_Rates!$F$16,IF(AND(OR($B$4="Clinical Lecturer / Medical Research Fellow",$B$4="Clinical Consultant - Old Contract (GP)"),$B131&lt;&gt;""),$C131*Thresholds_Rates!$F$16,IF(AND(OR($B$4="APM Level 7",$B$4="R&amp;T Level 7"),E131&lt;&gt;""),$C131*Thresholds_Rates!$F$16,IF(SUMIF(Grades!$A:$A,$B$4,Grades!$BP:$BP)=1,$C131*Thresholds_Rates!$F$16,"")))))))</f>
        <v/>
      </c>
      <c r="G131" s="25" t="str">
        <f ca="1">IF(B131="","",IF(SUMIF(Grades!$A:$A,$B$4,Grades!$BQ:$BQ)=0,"-",IF(AND($B$4="Salary Points 1 to 57",B131&gt;Thresholds_Rates!$C$17),"-",IF(AND($B$4="Salary Points 1 to 57",B131&lt;=Thresholds_Rates!$C$17),$C131*Thresholds_Rates!$F$17,IF(AND(OR($B$4="New Consultant Contract"),$B131&lt;&gt;""),$C131*Thresholds_Rates!$F$17,IF(AND(OR($B$4="Clinical Lecturer / Medical Research Fellow",$B$4="Clinical Consultant - Old Contract (GP)"),$B131&lt;&gt;""),$C131*Thresholds_Rates!$F$17,IF(AND(OR($B$4="APM Level 7",$B$4="R&amp;T Level 7"),F131&lt;&gt;""),$C131*Thresholds_Rates!$F$17,IF(SUMIF(Grades!$A:$A,$B$4,Grades!$BQ:$BQ)=1,$C131*Thresholds_Rates!$F$17,""))))))))</f>
        <v/>
      </c>
      <c r="H131" s="25"/>
      <c r="I131" s="25" t="str">
        <f ca="1">IF(B131="","",(C131*Thresholds_Rates!$C$12))</f>
        <v/>
      </c>
      <c r="J131" s="25"/>
      <c r="K131" s="4"/>
      <c r="L131" s="25" t="str">
        <f t="shared" ca="1" si="13"/>
        <v/>
      </c>
      <c r="M131" s="25" t="str">
        <f t="shared" ca="1" si="14"/>
        <v/>
      </c>
      <c r="N131" s="25" t="str">
        <f t="shared" ca="1" si="15"/>
        <v/>
      </c>
      <c r="O131" s="25" t="str">
        <f t="shared" ca="1" si="16"/>
        <v/>
      </c>
      <c r="P131" s="25" t="str">
        <f t="shared" ca="1" si="17"/>
        <v/>
      </c>
      <c r="R131" s="28"/>
      <c r="S131" s="29"/>
      <c r="T131" s="28"/>
      <c r="U131" s="29"/>
    </row>
    <row r="132" spans="2:21" x14ac:dyDescent="0.25">
      <c r="B132" s="4" t="str">
        <f ca="1">IFERROR(INDEX(Points_Lookup!$A:$A,MATCH($Z134,Points_Lookup!$AH:$AH,0)),"")</f>
        <v/>
      </c>
      <c r="C132" s="25" t="str">
        <f ca="1">IF(B132="","",IF($B$4="Apprenticeship",SUMIF(Points_Lookup!$AD:$AD,B132,Points_Lookup!$AF:$AF),IF(AND(OR($B$4="New Consultant Contract"),$B132&lt;&gt;""),INDEX(Points_Lookup!$N:$N,MATCH($B132,Points_Lookup!$M:$M,0)),IF(AND(OR($B$4="Clinical Lecturer / Medical Research Fellow",$B$4="Clinical Consultant - Old Contract (GP)"),$B132&lt;&gt;""),INDEX(Points_Lookup!$K:$K,MATCH($B132,Points_Lookup!$J:$J,0)),IF(AND(OR($B$4="APM Level 7",$B$4="R&amp;T Level 7",$B$4="APM Level 8"),B132&lt;&gt;""),INDEX(Points_Lookup!$E:$E,MATCH($Z132,Points_Lookup!$AH:$AH,0)),IF($B$4="R&amp;T Level 5 - Clinical Lecturers (Vet School)",SUMIF(Points_Lookup!$P:$P,$B132,Points_Lookup!$S:$S),IF($B$4="R&amp;T Level 6 - Clinical Associate Professors and Clinical Readers (Vet School)",SUMIF(Points_Lookup!$W:$W,$B132,Points_Lookup!$Z:$Z),IFERROR(INDEX(Points_Lookup!$B:$B,MATCH($Z132,Points_Lookup!$AH:$AH,0)),""))))))))</f>
        <v/>
      </c>
      <c r="D132" s="40"/>
      <c r="E132" s="25" t="str">
        <f ca="1">IF($B132="","",IF(AND($B$4="Salary Points 3 to 57",B132&lt;Thresholds_Rates!$C$16),"-",IF(SUMIF(Grades!$A:$A,$B$4,Grades!$BO:$BO)=0,"-",IF(AND($B$4="Salary Points 3 to 57",B132&gt;=Thresholds_Rates!$C$16),$C132*Thresholds_Rates!$F$15,IF(AND(OR($B$4="New Consultant Contract"),$B132&lt;&gt;""),$C132*Thresholds_Rates!$F$15,IF(AND(OR($B$4="Clinical Lecturer / Medical Research Fellow",$B$4="Clinical Consultant - Old Contract (GP)"),$B132&lt;&gt;""),$C132*Thresholds_Rates!$F$15,IF(OR($B$4="APM Level 7",$B$4="R&amp;T Level 7"),$C132*Thresholds_Rates!$F$15,IF(SUMIF(Grades!$A:$A,$B$4,Grades!$BO:$BO)=1,$C132*Thresholds_Rates!$F$15,""))))))))</f>
        <v/>
      </c>
      <c r="F132" s="25" t="str">
        <f ca="1">IF(B132="","",IF($B$4="Salary Points 1 to 57","-",IF(SUMIF(Grades!$A:$A,$B$4,Grades!$BP:$BP)=0,"-",IF(AND(OR($B$4="New Consultant Contract"),$B132&lt;&gt;""),$C132*Thresholds_Rates!$F$16,IF(AND(OR($B$4="Clinical Lecturer / Medical Research Fellow",$B$4="Clinical Consultant - Old Contract (GP)"),$B132&lt;&gt;""),$C132*Thresholds_Rates!$F$16,IF(AND(OR($B$4="APM Level 7",$B$4="R&amp;T Level 7"),E132&lt;&gt;""),$C132*Thresholds_Rates!$F$16,IF(SUMIF(Grades!$A:$A,$B$4,Grades!$BP:$BP)=1,$C132*Thresholds_Rates!$F$16,"")))))))</f>
        <v/>
      </c>
      <c r="G132" s="25" t="str">
        <f ca="1">IF(B132="","",IF(SUMIF(Grades!$A:$A,$B$4,Grades!$BQ:$BQ)=0,"-",IF(AND($B$4="Salary Points 1 to 57",B132&gt;Thresholds_Rates!$C$17),"-",IF(AND($B$4="Salary Points 1 to 57",B132&lt;=Thresholds_Rates!$C$17),$C132*Thresholds_Rates!$F$17,IF(AND(OR($B$4="New Consultant Contract"),$B132&lt;&gt;""),$C132*Thresholds_Rates!$F$17,IF(AND(OR($B$4="Clinical Lecturer / Medical Research Fellow",$B$4="Clinical Consultant - Old Contract (GP)"),$B132&lt;&gt;""),$C132*Thresholds_Rates!$F$17,IF(AND(OR($B$4="APM Level 7",$B$4="R&amp;T Level 7"),F132&lt;&gt;""),$C132*Thresholds_Rates!$F$17,IF(SUMIF(Grades!$A:$A,$B$4,Grades!$BQ:$BQ)=1,$C132*Thresholds_Rates!$F$17,""))))))))</f>
        <v/>
      </c>
      <c r="H132" s="25"/>
      <c r="I132" s="25" t="str">
        <f ca="1">IF(B132="","",(C132*Thresholds_Rates!$C$12))</f>
        <v/>
      </c>
      <c r="J132" s="25"/>
      <c r="K132" s="4"/>
      <c r="L132" s="25" t="str">
        <f t="shared" ca="1" si="13"/>
        <v/>
      </c>
      <c r="M132" s="25" t="str">
        <f t="shared" ca="1" si="14"/>
        <v/>
      </c>
      <c r="N132" s="25" t="str">
        <f t="shared" ca="1" si="15"/>
        <v/>
      </c>
      <c r="O132" s="25" t="str">
        <f t="shared" ca="1" si="16"/>
        <v/>
      </c>
      <c r="P132" s="25" t="str">
        <f t="shared" ca="1" si="17"/>
        <v/>
      </c>
      <c r="R132" s="28"/>
      <c r="S132" s="29"/>
      <c r="T132" s="28"/>
      <c r="U132" s="29"/>
    </row>
    <row r="133" spans="2:21" x14ac:dyDescent="0.25">
      <c r="B133" s="4" t="str">
        <f ca="1">IFERROR(INDEX(Points_Lookup!$A:$A,MATCH($Z135,Points_Lookup!$AH:$AH,0)),"")</f>
        <v/>
      </c>
      <c r="C133" s="25" t="str">
        <f ca="1">IF(B133="","",IF($B$4="Apprenticeship",SUMIF(Points_Lookup!$AD:$AD,B133,Points_Lookup!$AF:$AF),IF(AND(OR($B$4="New Consultant Contract"),$B133&lt;&gt;""),INDEX(Points_Lookup!$N:$N,MATCH($B133,Points_Lookup!$M:$M,0)),IF(AND(OR($B$4="Clinical Lecturer / Medical Research Fellow",$B$4="Clinical Consultant - Old Contract (GP)"),$B133&lt;&gt;""),INDEX(Points_Lookup!$K:$K,MATCH($B133,Points_Lookup!$J:$J,0)),IF(AND(OR($B$4="APM Level 7",$B$4="R&amp;T Level 7",$B$4="APM Level 8"),B133&lt;&gt;""),INDEX(Points_Lookup!$E:$E,MATCH($Z133,Points_Lookup!$AH:$AH,0)),IF($B$4="R&amp;T Level 5 - Clinical Lecturers (Vet School)",SUMIF(Points_Lookup!$P:$P,$B133,Points_Lookup!$S:$S),IF($B$4="R&amp;T Level 6 - Clinical Associate Professors and Clinical Readers (Vet School)",SUMIF(Points_Lookup!$W:$W,$B133,Points_Lookup!$Z:$Z),IFERROR(INDEX(Points_Lookup!$B:$B,MATCH($Z133,Points_Lookup!$AH:$AH,0)),""))))))))</f>
        <v/>
      </c>
      <c r="D133" s="40"/>
      <c r="E133" s="25" t="str">
        <f ca="1">IF($B133="","",IF(AND($B$4="Salary Points 3 to 57",B133&lt;Thresholds_Rates!$C$16),"-",IF(SUMIF(Grades!$A:$A,$B$4,Grades!$BO:$BO)=0,"-",IF(AND($B$4="Salary Points 3 to 57",B133&gt;=Thresholds_Rates!$C$16),$C133*Thresholds_Rates!$F$15,IF(AND(OR($B$4="New Consultant Contract"),$B133&lt;&gt;""),$C133*Thresholds_Rates!$F$15,IF(AND(OR($B$4="Clinical Lecturer / Medical Research Fellow",$B$4="Clinical Consultant - Old Contract (GP)"),$B133&lt;&gt;""),$C133*Thresholds_Rates!$F$15,IF(OR($B$4="APM Level 7",$B$4="R&amp;T Level 7"),$C133*Thresholds_Rates!$F$15,IF(SUMIF(Grades!$A:$A,$B$4,Grades!$BO:$BO)=1,$C133*Thresholds_Rates!$F$15,""))))))))</f>
        <v/>
      </c>
      <c r="F133" s="25" t="str">
        <f ca="1">IF(B133="","",IF($B$4="Salary Points 1 to 57","-",IF(SUMIF(Grades!$A:$A,$B$4,Grades!$BP:$BP)=0,"-",IF(AND(OR($B$4="New Consultant Contract"),$B133&lt;&gt;""),$C133*Thresholds_Rates!$F$16,IF(AND(OR($B$4="Clinical Lecturer / Medical Research Fellow",$B$4="Clinical Consultant - Old Contract (GP)"),$B133&lt;&gt;""),$C133*Thresholds_Rates!$F$16,IF(AND(OR($B$4="APM Level 7",$B$4="R&amp;T Level 7"),E133&lt;&gt;""),$C133*Thresholds_Rates!$F$16,IF(SUMIF(Grades!$A:$A,$B$4,Grades!$BP:$BP)=1,$C133*Thresholds_Rates!$F$16,"")))))))</f>
        <v/>
      </c>
      <c r="G133" s="25" t="str">
        <f ca="1">IF(B133="","",IF(SUMIF(Grades!$A:$A,$B$4,Grades!$BQ:$BQ)=0,"-",IF(AND($B$4="Salary Points 1 to 57",B133&gt;Thresholds_Rates!$C$17),"-",IF(AND($B$4="Salary Points 1 to 57",B133&lt;=Thresholds_Rates!$C$17),$C133*Thresholds_Rates!$F$17,IF(AND(OR($B$4="New Consultant Contract"),$B133&lt;&gt;""),$C133*Thresholds_Rates!$F$17,IF(AND(OR($B$4="Clinical Lecturer / Medical Research Fellow",$B$4="Clinical Consultant - Old Contract (GP)"),$B133&lt;&gt;""),$C133*Thresholds_Rates!$F$17,IF(AND(OR($B$4="APM Level 7",$B$4="R&amp;T Level 7"),F133&lt;&gt;""),$C133*Thresholds_Rates!$F$17,IF(SUMIF(Grades!$A:$A,$B$4,Grades!$BQ:$BQ)=1,$C133*Thresholds_Rates!$F$17,""))))))))</f>
        <v/>
      </c>
      <c r="H133" s="25"/>
      <c r="I133" s="25" t="str">
        <f ca="1">IF(B133="","",(C133*Thresholds_Rates!$C$12))</f>
        <v/>
      </c>
      <c r="J133" s="25"/>
      <c r="K133" s="4"/>
      <c r="L133" s="25" t="str">
        <f t="shared" ca="1" si="13"/>
        <v/>
      </c>
      <c r="M133" s="25" t="str">
        <f t="shared" ca="1" si="14"/>
        <v/>
      </c>
      <c r="N133" s="25" t="str">
        <f t="shared" ca="1" si="15"/>
        <v/>
      </c>
      <c r="O133" s="25" t="str">
        <f t="shared" ca="1" si="16"/>
        <v/>
      </c>
      <c r="P133" s="25" t="str">
        <f t="shared" ca="1" si="17"/>
        <v/>
      </c>
      <c r="R133" s="28"/>
      <c r="S133" s="29"/>
      <c r="T133" s="28"/>
      <c r="U133" s="29"/>
    </row>
    <row r="134" spans="2:21" x14ac:dyDescent="0.25">
      <c r="B134" s="4" t="str">
        <f ca="1">IFERROR(INDEX(Points_Lookup!$A:$A,MATCH($Z136,Points_Lookup!$AH:$AH,0)),"")</f>
        <v/>
      </c>
      <c r="C134" s="25" t="str">
        <f ca="1">IF(B134="","",IF($B$4="Apprenticeship",SUMIF(Points_Lookup!$AD:$AD,B134,Points_Lookup!$AF:$AF),IF(AND(OR($B$4="New Consultant Contract"),$B134&lt;&gt;""),INDEX(Points_Lookup!$N:$N,MATCH($B134,Points_Lookup!$M:$M,0)),IF(AND(OR($B$4="Clinical Lecturer / Medical Research Fellow",$B$4="Clinical Consultant - Old Contract (GP)"),$B134&lt;&gt;""),INDEX(Points_Lookup!$K:$K,MATCH($B134,Points_Lookup!$J:$J,0)),IF(AND(OR($B$4="APM Level 7",$B$4="R&amp;T Level 7",$B$4="APM Level 8"),B134&lt;&gt;""),INDEX(Points_Lookup!$E:$E,MATCH($Z134,Points_Lookup!$AH:$AH,0)),IF($B$4="R&amp;T Level 5 - Clinical Lecturers (Vet School)",SUMIF(Points_Lookup!$P:$P,$B134,Points_Lookup!$S:$S),IF($B$4="R&amp;T Level 6 - Clinical Associate Professors and Clinical Readers (Vet School)",SUMIF(Points_Lookup!$W:$W,$B134,Points_Lookup!$Z:$Z),IFERROR(INDEX(Points_Lookup!$B:$B,MATCH($Z134,Points_Lookup!$AH:$AH,0)),""))))))))</f>
        <v/>
      </c>
      <c r="D134" s="40"/>
      <c r="E134" s="25" t="str">
        <f ca="1">IF($B134="","",IF(AND($B$4="Salary Points 3 to 57",B134&lt;Thresholds_Rates!$C$16),"-",IF(SUMIF(Grades!$A:$A,$B$4,Grades!$BO:$BO)=0,"-",IF(AND($B$4="Salary Points 3 to 57",B134&gt;=Thresholds_Rates!$C$16),$C134*Thresholds_Rates!$F$15,IF(AND(OR($B$4="New Consultant Contract"),$B134&lt;&gt;""),$C134*Thresholds_Rates!$F$15,IF(AND(OR($B$4="Clinical Lecturer / Medical Research Fellow",$B$4="Clinical Consultant - Old Contract (GP)"),$B134&lt;&gt;""),$C134*Thresholds_Rates!$F$15,IF(OR($B$4="APM Level 7",$B$4="R&amp;T Level 7"),$C134*Thresholds_Rates!$F$15,IF(SUMIF(Grades!$A:$A,$B$4,Grades!$BO:$BO)=1,$C134*Thresholds_Rates!$F$15,""))))))))</f>
        <v/>
      </c>
      <c r="F134" s="25" t="str">
        <f ca="1">IF(B134="","",IF($B$4="Salary Points 1 to 57","-",IF(SUMIF(Grades!$A:$A,$B$4,Grades!$BP:$BP)=0,"-",IF(AND(OR($B$4="New Consultant Contract"),$B134&lt;&gt;""),$C134*Thresholds_Rates!$F$16,IF(AND(OR($B$4="Clinical Lecturer / Medical Research Fellow",$B$4="Clinical Consultant - Old Contract (GP)"),$B134&lt;&gt;""),$C134*Thresholds_Rates!$F$16,IF(AND(OR($B$4="APM Level 7",$B$4="R&amp;T Level 7"),E134&lt;&gt;""),$C134*Thresholds_Rates!$F$16,IF(SUMIF(Grades!$A:$A,$B$4,Grades!$BP:$BP)=1,$C134*Thresholds_Rates!$F$16,"")))))))</f>
        <v/>
      </c>
      <c r="G134" s="25" t="str">
        <f ca="1">IF(B134="","",IF(SUMIF(Grades!$A:$A,$B$4,Grades!$BQ:$BQ)=0,"-",IF(AND($B$4="Salary Points 1 to 57",B134&gt;Thresholds_Rates!$C$17),"-",IF(AND($B$4="Salary Points 1 to 57",B134&lt;=Thresholds_Rates!$C$17),$C134*Thresholds_Rates!$F$17,IF(AND(OR($B$4="New Consultant Contract"),$B134&lt;&gt;""),$C134*Thresholds_Rates!$F$17,IF(AND(OR($B$4="Clinical Lecturer / Medical Research Fellow",$B$4="Clinical Consultant - Old Contract (GP)"),$B134&lt;&gt;""),$C134*Thresholds_Rates!$F$17,IF(AND(OR($B$4="APM Level 7",$B$4="R&amp;T Level 7"),F134&lt;&gt;""),$C134*Thresholds_Rates!$F$17,IF(SUMIF(Grades!$A:$A,$B$4,Grades!$BQ:$BQ)=1,$C134*Thresholds_Rates!$F$17,""))))))))</f>
        <v/>
      </c>
      <c r="H134" s="25"/>
      <c r="I134" s="25" t="str">
        <f ca="1">IF(B134="","",(C134*Thresholds_Rates!$C$12))</f>
        <v/>
      </c>
      <c r="J134" s="25"/>
      <c r="K134" s="4"/>
      <c r="L134" s="25" t="str">
        <f t="shared" ca="1" si="13"/>
        <v/>
      </c>
      <c r="M134" s="25" t="str">
        <f t="shared" ca="1" si="14"/>
        <v/>
      </c>
      <c r="N134" s="25" t="str">
        <f t="shared" ca="1" si="15"/>
        <v/>
      </c>
      <c r="O134" s="25" t="str">
        <f t="shared" ca="1" si="16"/>
        <v/>
      </c>
      <c r="P134" s="25" t="str">
        <f t="shared" ca="1" si="17"/>
        <v/>
      </c>
      <c r="R134" s="28"/>
      <c r="S134" s="29"/>
      <c r="T134" s="28"/>
      <c r="U134" s="29"/>
    </row>
    <row r="135" spans="2:21" x14ac:dyDescent="0.25">
      <c r="B135" s="4" t="str">
        <f ca="1">IFERROR(INDEX(Points_Lookup!$A:$A,MATCH($Z137,Points_Lookup!$AH:$AH,0)),"")</f>
        <v/>
      </c>
      <c r="C135" s="25" t="str">
        <f ca="1">IF(B135="","",IF($B$4="Apprenticeship",SUMIF(Points_Lookup!$AD:$AD,B135,Points_Lookup!$AF:$AF),IF(AND(OR($B$4="New Consultant Contract"),$B135&lt;&gt;""),INDEX(Points_Lookup!$N:$N,MATCH($B135,Points_Lookup!$M:$M,0)),IF(AND(OR($B$4="Clinical Lecturer / Medical Research Fellow",$B$4="Clinical Consultant - Old Contract (GP)"),$B135&lt;&gt;""),INDEX(Points_Lookup!$K:$K,MATCH($B135,Points_Lookup!$J:$J,0)),IF(AND(OR($B$4="APM Level 7",$B$4="R&amp;T Level 7",$B$4="APM Level 8"),B135&lt;&gt;""),INDEX(Points_Lookup!$E:$E,MATCH($Z135,Points_Lookup!$AH:$AH,0)),IF($B$4="R&amp;T Level 5 - Clinical Lecturers (Vet School)",SUMIF(Points_Lookup!$P:$P,$B135,Points_Lookup!$S:$S),IF($B$4="R&amp;T Level 6 - Clinical Associate Professors and Clinical Readers (Vet School)",SUMIF(Points_Lookup!$W:$W,$B135,Points_Lookup!$Z:$Z),IFERROR(INDEX(Points_Lookup!$B:$B,MATCH($Z135,Points_Lookup!$AH:$AH,0)),""))))))))</f>
        <v/>
      </c>
      <c r="D135" s="40"/>
      <c r="E135" s="25" t="str">
        <f ca="1">IF($B135="","",IF(AND($B$4="Salary Points 3 to 57",B135&lt;Thresholds_Rates!$C$16),"-",IF(SUMIF(Grades!$A:$A,$B$4,Grades!$BO:$BO)=0,"-",IF(AND($B$4="Salary Points 3 to 57",B135&gt;=Thresholds_Rates!$C$16),$C135*Thresholds_Rates!$F$15,IF(AND(OR($B$4="New Consultant Contract"),$B135&lt;&gt;""),$C135*Thresholds_Rates!$F$15,IF(AND(OR($B$4="Clinical Lecturer / Medical Research Fellow",$B$4="Clinical Consultant - Old Contract (GP)"),$B135&lt;&gt;""),$C135*Thresholds_Rates!$F$15,IF(OR($B$4="APM Level 7",$B$4="R&amp;T Level 7"),$C135*Thresholds_Rates!$F$15,IF(SUMIF(Grades!$A:$A,$B$4,Grades!$BO:$BO)=1,$C135*Thresholds_Rates!$F$15,""))))))))</f>
        <v/>
      </c>
      <c r="F135" s="25" t="str">
        <f ca="1">IF(B135="","",IF($B$4="Salary Points 1 to 57","-",IF(SUMIF(Grades!$A:$A,$B$4,Grades!$BP:$BP)=0,"-",IF(AND(OR($B$4="New Consultant Contract"),$B135&lt;&gt;""),$C135*Thresholds_Rates!$F$16,IF(AND(OR($B$4="Clinical Lecturer / Medical Research Fellow",$B$4="Clinical Consultant - Old Contract (GP)"),$B135&lt;&gt;""),$C135*Thresholds_Rates!$F$16,IF(AND(OR($B$4="APM Level 7",$B$4="R&amp;T Level 7"),E135&lt;&gt;""),$C135*Thresholds_Rates!$F$16,IF(SUMIF(Grades!$A:$A,$B$4,Grades!$BP:$BP)=1,$C135*Thresholds_Rates!$F$16,"")))))))</f>
        <v/>
      </c>
      <c r="G135" s="25" t="str">
        <f ca="1">IF(B135="","",IF(SUMIF(Grades!$A:$A,$B$4,Grades!$BQ:$BQ)=0,"-",IF(AND($B$4="Salary Points 1 to 57",B135&gt;Thresholds_Rates!$C$17),"-",IF(AND($B$4="Salary Points 1 to 57",B135&lt;=Thresholds_Rates!$C$17),$C135*Thresholds_Rates!$F$17,IF(AND(OR($B$4="New Consultant Contract"),$B135&lt;&gt;""),$C135*Thresholds_Rates!$F$17,IF(AND(OR($B$4="Clinical Lecturer / Medical Research Fellow",$B$4="Clinical Consultant - Old Contract (GP)"),$B135&lt;&gt;""),$C135*Thresholds_Rates!$F$17,IF(AND(OR($B$4="APM Level 7",$B$4="R&amp;T Level 7"),F135&lt;&gt;""),$C135*Thresholds_Rates!$F$17,IF(SUMIF(Grades!$A:$A,$B$4,Grades!$BQ:$BQ)=1,$C135*Thresholds_Rates!$F$17,""))))))))</f>
        <v/>
      </c>
      <c r="H135" s="25"/>
      <c r="I135" s="25" t="str">
        <f ca="1">IF(B135="","",(C135*Thresholds_Rates!$C$12))</f>
        <v/>
      </c>
      <c r="J135" s="25"/>
      <c r="K135" s="4"/>
      <c r="L135" s="25" t="str">
        <f t="shared" ca="1" si="13"/>
        <v/>
      </c>
      <c r="M135" s="25" t="str">
        <f t="shared" ca="1" si="14"/>
        <v/>
      </c>
      <c r="N135" s="25" t="str">
        <f t="shared" ca="1" si="15"/>
        <v/>
      </c>
      <c r="O135" s="25" t="str">
        <f t="shared" ca="1" si="16"/>
        <v/>
      </c>
      <c r="P135" s="25" t="str">
        <f t="shared" ca="1" si="17"/>
        <v/>
      </c>
      <c r="R135" s="28"/>
      <c r="S135" s="29"/>
      <c r="T135" s="28"/>
      <c r="U135" s="29"/>
    </row>
    <row r="136" spans="2:21" x14ac:dyDescent="0.25">
      <c r="B136" s="4" t="str">
        <f ca="1">IFERROR(INDEX(Points_Lookup!$A:$A,MATCH($Z138,Points_Lookup!$AH:$AH,0)),"")</f>
        <v/>
      </c>
      <c r="C136" s="25" t="str">
        <f ca="1">IF(B136="","",IF($B$4="Apprenticeship",SUMIF(Points_Lookup!$AD:$AD,B136,Points_Lookup!$AF:$AF),IF(AND(OR($B$4="New Consultant Contract"),$B136&lt;&gt;""),INDEX(Points_Lookup!$N:$N,MATCH($B136,Points_Lookup!$M:$M,0)),IF(AND(OR($B$4="Clinical Lecturer / Medical Research Fellow",$B$4="Clinical Consultant - Old Contract (GP)"),$B136&lt;&gt;""),INDEX(Points_Lookup!$K:$K,MATCH($B136,Points_Lookup!$J:$J,0)),IF(AND(OR($B$4="APM Level 7",$B$4="R&amp;T Level 7",$B$4="APM Level 8"),B136&lt;&gt;""),INDEX(Points_Lookup!$E:$E,MATCH($Z136,Points_Lookup!$AH:$AH,0)),IF($B$4="R&amp;T Level 5 - Clinical Lecturers (Vet School)",SUMIF(Points_Lookup!$P:$P,$B136,Points_Lookup!$S:$S),IF($B$4="R&amp;T Level 6 - Clinical Associate Professors and Clinical Readers (Vet School)",SUMIF(Points_Lookup!$W:$W,$B136,Points_Lookup!$Z:$Z),IFERROR(INDEX(Points_Lookup!$B:$B,MATCH($Z136,Points_Lookup!$AH:$AH,0)),""))))))))</f>
        <v/>
      </c>
      <c r="D136" s="40"/>
      <c r="E136" s="25" t="str">
        <f ca="1">IF($B136="","",IF(AND($B$4="Salary Points 3 to 57",B136&lt;Thresholds_Rates!$C$16),"-",IF(SUMIF(Grades!$A:$A,$B$4,Grades!$BO:$BO)=0,"-",IF(AND($B$4="Salary Points 3 to 57",B136&gt;=Thresholds_Rates!$C$16),$C136*Thresholds_Rates!$F$15,IF(AND(OR($B$4="New Consultant Contract"),$B136&lt;&gt;""),$C136*Thresholds_Rates!$F$15,IF(AND(OR($B$4="Clinical Lecturer / Medical Research Fellow",$B$4="Clinical Consultant - Old Contract (GP)"),$B136&lt;&gt;""),$C136*Thresholds_Rates!$F$15,IF(OR($B$4="APM Level 7",$B$4="R&amp;T Level 7"),$C136*Thresholds_Rates!$F$15,IF(SUMIF(Grades!$A:$A,$B$4,Grades!$BO:$BO)=1,$C136*Thresholds_Rates!$F$15,""))))))))</f>
        <v/>
      </c>
      <c r="F136" s="25" t="str">
        <f ca="1">IF(B136="","",IF($B$4="Salary Points 1 to 57","-",IF(SUMIF(Grades!$A:$A,$B$4,Grades!$BP:$BP)=0,"-",IF(AND(OR($B$4="New Consultant Contract"),$B136&lt;&gt;""),$C136*Thresholds_Rates!$F$16,IF(AND(OR($B$4="Clinical Lecturer / Medical Research Fellow",$B$4="Clinical Consultant - Old Contract (GP)"),$B136&lt;&gt;""),$C136*Thresholds_Rates!$F$16,IF(AND(OR($B$4="APM Level 7",$B$4="R&amp;T Level 7"),E136&lt;&gt;""),$C136*Thresholds_Rates!$F$16,IF(SUMIF(Grades!$A:$A,$B$4,Grades!$BP:$BP)=1,$C136*Thresholds_Rates!$F$16,"")))))))</f>
        <v/>
      </c>
      <c r="G136" s="25" t="str">
        <f ca="1">IF(B136="","",IF(SUMIF(Grades!$A:$A,$B$4,Grades!$BQ:$BQ)=0,"-",IF(AND($B$4="Salary Points 1 to 57",B136&gt;Thresholds_Rates!$C$17),"-",IF(AND($B$4="Salary Points 1 to 57",B136&lt;=Thresholds_Rates!$C$17),$C136*Thresholds_Rates!$F$17,IF(AND(OR($B$4="New Consultant Contract"),$B136&lt;&gt;""),$C136*Thresholds_Rates!$F$17,IF(AND(OR($B$4="Clinical Lecturer / Medical Research Fellow",$B$4="Clinical Consultant - Old Contract (GP)"),$B136&lt;&gt;""),$C136*Thresholds_Rates!$F$17,IF(AND(OR($B$4="APM Level 7",$B$4="R&amp;T Level 7"),F136&lt;&gt;""),$C136*Thresholds_Rates!$F$17,IF(SUMIF(Grades!$A:$A,$B$4,Grades!$BQ:$BQ)=1,$C136*Thresholds_Rates!$F$17,""))))))))</f>
        <v/>
      </c>
      <c r="H136" s="25"/>
      <c r="I136" s="25" t="str">
        <f ca="1">IF(B136="","",(C136*Thresholds_Rates!$C$12))</f>
        <v/>
      </c>
      <c r="J136" s="25"/>
      <c r="K136" s="4"/>
      <c r="L136" s="25" t="str">
        <f t="shared" ca="1" si="13"/>
        <v/>
      </c>
      <c r="M136" s="25" t="str">
        <f t="shared" ca="1" si="14"/>
        <v/>
      </c>
      <c r="N136" s="25" t="str">
        <f t="shared" ca="1" si="15"/>
        <v/>
      </c>
      <c r="O136" s="25" t="str">
        <f t="shared" ca="1" si="16"/>
        <v/>
      </c>
      <c r="P136" s="25" t="str">
        <f t="shared" ca="1" si="17"/>
        <v/>
      </c>
      <c r="R136" s="28"/>
      <c r="S136" s="29"/>
      <c r="T136" s="28"/>
      <c r="U136" s="29"/>
    </row>
    <row r="137" spans="2:21" x14ac:dyDescent="0.25">
      <c r="B137" s="4" t="str">
        <f ca="1">IFERROR(INDEX(Points_Lookup!$A:$A,MATCH($Z139,Points_Lookup!$AH:$AH,0)),"")</f>
        <v/>
      </c>
      <c r="C137" s="25" t="str">
        <f ca="1">IF(B137="","",IF($B$4="Apprenticeship",SUMIF(Points_Lookup!$AD:$AD,B137,Points_Lookup!$AF:$AF),IF(AND(OR($B$4="New Consultant Contract"),$B137&lt;&gt;""),INDEX(Points_Lookup!$N:$N,MATCH($B137,Points_Lookup!$M:$M,0)),IF(AND(OR($B$4="Clinical Lecturer / Medical Research Fellow",$B$4="Clinical Consultant - Old Contract (GP)"),$B137&lt;&gt;""),INDEX(Points_Lookup!$K:$K,MATCH($B137,Points_Lookup!$J:$J,0)),IF(AND(OR($B$4="APM Level 7",$B$4="R&amp;T Level 7",$B$4="APM Level 8"),B137&lt;&gt;""),INDEX(Points_Lookup!$E:$E,MATCH($Z137,Points_Lookup!$AH:$AH,0)),IF($B$4="R&amp;T Level 5 - Clinical Lecturers (Vet School)",SUMIF(Points_Lookup!$P:$P,$B137,Points_Lookup!$S:$S),IF($B$4="R&amp;T Level 6 - Clinical Associate Professors and Clinical Readers (Vet School)",SUMIF(Points_Lookup!$W:$W,$B137,Points_Lookup!$Z:$Z),IFERROR(INDEX(Points_Lookup!$B:$B,MATCH($Z137,Points_Lookup!$AH:$AH,0)),""))))))))</f>
        <v/>
      </c>
      <c r="D137" s="40"/>
      <c r="E137" s="25" t="str">
        <f ca="1">IF($B137="","",IF(AND($B$4="Salary Points 3 to 57",B137&lt;Thresholds_Rates!$C$16),"-",IF(SUMIF(Grades!$A:$A,$B$4,Grades!$BO:$BO)=0,"-",IF(AND($B$4="Salary Points 3 to 57",B137&gt;=Thresholds_Rates!$C$16),$C137*Thresholds_Rates!$F$15,IF(AND(OR($B$4="New Consultant Contract"),$B137&lt;&gt;""),$C137*Thresholds_Rates!$F$15,IF(AND(OR($B$4="Clinical Lecturer / Medical Research Fellow",$B$4="Clinical Consultant - Old Contract (GP)"),$B137&lt;&gt;""),$C137*Thresholds_Rates!$F$15,IF(OR($B$4="APM Level 7",$B$4="R&amp;T Level 7"),$C137*Thresholds_Rates!$F$15,IF(SUMIF(Grades!$A:$A,$B$4,Grades!$BO:$BO)=1,$C137*Thresholds_Rates!$F$15,""))))))))</f>
        <v/>
      </c>
      <c r="F137" s="25" t="str">
        <f ca="1">IF(B137="","",IF($B$4="Salary Points 1 to 57","-",IF(SUMIF(Grades!$A:$A,$B$4,Grades!$BP:$BP)=0,"-",IF(AND(OR($B$4="New Consultant Contract"),$B137&lt;&gt;""),$C137*Thresholds_Rates!$F$16,IF(AND(OR($B$4="Clinical Lecturer / Medical Research Fellow",$B$4="Clinical Consultant - Old Contract (GP)"),$B137&lt;&gt;""),$C137*Thresholds_Rates!$F$16,IF(AND(OR($B$4="APM Level 7",$B$4="R&amp;T Level 7"),E137&lt;&gt;""),$C137*Thresholds_Rates!$F$16,IF(SUMIF(Grades!$A:$A,$B$4,Grades!$BP:$BP)=1,$C137*Thresholds_Rates!$F$16,"")))))))</f>
        <v/>
      </c>
      <c r="G137" s="25" t="str">
        <f ca="1">IF(B137="","",IF(SUMIF(Grades!$A:$A,$B$4,Grades!$BQ:$BQ)=0,"-",IF(AND($B$4="Salary Points 1 to 57",B137&gt;Thresholds_Rates!$C$17),"-",IF(AND($B$4="Salary Points 1 to 57",B137&lt;=Thresholds_Rates!$C$17),$C137*Thresholds_Rates!$F$17,IF(AND(OR($B$4="New Consultant Contract"),$B137&lt;&gt;""),$C137*Thresholds_Rates!$F$17,IF(AND(OR($B$4="Clinical Lecturer / Medical Research Fellow",$B$4="Clinical Consultant - Old Contract (GP)"),$B137&lt;&gt;""),$C137*Thresholds_Rates!$F$17,IF(AND(OR($B$4="APM Level 7",$B$4="R&amp;T Level 7"),F137&lt;&gt;""),$C137*Thresholds_Rates!$F$17,IF(SUMIF(Grades!$A:$A,$B$4,Grades!$BQ:$BQ)=1,$C137*Thresholds_Rates!$F$17,""))))))))</f>
        <v/>
      </c>
      <c r="H137" s="25"/>
      <c r="I137" s="25" t="str">
        <f ca="1">IF(B137="","",(C137*Thresholds_Rates!$C$12))</f>
        <v/>
      </c>
      <c r="J137" s="25"/>
      <c r="K137" s="4"/>
      <c r="L137" s="25" t="str">
        <f t="shared" ca="1" si="13"/>
        <v/>
      </c>
      <c r="M137" s="25" t="str">
        <f t="shared" ca="1" si="14"/>
        <v/>
      </c>
      <c r="N137" s="25" t="str">
        <f t="shared" ca="1" si="15"/>
        <v/>
      </c>
      <c r="O137" s="25" t="str">
        <f t="shared" ca="1" si="16"/>
        <v/>
      </c>
      <c r="P137" s="25" t="str">
        <f t="shared" ca="1" si="17"/>
        <v/>
      </c>
      <c r="R137" s="28"/>
      <c r="S137" s="29"/>
      <c r="T137" s="28"/>
      <c r="U137" s="29"/>
    </row>
    <row r="138" spans="2:21" x14ac:dyDescent="0.25">
      <c r="B138" s="4" t="str">
        <f ca="1">IFERROR(INDEX(Points_Lookup!$A:$A,MATCH($Z140,Points_Lookup!$AH:$AH,0)),"")</f>
        <v/>
      </c>
      <c r="C138" s="25" t="str">
        <f ca="1">IF(B138="","",IF($B$4="Apprenticeship",SUMIF(Points_Lookup!$AD:$AD,B138,Points_Lookup!$AF:$AF),IF(AND(OR($B$4="New Consultant Contract"),$B138&lt;&gt;""),INDEX(Points_Lookup!$N:$N,MATCH($B138,Points_Lookup!$M:$M,0)),IF(AND(OR($B$4="Clinical Lecturer / Medical Research Fellow",$B$4="Clinical Consultant - Old Contract (GP)"),$B138&lt;&gt;""),INDEX(Points_Lookup!$K:$K,MATCH($B138,Points_Lookup!$J:$J,0)),IF(AND(OR($B$4="APM Level 7",$B$4="R&amp;T Level 7",$B$4="APM Level 8"),B138&lt;&gt;""),INDEX(Points_Lookup!$E:$E,MATCH($Z138,Points_Lookup!$AH:$AH,0)),IF($B$4="R&amp;T Level 5 - Clinical Lecturers (Vet School)",SUMIF(Points_Lookup!$P:$P,$B138,Points_Lookup!$S:$S),IF($B$4="R&amp;T Level 6 - Clinical Associate Professors and Clinical Readers (Vet School)",SUMIF(Points_Lookup!$W:$W,$B138,Points_Lookup!$Z:$Z),IFERROR(INDEX(Points_Lookup!$B:$B,MATCH($Z138,Points_Lookup!$AH:$AH,0)),""))))))))</f>
        <v/>
      </c>
      <c r="D138" s="40"/>
      <c r="E138" s="25" t="str">
        <f ca="1">IF($B138="","",IF(AND($B$4="Salary Points 3 to 57",B138&lt;Thresholds_Rates!$C$16),"-",IF(SUMIF(Grades!$A:$A,$B$4,Grades!$BO:$BO)=0,"-",IF(AND($B$4="Salary Points 3 to 57",B138&gt;=Thresholds_Rates!$C$16),$C138*Thresholds_Rates!$F$15,IF(AND(OR($B$4="New Consultant Contract"),$B138&lt;&gt;""),$C138*Thresholds_Rates!$F$15,IF(AND(OR($B$4="Clinical Lecturer / Medical Research Fellow",$B$4="Clinical Consultant - Old Contract (GP)"),$B138&lt;&gt;""),$C138*Thresholds_Rates!$F$15,IF(OR($B$4="APM Level 7",$B$4="R&amp;T Level 7"),$C138*Thresholds_Rates!$F$15,IF(SUMIF(Grades!$A:$A,$B$4,Grades!$BO:$BO)=1,$C138*Thresholds_Rates!$F$15,""))))))))</f>
        <v/>
      </c>
      <c r="F138" s="25" t="str">
        <f ca="1">IF(B138="","",IF($B$4="Salary Points 1 to 57","-",IF(SUMIF(Grades!$A:$A,$B$4,Grades!$BP:$BP)=0,"-",IF(AND(OR($B$4="New Consultant Contract"),$B138&lt;&gt;""),$C138*Thresholds_Rates!$F$16,IF(AND(OR($B$4="Clinical Lecturer / Medical Research Fellow",$B$4="Clinical Consultant - Old Contract (GP)"),$B138&lt;&gt;""),$C138*Thresholds_Rates!$F$16,IF(AND(OR($B$4="APM Level 7",$B$4="R&amp;T Level 7"),E138&lt;&gt;""),$C138*Thresholds_Rates!$F$16,IF(SUMIF(Grades!$A:$A,$B$4,Grades!$BP:$BP)=1,$C138*Thresholds_Rates!$F$16,"")))))))</f>
        <v/>
      </c>
      <c r="G138" s="25" t="str">
        <f ca="1">IF(B138="","",IF(SUMIF(Grades!$A:$A,$B$4,Grades!$BQ:$BQ)=0,"-",IF(AND($B$4="Salary Points 1 to 57",B138&gt;Thresholds_Rates!$C$17),"-",IF(AND($B$4="Salary Points 1 to 57",B138&lt;=Thresholds_Rates!$C$17),$C138*Thresholds_Rates!$F$17,IF(AND(OR($B$4="New Consultant Contract"),$B138&lt;&gt;""),$C138*Thresholds_Rates!$F$17,IF(AND(OR($B$4="Clinical Lecturer / Medical Research Fellow",$B$4="Clinical Consultant - Old Contract (GP)"),$B138&lt;&gt;""),$C138*Thresholds_Rates!$F$17,IF(AND(OR($B$4="APM Level 7",$B$4="R&amp;T Level 7"),F138&lt;&gt;""),$C138*Thresholds_Rates!$F$17,IF(SUMIF(Grades!$A:$A,$B$4,Grades!$BQ:$BQ)=1,$C138*Thresholds_Rates!$F$17,""))))))))</f>
        <v/>
      </c>
      <c r="H138" s="25"/>
      <c r="I138" s="25" t="str">
        <f ca="1">IF(B138="","",(C138*Thresholds_Rates!$C$12))</f>
        <v/>
      </c>
      <c r="J138" s="25"/>
      <c r="K138" s="4"/>
      <c r="L138" s="25" t="str">
        <f t="shared" ref="L138:L173" ca="1" si="18">IF(B138="","",IF(E138="-","-",$C138+$H138+E138+I138))</f>
        <v/>
      </c>
      <c r="M138" s="25" t="str">
        <f t="shared" ref="M138:M173" ca="1" si="19">IF(B138="","",IF(F138="-","-",$C138+$H138+F138+I138))</f>
        <v/>
      </c>
      <c r="N138" s="25" t="str">
        <f t="shared" ref="N138:N173" ca="1" si="20">IF(B138="","",IF(G138="-","-",$C138+$H138+G138+I138))</f>
        <v/>
      </c>
      <c r="O138" s="25" t="str">
        <f t="shared" ref="O138:O173" ca="1" si="21">IF(B138="","",IF(J138="-","-",$C138+$H138+J138+I138))</f>
        <v/>
      </c>
      <c r="P138" s="25" t="str">
        <f t="shared" ref="P138:P173" ca="1" si="22">IF(B138="","",C138+H138+I138)</f>
        <v/>
      </c>
      <c r="R138" s="28"/>
      <c r="S138" s="29"/>
      <c r="T138" s="28"/>
      <c r="U138" s="29"/>
    </row>
    <row r="139" spans="2:21" x14ac:dyDescent="0.25">
      <c r="B139" s="4" t="str">
        <f ca="1">IFERROR(INDEX(Points_Lookup!$A:$A,MATCH($Z141,Points_Lookup!$AH:$AH,0)),"")</f>
        <v/>
      </c>
      <c r="C139" s="25" t="str">
        <f ca="1">IF(B139="","",IF($B$4="Apprenticeship",SUMIF(Points_Lookup!$AD:$AD,B139,Points_Lookup!$AF:$AF),IF(AND(OR($B$4="New Consultant Contract"),$B139&lt;&gt;""),INDEX(Points_Lookup!$N:$N,MATCH($B139,Points_Lookup!$M:$M,0)),IF(AND(OR($B$4="Clinical Lecturer / Medical Research Fellow",$B$4="Clinical Consultant - Old Contract (GP)"),$B139&lt;&gt;""),INDEX(Points_Lookup!$K:$K,MATCH($B139,Points_Lookup!$J:$J,0)),IF(AND(OR($B$4="APM Level 7",$B$4="R&amp;T Level 7",$B$4="APM Level 8"),B139&lt;&gt;""),INDEX(Points_Lookup!$E:$E,MATCH($Z139,Points_Lookup!$AH:$AH,0)),IF($B$4="R&amp;T Level 5 - Clinical Lecturers (Vet School)",SUMIF(Points_Lookup!$P:$P,$B139,Points_Lookup!$S:$S),IF($B$4="R&amp;T Level 6 - Clinical Associate Professors and Clinical Readers (Vet School)",SUMIF(Points_Lookup!$W:$W,$B139,Points_Lookup!$Z:$Z),IFERROR(INDEX(Points_Lookup!$B:$B,MATCH($Z139,Points_Lookup!$AH:$AH,0)),""))))))))</f>
        <v/>
      </c>
      <c r="D139" s="40"/>
      <c r="E139" s="25" t="str">
        <f ca="1">IF($B139="","",IF(AND($B$4="Salary Points 3 to 57",B139&lt;Thresholds_Rates!$C$16),"-",IF(SUMIF(Grades!$A:$A,$B$4,Grades!$BO:$BO)=0,"-",IF(AND($B$4="Salary Points 3 to 57",B139&gt;=Thresholds_Rates!$C$16),$C139*Thresholds_Rates!$F$15,IF(AND(OR($B$4="New Consultant Contract"),$B139&lt;&gt;""),$C139*Thresholds_Rates!$F$15,IF(AND(OR($B$4="Clinical Lecturer / Medical Research Fellow",$B$4="Clinical Consultant - Old Contract (GP)"),$B139&lt;&gt;""),$C139*Thresholds_Rates!$F$15,IF(OR($B$4="APM Level 7",$B$4="R&amp;T Level 7"),$C139*Thresholds_Rates!$F$15,IF(SUMIF(Grades!$A:$A,$B$4,Grades!$BO:$BO)=1,$C139*Thresholds_Rates!$F$15,""))))))))</f>
        <v/>
      </c>
      <c r="F139" s="25" t="str">
        <f ca="1">IF(B139="","",IF($B$4="Salary Points 1 to 57","-",IF(SUMIF(Grades!$A:$A,$B$4,Grades!$BP:$BP)=0,"-",IF(AND(OR($B$4="New Consultant Contract"),$B139&lt;&gt;""),$C139*Thresholds_Rates!$F$16,IF(AND(OR($B$4="Clinical Lecturer / Medical Research Fellow",$B$4="Clinical Consultant - Old Contract (GP)"),$B139&lt;&gt;""),$C139*Thresholds_Rates!$F$16,IF(AND(OR($B$4="APM Level 7",$B$4="R&amp;T Level 7"),E139&lt;&gt;""),$C139*Thresholds_Rates!$F$16,IF(SUMIF(Grades!$A:$A,$B$4,Grades!$BP:$BP)=1,$C139*Thresholds_Rates!$F$16,"")))))))</f>
        <v/>
      </c>
      <c r="G139" s="25" t="str">
        <f ca="1">IF(B139="","",IF(SUMIF(Grades!$A:$A,$B$4,Grades!$BQ:$BQ)=0,"-",IF(AND($B$4="Salary Points 1 to 57",B139&gt;Thresholds_Rates!$C$17),"-",IF(AND($B$4="Salary Points 1 to 57",B139&lt;=Thresholds_Rates!$C$17),$C139*Thresholds_Rates!$F$17,IF(AND(OR($B$4="New Consultant Contract"),$B139&lt;&gt;""),$C139*Thresholds_Rates!$F$17,IF(AND(OR($B$4="Clinical Lecturer / Medical Research Fellow",$B$4="Clinical Consultant - Old Contract (GP)"),$B139&lt;&gt;""),$C139*Thresholds_Rates!$F$17,IF(AND(OR($B$4="APM Level 7",$B$4="R&amp;T Level 7"),F139&lt;&gt;""),$C139*Thresholds_Rates!$F$17,IF(SUMIF(Grades!$A:$A,$B$4,Grades!$BQ:$BQ)=1,$C139*Thresholds_Rates!$F$17,""))))))))</f>
        <v/>
      </c>
      <c r="H139" s="25"/>
      <c r="I139" s="25" t="str">
        <f ca="1">IF(B139="","",(C139*Thresholds_Rates!$C$12))</f>
        <v/>
      </c>
      <c r="J139" s="25"/>
      <c r="K139" s="4"/>
      <c r="L139" s="25" t="str">
        <f t="shared" ca="1" si="18"/>
        <v/>
      </c>
      <c r="M139" s="25" t="str">
        <f t="shared" ca="1" si="19"/>
        <v/>
      </c>
      <c r="N139" s="25" t="str">
        <f t="shared" ca="1" si="20"/>
        <v/>
      </c>
      <c r="O139" s="25" t="str">
        <f t="shared" ca="1" si="21"/>
        <v/>
      </c>
      <c r="P139" s="25" t="str">
        <f t="shared" ca="1" si="22"/>
        <v/>
      </c>
      <c r="R139" s="28"/>
      <c r="S139" s="29"/>
      <c r="T139" s="28"/>
      <c r="U139" s="29"/>
    </row>
    <row r="140" spans="2:21" x14ac:dyDescent="0.25">
      <c r="B140" s="4" t="str">
        <f ca="1">IFERROR(INDEX(Points_Lookup!$A:$A,MATCH($Z142,Points_Lookup!$AH:$AH,0)),"")</f>
        <v/>
      </c>
      <c r="C140" s="25" t="str">
        <f ca="1">IF(B140="","",IF($B$4="Apprenticeship",SUMIF(Points_Lookup!$AD:$AD,B140,Points_Lookup!$AF:$AF),IF(AND(OR($B$4="New Consultant Contract"),$B140&lt;&gt;""),INDEX(Points_Lookup!$N:$N,MATCH($B140,Points_Lookup!$M:$M,0)),IF(AND(OR($B$4="Clinical Lecturer / Medical Research Fellow",$B$4="Clinical Consultant - Old Contract (GP)"),$B140&lt;&gt;""),INDEX(Points_Lookup!$K:$K,MATCH($B140,Points_Lookup!$J:$J,0)),IF(AND(OR($B$4="APM Level 7",$B$4="R&amp;T Level 7",$B$4="APM Level 8"),B140&lt;&gt;""),INDEX(Points_Lookup!$E:$E,MATCH($Z140,Points_Lookup!$AH:$AH,0)),IF($B$4="R&amp;T Level 5 - Clinical Lecturers (Vet School)",SUMIF(Points_Lookup!$P:$P,$B140,Points_Lookup!$S:$S),IF($B$4="R&amp;T Level 6 - Clinical Associate Professors and Clinical Readers (Vet School)",SUMIF(Points_Lookup!$W:$W,$B140,Points_Lookup!$Z:$Z),IFERROR(INDEX(Points_Lookup!$B:$B,MATCH($Z140,Points_Lookup!$AH:$AH,0)),""))))))))</f>
        <v/>
      </c>
      <c r="D140" s="40"/>
      <c r="E140" s="25" t="str">
        <f ca="1">IF($B140="","",IF(AND($B$4="Salary Points 3 to 57",B140&lt;Thresholds_Rates!$C$16),"-",IF(SUMIF(Grades!$A:$A,$B$4,Grades!$BO:$BO)=0,"-",IF(AND($B$4="Salary Points 3 to 57",B140&gt;=Thresholds_Rates!$C$16),$C140*Thresholds_Rates!$F$15,IF(AND(OR($B$4="New Consultant Contract"),$B140&lt;&gt;""),$C140*Thresholds_Rates!$F$15,IF(AND(OR($B$4="Clinical Lecturer / Medical Research Fellow",$B$4="Clinical Consultant - Old Contract (GP)"),$B140&lt;&gt;""),$C140*Thresholds_Rates!$F$15,IF(OR($B$4="APM Level 7",$B$4="R&amp;T Level 7"),$C140*Thresholds_Rates!$F$15,IF(SUMIF(Grades!$A:$A,$B$4,Grades!$BO:$BO)=1,$C140*Thresholds_Rates!$F$15,""))))))))</f>
        <v/>
      </c>
      <c r="F140" s="25" t="str">
        <f ca="1">IF(B140="","",IF($B$4="Salary Points 1 to 57","-",IF(SUMIF(Grades!$A:$A,$B$4,Grades!$BP:$BP)=0,"-",IF(AND(OR($B$4="New Consultant Contract"),$B140&lt;&gt;""),$C140*Thresholds_Rates!$F$16,IF(AND(OR($B$4="Clinical Lecturer / Medical Research Fellow",$B$4="Clinical Consultant - Old Contract (GP)"),$B140&lt;&gt;""),$C140*Thresholds_Rates!$F$16,IF(AND(OR($B$4="APM Level 7",$B$4="R&amp;T Level 7"),E140&lt;&gt;""),$C140*Thresholds_Rates!$F$16,IF(SUMIF(Grades!$A:$A,$B$4,Grades!$BP:$BP)=1,$C140*Thresholds_Rates!$F$16,"")))))))</f>
        <v/>
      </c>
      <c r="G140" s="25" t="str">
        <f ca="1">IF(B140="","",IF(SUMIF(Grades!$A:$A,$B$4,Grades!$BQ:$BQ)=0,"-",IF(AND($B$4="Salary Points 1 to 57",B140&gt;Thresholds_Rates!$C$17),"-",IF(AND($B$4="Salary Points 1 to 57",B140&lt;=Thresholds_Rates!$C$17),$C140*Thresholds_Rates!$F$17,IF(AND(OR($B$4="New Consultant Contract"),$B140&lt;&gt;""),$C140*Thresholds_Rates!$F$17,IF(AND(OR($B$4="Clinical Lecturer / Medical Research Fellow",$B$4="Clinical Consultant - Old Contract (GP)"),$B140&lt;&gt;""),$C140*Thresholds_Rates!$F$17,IF(AND(OR($B$4="APM Level 7",$B$4="R&amp;T Level 7"),F140&lt;&gt;""),$C140*Thresholds_Rates!$F$17,IF(SUMIF(Grades!$A:$A,$B$4,Grades!$BQ:$BQ)=1,$C140*Thresholds_Rates!$F$17,""))))))))</f>
        <v/>
      </c>
      <c r="H140" s="25"/>
      <c r="I140" s="25" t="str">
        <f ca="1">IF(B140="","",(C140*Thresholds_Rates!$C$12))</f>
        <v/>
      </c>
      <c r="J140" s="25"/>
      <c r="K140" s="4"/>
      <c r="L140" s="25" t="str">
        <f t="shared" ca="1" si="18"/>
        <v/>
      </c>
      <c r="M140" s="25" t="str">
        <f t="shared" ca="1" si="19"/>
        <v/>
      </c>
      <c r="N140" s="25" t="str">
        <f t="shared" ca="1" si="20"/>
        <v/>
      </c>
      <c r="O140" s="25" t="str">
        <f t="shared" ca="1" si="21"/>
        <v/>
      </c>
      <c r="P140" s="25" t="str">
        <f t="shared" ca="1" si="22"/>
        <v/>
      </c>
      <c r="R140" s="28"/>
      <c r="S140" s="29"/>
      <c r="T140" s="28"/>
      <c r="U140" s="29"/>
    </row>
    <row r="141" spans="2:21" x14ac:dyDescent="0.25">
      <c r="B141" s="4" t="str">
        <f ca="1">IFERROR(INDEX(Points_Lookup!$A:$A,MATCH($Z143,Points_Lookup!$AH:$AH,0)),"")</f>
        <v/>
      </c>
      <c r="C141" s="25" t="str">
        <f ca="1">IF(B141="","",IF($B$4="Apprenticeship",SUMIF(Points_Lookup!$AD:$AD,B141,Points_Lookup!$AF:$AF),IF(AND(OR($B$4="New Consultant Contract"),$B141&lt;&gt;""),INDEX(Points_Lookup!$N:$N,MATCH($B141,Points_Lookup!$M:$M,0)),IF(AND(OR($B$4="Clinical Lecturer / Medical Research Fellow",$B$4="Clinical Consultant - Old Contract (GP)"),$B141&lt;&gt;""),INDEX(Points_Lookup!$K:$K,MATCH($B141,Points_Lookup!$J:$J,0)),IF(AND(OR($B$4="APM Level 7",$B$4="R&amp;T Level 7",$B$4="APM Level 8"),B141&lt;&gt;""),INDEX(Points_Lookup!$E:$E,MATCH($Z141,Points_Lookup!$AH:$AH,0)),IF($B$4="R&amp;T Level 5 - Clinical Lecturers (Vet School)",SUMIF(Points_Lookup!$P:$P,$B141,Points_Lookup!$S:$S),IF($B$4="R&amp;T Level 6 - Clinical Associate Professors and Clinical Readers (Vet School)",SUMIF(Points_Lookup!$W:$W,$B141,Points_Lookup!$Z:$Z),IFERROR(INDEX(Points_Lookup!$B:$B,MATCH($Z141,Points_Lookup!$AH:$AH,0)),""))))))))</f>
        <v/>
      </c>
      <c r="D141" s="40"/>
      <c r="E141" s="25" t="str">
        <f ca="1">IF($B141="","",IF(AND($B$4="Salary Points 3 to 57",B141&lt;Thresholds_Rates!$C$16),"-",IF(SUMIF(Grades!$A:$A,$B$4,Grades!$BO:$BO)=0,"-",IF(AND($B$4="Salary Points 3 to 57",B141&gt;=Thresholds_Rates!$C$16),$C141*Thresholds_Rates!$F$15,IF(AND(OR($B$4="New Consultant Contract"),$B141&lt;&gt;""),$C141*Thresholds_Rates!$F$15,IF(AND(OR($B$4="Clinical Lecturer / Medical Research Fellow",$B$4="Clinical Consultant - Old Contract (GP)"),$B141&lt;&gt;""),$C141*Thresholds_Rates!$F$15,IF(OR($B$4="APM Level 7",$B$4="R&amp;T Level 7"),$C141*Thresholds_Rates!$F$15,IF(SUMIF(Grades!$A:$A,$B$4,Grades!$BO:$BO)=1,$C141*Thresholds_Rates!$F$15,""))))))))</f>
        <v/>
      </c>
      <c r="F141" s="25" t="str">
        <f ca="1">IF(B141="","",IF($B$4="Salary Points 1 to 57","-",IF(SUMIF(Grades!$A:$A,$B$4,Grades!$BP:$BP)=0,"-",IF(AND(OR($B$4="New Consultant Contract"),$B141&lt;&gt;""),$C141*Thresholds_Rates!$F$16,IF(AND(OR($B$4="Clinical Lecturer / Medical Research Fellow",$B$4="Clinical Consultant - Old Contract (GP)"),$B141&lt;&gt;""),$C141*Thresholds_Rates!$F$16,IF(AND(OR($B$4="APM Level 7",$B$4="R&amp;T Level 7"),E141&lt;&gt;""),$C141*Thresholds_Rates!$F$16,IF(SUMIF(Grades!$A:$A,$B$4,Grades!$BP:$BP)=1,$C141*Thresholds_Rates!$F$16,"")))))))</f>
        <v/>
      </c>
      <c r="G141" s="25" t="str">
        <f ca="1">IF(B141="","",IF(SUMIF(Grades!$A:$A,$B$4,Grades!$BQ:$BQ)=0,"-",IF(AND($B$4="Salary Points 1 to 57",B141&gt;Thresholds_Rates!$C$17),"-",IF(AND($B$4="Salary Points 1 to 57",B141&lt;=Thresholds_Rates!$C$17),$C141*Thresholds_Rates!$F$17,IF(AND(OR($B$4="New Consultant Contract"),$B141&lt;&gt;""),$C141*Thresholds_Rates!$F$17,IF(AND(OR($B$4="Clinical Lecturer / Medical Research Fellow",$B$4="Clinical Consultant - Old Contract (GP)"),$B141&lt;&gt;""),$C141*Thresholds_Rates!$F$17,IF(AND(OR($B$4="APM Level 7",$B$4="R&amp;T Level 7"),F141&lt;&gt;""),$C141*Thresholds_Rates!$F$17,IF(SUMIF(Grades!$A:$A,$B$4,Grades!$BQ:$BQ)=1,$C141*Thresholds_Rates!$F$17,""))))))))</f>
        <v/>
      </c>
      <c r="H141" s="25"/>
      <c r="I141" s="25" t="str">
        <f ca="1">IF(B141="","",(C141*Thresholds_Rates!$C$12))</f>
        <v/>
      </c>
      <c r="J141" s="25"/>
      <c r="K141" s="4"/>
      <c r="L141" s="25" t="str">
        <f t="shared" ca="1" si="18"/>
        <v/>
      </c>
      <c r="M141" s="25" t="str">
        <f t="shared" ca="1" si="19"/>
        <v/>
      </c>
      <c r="N141" s="25" t="str">
        <f t="shared" ca="1" si="20"/>
        <v/>
      </c>
      <c r="O141" s="25" t="str">
        <f t="shared" ca="1" si="21"/>
        <v/>
      </c>
      <c r="P141" s="25" t="str">
        <f t="shared" ca="1" si="22"/>
        <v/>
      </c>
      <c r="R141" s="28"/>
      <c r="S141" s="29"/>
      <c r="T141" s="28"/>
      <c r="U141" s="29"/>
    </row>
    <row r="142" spans="2:21" x14ac:dyDescent="0.25">
      <c r="B142" s="4" t="str">
        <f ca="1">IFERROR(INDEX(Points_Lookup!$A:$A,MATCH($Z144,Points_Lookup!$AH:$AH,0)),"")</f>
        <v/>
      </c>
      <c r="C142" s="25" t="str">
        <f ca="1">IF(B142="","",IF($B$4="Apprenticeship",SUMIF(Points_Lookup!$AD:$AD,B142,Points_Lookup!$AF:$AF),IF(AND(OR($B$4="New Consultant Contract"),$B142&lt;&gt;""),INDEX(Points_Lookup!$N:$N,MATCH($B142,Points_Lookup!$M:$M,0)),IF(AND(OR($B$4="Clinical Lecturer / Medical Research Fellow",$B$4="Clinical Consultant - Old Contract (GP)"),$B142&lt;&gt;""),INDEX(Points_Lookup!$K:$K,MATCH($B142,Points_Lookup!$J:$J,0)),IF(AND(OR($B$4="APM Level 7",$B$4="R&amp;T Level 7",$B$4="APM Level 8"),B142&lt;&gt;""),INDEX(Points_Lookup!$E:$E,MATCH($Z142,Points_Lookup!$AH:$AH,0)),IF($B$4="R&amp;T Level 5 - Clinical Lecturers (Vet School)",SUMIF(Points_Lookup!$P:$P,$B142,Points_Lookup!$S:$S),IF($B$4="R&amp;T Level 6 - Clinical Associate Professors and Clinical Readers (Vet School)",SUMIF(Points_Lookup!$W:$W,$B142,Points_Lookup!$Z:$Z),IFERROR(INDEX(Points_Lookup!$B:$B,MATCH($Z142,Points_Lookup!$AH:$AH,0)),""))))))))</f>
        <v/>
      </c>
      <c r="D142" s="40"/>
      <c r="E142" s="25" t="str">
        <f ca="1">IF($B142="","",IF(AND($B$4="Salary Points 3 to 57",B142&lt;Thresholds_Rates!$C$16),"-",IF(SUMIF(Grades!$A:$A,$B$4,Grades!$BO:$BO)=0,"-",IF(AND($B$4="Salary Points 3 to 57",B142&gt;=Thresholds_Rates!$C$16),$C142*Thresholds_Rates!$F$15,IF(AND(OR($B$4="New Consultant Contract"),$B142&lt;&gt;""),$C142*Thresholds_Rates!$F$15,IF(AND(OR($B$4="Clinical Lecturer / Medical Research Fellow",$B$4="Clinical Consultant - Old Contract (GP)"),$B142&lt;&gt;""),$C142*Thresholds_Rates!$F$15,IF(OR($B$4="APM Level 7",$B$4="R&amp;T Level 7"),$C142*Thresholds_Rates!$F$15,IF(SUMIF(Grades!$A:$A,$B$4,Grades!$BO:$BO)=1,$C142*Thresholds_Rates!$F$15,""))))))))</f>
        <v/>
      </c>
      <c r="F142" s="25" t="str">
        <f ca="1">IF(B142="","",IF($B$4="Salary Points 1 to 57","-",IF(SUMIF(Grades!$A:$A,$B$4,Grades!$BP:$BP)=0,"-",IF(AND(OR($B$4="New Consultant Contract"),$B142&lt;&gt;""),$C142*Thresholds_Rates!$F$16,IF(AND(OR($B$4="Clinical Lecturer / Medical Research Fellow",$B$4="Clinical Consultant - Old Contract (GP)"),$B142&lt;&gt;""),$C142*Thresholds_Rates!$F$16,IF(AND(OR($B$4="APM Level 7",$B$4="R&amp;T Level 7"),E142&lt;&gt;""),$C142*Thresholds_Rates!$F$16,IF(SUMIF(Grades!$A:$A,$B$4,Grades!$BP:$BP)=1,$C142*Thresholds_Rates!$F$16,"")))))))</f>
        <v/>
      </c>
      <c r="G142" s="25" t="str">
        <f ca="1">IF(B142="","",IF(SUMIF(Grades!$A:$A,$B$4,Grades!$BQ:$BQ)=0,"-",IF(AND($B$4="Salary Points 1 to 57",B142&gt;Thresholds_Rates!$C$17),"-",IF(AND($B$4="Salary Points 1 to 57",B142&lt;=Thresholds_Rates!$C$17),$C142*Thresholds_Rates!$F$17,IF(AND(OR($B$4="New Consultant Contract"),$B142&lt;&gt;""),$C142*Thresholds_Rates!$F$17,IF(AND(OR($B$4="Clinical Lecturer / Medical Research Fellow",$B$4="Clinical Consultant - Old Contract (GP)"),$B142&lt;&gt;""),$C142*Thresholds_Rates!$F$17,IF(AND(OR($B$4="APM Level 7",$B$4="R&amp;T Level 7"),F142&lt;&gt;""),$C142*Thresholds_Rates!$F$17,IF(SUMIF(Grades!$A:$A,$B$4,Grades!$BQ:$BQ)=1,$C142*Thresholds_Rates!$F$17,""))))))))</f>
        <v/>
      </c>
      <c r="H142" s="25"/>
      <c r="I142" s="25" t="str">
        <f ca="1">IF(B142="","",(C142*Thresholds_Rates!$C$12))</f>
        <v/>
      </c>
      <c r="J142" s="25"/>
      <c r="K142" s="4"/>
      <c r="L142" s="25" t="str">
        <f t="shared" ca="1" si="18"/>
        <v/>
      </c>
      <c r="M142" s="25" t="str">
        <f t="shared" ca="1" si="19"/>
        <v/>
      </c>
      <c r="N142" s="25" t="str">
        <f t="shared" ca="1" si="20"/>
        <v/>
      </c>
      <c r="O142" s="25" t="str">
        <f t="shared" ca="1" si="21"/>
        <v/>
      </c>
      <c r="P142" s="25" t="str">
        <f t="shared" ca="1" si="22"/>
        <v/>
      </c>
      <c r="R142" s="28"/>
      <c r="S142" s="29"/>
      <c r="T142" s="28"/>
      <c r="U142" s="29"/>
    </row>
    <row r="143" spans="2:21" x14ac:dyDescent="0.25">
      <c r="B143" s="4" t="str">
        <f ca="1">IFERROR(INDEX(Points_Lookup!$A:$A,MATCH($Z145,Points_Lookup!$AH:$AH,0)),"")</f>
        <v/>
      </c>
      <c r="C143" s="25" t="str">
        <f ca="1">IF(B143="","",IF($B$4="Apprenticeship",SUMIF(Points_Lookup!$AD:$AD,B143,Points_Lookup!$AF:$AF),IF(AND(OR($B$4="New Consultant Contract"),$B143&lt;&gt;""),INDEX(Points_Lookup!$N:$N,MATCH($B143,Points_Lookup!$M:$M,0)),IF(AND(OR($B$4="Clinical Lecturer / Medical Research Fellow",$B$4="Clinical Consultant - Old Contract (GP)"),$B143&lt;&gt;""),INDEX(Points_Lookup!$K:$K,MATCH($B143,Points_Lookup!$J:$J,0)),IF(AND(OR($B$4="APM Level 7",$B$4="R&amp;T Level 7",$B$4="APM Level 8"),B143&lt;&gt;""),INDEX(Points_Lookup!$E:$E,MATCH($Z143,Points_Lookup!$AH:$AH,0)),IF($B$4="R&amp;T Level 5 - Clinical Lecturers (Vet School)",SUMIF(Points_Lookup!$P:$P,$B143,Points_Lookup!$S:$S),IF($B$4="R&amp;T Level 6 - Clinical Associate Professors and Clinical Readers (Vet School)",SUMIF(Points_Lookup!$W:$W,$B143,Points_Lookup!$Z:$Z),IFERROR(INDEX(Points_Lookup!$B:$B,MATCH($Z143,Points_Lookup!$AH:$AH,0)),""))))))))</f>
        <v/>
      </c>
      <c r="D143" s="40"/>
      <c r="E143" s="25" t="str">
        <f ca="1">IF($B143="","",IF(AND($B$4="Salary Points 3 to 57",B143&lt;Thresholds_Rates!$C$16),"-",IF(SUMIF(Grades!$A:$A,$B$4,Grades!$BO:$BO)=0,"-",IF(AND($B$4="Salary Points 3 to 57",B143&gt;=Thresholds_Rates!$C$16),$C143*Thresholds_Rates!$F$15,IF(AND(OR($B$4="New Consultant Contract"),$B143&lt;&gt;""),$C143*Thresholds_Rates!$F$15,IF(AND(OR($B$4="Clinical Lecturer / Medical Research Fellow",$B$4="Clinical Consultant - Old Contract (GP)"),$B143&lt;&gt;""),$C143*Thresholds_Rates!$F$15,IF(OR($B$4="APM Level 7",$B$4="R&amp;T Level 7"),$C143*Thresholds_Rates!$F$15,IF(SUMIF(Grades!$A:$A,$B$4,Grades!$BO:$BO)=1,$C143*Thresholds_Rates!$F$15,""))))))))</f>
        <v/>
      </c>
      <c r="F143" s="25" t="str">
        <f ca="1">IF(B143="","",IF($B$4="Salary Points 1 to 57","-",IF(SUMIF(Grades!$A:$A,$B$4,Grades!$BP:$BP)=0,"-",IF(AND(OR($B$4="New Consultant Contract"),$B143&lt;&gt;""),$C143*Thresholds_Rates!$F$16,IF(AND(OR($B$4="Clinical Lecturer / Medical Research Fellow",$B$4="Clinical Consultant - Old Contract (GP)"),$B143&lt;&gt;""),$C143*Thresholds_Rates!$F$16,IF(AND(OR($B$4="APM Level 7",$B$4="R&amp;T Level 7"),E143&lt;&gt;""),$C143*Thresholds_Rates!$F$16,IF(SUMIF(Grades!$A:$A,$B$4,Grades!$BP:$BP)=1,$C143*Thresholds_Rates!$F$16,"")))))))</f>
        <v/>
      </c>
      <c r="G143" s="25" t="str">
        <f ca="1">IF(B143="","",IF(SUMIF(Grades!$A:$A,$B$4,Grades!$BQ:$BQ)=0,"-",IF(AND($B$4="Salary Points 1 to 57",B143&gt;Thresholds_Rates!$C$17),"-",IF(AND($B$4="Salary Points 1 to 57",B143&lt;=Thresholds_Rates!$C$17),$C143*Thresholds_Rates!$F$17,IF(AND(OR($B$4="New Consultant Contract"),$B143&lt;&gt;""),$C143*Thresholds_Rates!$F$17,IF(AND(OR($B$4="Clinical Lecturer / Medical Research Fellow",$B$4="Clinical Consultant - Old Contract (GP)"),$B143&lt;&gt;""),$C143*Thresholds_Rates!$F$17,IF(AND(OR($B$4="APM Level 7",$B$4="R&amp;T Level 7"),F143&lt;&gt;""),$C143*Thresholds_Rates!$F$17,IF(SUMIF(Grades!$A:$A,$B$4,Grades!$BQ:$BQ)=1,$C143*Thresholds_Rates!$F$17,""))))))))</f>
        <v/>
      </c>
      <c r="H143" s="25"/>
      <c r="I143" s="25" t="str">
        <f ca="1">IF(B143="","",(C143*Thresholds_Rates!$C$12))</f>
        <v/>
      </c>
      <c r="J143" s="25"/>
      <c r="K143" s="4"/>
      <c r="L143" s="25" t="str">
        <f t="shared" ca="1" si="18"/>
        <v/>
      </c>
      <c r="M143" s="25" t="str">
        <f t="shared" ca="1" si="19"/>
        <v/>
      </c>
      <c r="N143" s="25" t="str">
        <f t="shared" ca="1" si="20"/>
        <v/>
      </c>
      <c r="O143" s="25" t="str">
        <f t="shared" ca="1" si="21"/>
        <v/>
      </c>
      <c r="P143" s="25" t="str">
        <f t="shared" ca="1" si="22"/>
        <v/>
      </c>
      <c r="R143" s="28"/>
      <c r="S143" s="29"/>
      <c r="T143" s="28"/>
      <c r="U143" s="29"/>
    </row>
    <row r="144" spans="2:21" x14ac:dyDescent="0.25">
      <c r="B144" s="4" t="str">
        <f ca="1">IFERROR(INDEX(Points_Lookup!$A:$A,MATCH($Z146,Points_Lookup!$AH:$AH,0)),"")</f>
        <v/>
      </c>
      <c r="C144" s="25" t="str">
        <f ca="1">IF(B144="","",IF($B$4="Apprenticeship",SUMIF(Points_Lookup!$AD:$AD,B144,Points_Lookup!$AF:$AF),IF(AND(OR($B$4="New Consultant Contract"),$B144&lt;&gt;""),INDEX(Points_Lookup!$N:$N,MATCH($B144,Points_Lookup!$M:$M,0)),IF(AND(OR($B$4="Clinical Lecturer / Medical Research Fellow",$B$4="Clinical Consultant - Old Contract (GP)"),$B144&lt;&gt;""),INDEX(Points_Lookup!$K:$K,MATCH($B144,Points_Lookup!$J:$J,0)),IF(AND(OR($B$4="APM Level 7",$B$4="R&amp;T Level 7",$B$4="APM Level 8"),B144&lt;&gt;""),INDEX(Points_Lookup!$E:$E,MATCH($Z144,Points_Lookup!$AH:$AH,0)),IF($B$4="R&amp;T Level 5 - Clinical Lecturers (Vet School)",SUMIF(Points_Lookup!$P:$P,$B144,Points_Lookup!$S:$S),IF($B$4="R&amp;T Level 6 - Clinical Associate Professors and Clinical Readers (Vet School)",SUMIF(Points_Lookup!$W:$W,$B144,Points_Lookup!$Z:$Z),IFERROR(INDEX(Points_Lookup!$B:$B,MATCH($Z144,Points_Lookup!$AH:$AH,0)),""))))))))</f>
        <v/>
      </c>
      <c r="D144" s="40"/>
      <c r="E144" s="25" t="str">
        <f ca="1">IF($B144="","",IF(AND($B$4="Salary Points 3 to 57",B144&lt;Thresholds_Rates!$C$16),"-",IF(SUMIF(Grades!$A:$A,$B$4,Grades!$BO:$BO)=0,"-",IF(AND($B$4="Salary Points 3 to 57",B144&gt;=Thresholds_Rates!$C$16),$C144*Thresholds_Rates!$F$15,IF(AND(OR($B$4="New Consultant Contract"),$B144&lt;&gt;""),$C144*Thresholds_Rates!$F$15,IF(AND(OR($B$4="Clinical Lecturer / Medical Research Fellow",$B$4="Clinical Consultant - Old Contract (GP)"),$B144&lt;&gt;""),$C144*Thresholds_Rates!$F$15,IF(OR($B$4="APM Level 7",$B$4="R&amp;T Level 7"),$C144*Thresholds_Rates!$F$15,IF(SUMIF(Grades!$A:$A,$B$4,Grades!$BO:$BO)=1,$C144*Thresholds_Rates!$F$15,""))))))))</f>
        <v/>
      </c>
      <c r="F144" s="25" t="str">
        <f ca="1">IF(B144="","",IF($B$4="Salary Points 1 to 57","-",IF(SUMIF(Grades!$A:$A,$B$4,Grades!$BP:$BP)=0,"-",IF(AND(OR($B$4="New Consultant Contract"),$B144&lt;&gt;""),$C144*Thresholds_Rates!$F$16,IF(AND(OR($B$4="Clinical Lecturer / Medical Research Fellow",$B$4="Clinical Consultant - Old Contract (GP)"),$B144&lt;&gt;""),$C144*Thresholds_Rates!$F$16,IF(AND(OR($B$4="APM Level 7",$B$4="R&amp;T Level 7"),E144&lt;&gt;""),$C144*Thresholds_Rates!$F$16,IF(SUMIF(Grades!$A:$A,$B$4,Grades!$BP:$BP)=1,$C144*Thresholds_Rates!$F$16,"")))))))</f>
        <v/>
      </c>
      <c r="G144" s="25" t="str">
        <f ca="1">IF(B144="","",IF(SUMIF(Grades!$A:$A,$B$4,Grades!$BQ:$BQ)=0,"-",IF(AND($B$4="Salary Points 1 to 57",B144&gt;Thresholds_Rates!$C$17),"-",IF(AND($B$4="Salary Points 1 to 57",B144&lt;=Thresholds_Rates!$C$17),$C144*Thresholds_Rates!$F$17,IF(AND(OR($B$4="New Consultant Contract"),$B144&lt;&gt;""),$C144*Thresholds_Rates!$F$17,IF(AND(OR($B$4="Clinical Lecturer / Medical Research Fellow",$B$4="Clinical Consultant - Old Contract (GP)"),$B144&lt;&gt;""),$C144*Thresholds_Rates!$F$17,IF(AND(OR($B$4="APM Level 7",$B$4="R&amp;T Level 7"),F144&lt;&gt;""),$C144*Thresholds_Rates!$F$17,IF(SUMIF(Grades!$A:$A,$B$4,Grades!$BQ:$BQ)=1,$C144*Thresholds_Rates!$F$17,""))))))))</f>
        <v/>
      </c>
      <c r="H144" s="25"/>
      <c r="I144" s="25" t="str">
        <f ca="1">IF(B144="","",(C144*Thresholds_Rates!$C$12))</f>
        <v/>
      </c>
      <c r="J144" s="25"/>
      <c r="K144" s="4"/>
      <c r="L144" s="25" t="str">
        <f t="shared" ca="1" si="18"/>
        <v/>
      </c>
      <c r="M144" s="25" t="str">
        <f t="shared" ca="1" si="19"/>
        <v/>
      </c>
      <c r="N144" s="25" t="str">
        <f t="shared" ca="1" si="20"/>
        <v/>
      </c>
      <c r="O144" s="25" t="str">
        <f t="shared" ca="1" si="21"/>
        <v/>
      </c>
      <c r="P144" s="25" t="str">
        <f t="shared" ca="1" si="22"/>
        <v/>
      </c>
      <c r="R144" s="28"/>
      <c r="S144" s="29"/>
      <c r="T144" s="28"/>
      <c r="U144" s="29"/>
    </row>
    <row r="145" spans="2:21" x14ac:dyDescent="0.25">
      <c r="B145" s="4" t="str">
        <f ca="1">IFERROR(INDEX(Points_Lookup!$A:$A,MATCH($Z147,Points_Lookup!$AH:$AH,0)),"")</f>
        <v/>
      </c>
      <c r="C145" s="25" t="str">
        <f ca="1">IF(B145="","",IF($B$4="Apprenticeship",SUMIF(Points_Lookup!$AD:$AD,B145,Points_Lookup!$AF:$AF),IF(AND(OR($B$4="New Consultant Contract"),$B145&lt;&gt;""),INDEX(Points_Lookup!$N:$N,MATCH($B145,Points_Lookup!$M:$M,0)),IF(AND(OR($B$4="Clinical Lecturer / Medical Research Fellow",$B$4="Clinical Consultant - Old Contract (GP)"),$B145&lt;&gt;""),INDEX(Points_Lookup!$K:$K,MATCH($B145,Points_Lookup!$J:$J,0)),IF(AND(OR($B$4="APM Level 7",$B$4="R&amp;T Level 7",$B$4="APM Level 8"),B145&lt;&gt;""),INDEX(Points_Lookup!$E:$E,MATCH($Z145,Points_Lookup!$AH:$AH,0)),IF($B$4="R&amp;T Level 5 - Clinical Lecturers (Vet School)",SUMIF(Points_Lookup!$P:$P,$B145,Points_Lookup!$S:$S),IF($B$4="R&amp;T Level 6 - Clinical Associate Professors and Clinical Readers (Vet School)",SUMIF(Points_Lookup!$W:$W,$B145,Points_Lookup!$Z:$Z),IFERROR(INDEX(Points_Lookup!$B:$B,MATCH($Z145,Points_Lookup!$AH:$AH,0)),""))))))))</f>
        <v/>
      </c>
      <c r="D145" s="40"/>
      <c r="E145" s="25" t="str">
        <f ca="1">IF($B145="","",IF(AND($B$4="Salary Points 3 to 57",B145&lt;Thresholds_Rates!$C$16),"-",IF(SUMIF(Grades!$A:$A,$B$4,Grades!$BO:$BO)=0,"-",IF(AND($B$4="Salary Points 3 to 57",B145&gt;=Thresholds_Rates!$C$16),$C145*Thresholds_Rates!$F$15,IF(AND(OR($B$4="New Consultant Contract"),$B145&lt;&gt;""),$C145*Thresholds_Rates!$F$15,IF(AND(OR($B$4="Clinical Lecturer / Medical Research Fellow",$B$4="Clinical Consultant - Old Contract (GP)"),$B145&lt;&gt;""),$C145*Thresholds_Rates!$F$15,IF(OR($B$4="APM Level 7",$B$4="R&amp;T Level 7"),$C145*Thresholds_Rates!$F$15,IF(SUMIF(Grades!$A:$A,$B$4,Grades!$BO:$BO)=1,$C145*Thresholds_Rates!$F$15,""))))))))</f>
        <v/>
      </c>
      <c r="F145" s="25" t="str">
        <f ca="1">IF(B145="","",IF($B$4="Salary Points 1 to 57","-",IF(SUMIF(Grades!$A:$A,$B$4,Grades!$BP:$BP)=0,"-",IF(AND(OR($B$4="New Consultant Contract"),$B145&lt;&gt;""),$C145*Thresholds_Rates!$F$16,IF(AND(OR($B$4="Clinical Lecturer / Medical Research Fellow",$B$4="Clinical Consultant - Old Contract (GP)"),$B145&lt;&gt;""),$C145*Thresholds_Rates!$F$16,IF(AND(OR($B$4="APM Level 7",$B$4="R&amp;T Level 7"),E145&lt;&gt;""),$C145*Thresholds_Rates!$F$16,IF(SUMIF(Grades!$A:$A,$B$4,Grades!$BP:$BP)=1,$C145*Thresholds_Rates!$F$16,"")))))))</f>
        <v/>
      </c>
      <c r="G145" s="25" t="str">
        <f ca="1">IF(B145="","",IF(SUMIF(Grades!$A:$A,$B$4,Grades!$BQ:$BQ)=0,"-",IF(AND($B$4="Salary Points 1 to 57",B145&gt;Thresholds_Rates!$C$17),"-",IF(AND($B$4="Salary Points 1 to 57",B145&lt;=Thresholds_Rates!$C$17),$C145*Thresholds_Rates!$F$17,IF(AND(OR($B$4="New Consultant Contract"),$B145&lt;&gt;""),$C145*Thresholds_Rates!$F$17,IF(AND(OR($B$4="Clinical Lecturer / Medical Research Fellow",$B$4="Clinical Consultant - Old Contract (GP)"),$B145&lt;&gt;""),$C145*Thresholds_Rates!$F$17,IF(AND(OR($B$4="APM Level 7",$B$4="R&amp;T Level 7"),F145&lt;&gt;""),$C145*Thresholds_Rates!$F$17,IF(SUMIF(Grades!$A:$A,$B$4,Grades!$BQ:$BQ)=1,$C145*Thresholds_Rates!$F$17,""))))))))</f>
        <v/>
      </c>
      <c r="H145" s="25"/>
      <c r="I145" s="25" t="str">
        <f ca="1">IF(B145="","",(C145*Thresholds_Rates!$C$12))</f>
        <v/>
      </c>
      <c r="J145" s="25"/>
      <c r="K145" s="4"/>
      <c r="L145" s="25" t="str">
        <f t="shared" ca="1" si="18"/>
        <v/>
      </c>
      <c r="M145" s="25" t="str">
        <f t="shared" ca="1" si="19"/>
        <v/>
      </c>
      <c r="N145" s="25" t="str">
        <f t="shared" ca="1" si="20"/>
        <v/>
      </c>
      <c r="O145" s="25" t="str">
        <f t="shared" ca="1" si="21"/>
        <v/>
      </c>
      <c r="P145" s="25" t="str">
        <f t="shared" ca="1" si="22"/>
        <v/>
      </c>
      <c r="R145" s="28"/>
      <c r="S145" s="29"/>
      <c r="T145" s="28"/>
      <c r="U145" s="29"/>
    </row>
    <row r="146" spans="2:21" x14ac:dyDescent="0.25">
      <c r="B146" s="4" t="str">
        <f ca="1">IFERROR(INDEX(Points_Lookup!$A:$A,MATCH($Z148,Points_Lookup!$AH:$AH,0)),"")</f>
        <v/>
      </c>
      <c r="C146" s="25" t="str">
        <f ca="1">IF(B146="","",IF($B$4="Apprenticeship",SUMIF(Points_Lookup!$AD:$AD,B146,Points_Lookup!$AF:$AF),IF(AND(OR($B$4="New Consultant Contract"),$B146&lt;&gt;""),INDEX(Points_Lookup!$N:$N,MATCH($B146,Points_Lookup!$M:$M,0)),IF(AND(OR($B$4="Clinical Lecturer / Medical Research Fellow",$B$4="Clinical Consultant - Old Contract (GP)"),$B146&lt;&gt;""),INDEX(Points_Lookup!$K:$K,MATCH($B146,Points_Lookup!$J:$J,0)),IF(AND(OR($B$4="APM Level 7",$B$4="R&amp;T Level 7",$B$4="APM Level 8"),B146&lt;&gt;""),INDEX(Points_Lookup!$E:$E,MATCH($Z146,Points_Lookup!$AH:$AH,0)),IF($B$4="R&amp;T Level 5 - Clinical Lecturers (Vet School)",SUMIF(Points_Lookup!$P:$P,$B146,Points_Lookup!$S:$S),IF($B$4="R&amp;T Level 6 - Clinical Associate Professors and Clinical Readers (Vet School)",SUMIF(Points_Lookup!$W:$W,$B146,Points_Lookup!$Z:$Z),IFERROR(INDEX(Points_Lookup!$B:$B,MATCH($Z146,Points_Lookup!$AH:$AH,0)),""))))))))</f>
        <v/>
      </c>
      <c r="D146" s="40"/>
      <c r="E146" s="25" t="str">
        <f ca="1">IF($B146="","",IF(AND($B$4="Salary Points 3 to 57",B146&lt;Thresholds_Rates!$C$16),"-",IF(SUMIF(Grades!$A:$A,$B$4,Grades!$BO:$BO)=0,"-",IF(AND($B$4="Salary Points 3 to 57",B146&gt;=Thresholds_Rates!$C$16),$C146*Thresholds_Rates!$F$15,IF(AND(OR($B$4="New Consultant Contract"),$B146&lt;&gt;""),$C146*Thresholds_Rates!$F$15,IF(AND(OR($B$4="Clinical Lecturer / Medical Research Fellow",$B$4="Clinical Consultant - Old Contract (GP)"),$B146&lt;&gt;""),$C146*Thresholds_Rates!$F$15,IF(OR($B$4="APM Level 7",$B$4="R&amp;T Level 7"),$C146*Thresholds_Rates!$F$15,IF(SUMIF(Grades!$A:$A,$B$4,Grades!$BO:$BO)=1,$C146*Thresholds_Rates!$F$15,""))))))))</f>
        <v/>
      </c>
      <c r="F146" s="25" t="str">
        <f ca="1">IF(B146="","",IF($B$4="Salary Points 1 to 57","-",IF(SUMIF(Grades!$A:$A,$B$4,Grades!$BP:$BP)=0,"-",IF(AND(OR($B$4="New Consultant Contract"),$B146&lt;&gt;""),$C146*Thresholds_Rates!$F$16,IF(AND(OR($B$4="Clinical Lecturer / Medical Research Fellow",$B$4="Clinical Consultant - Old Contract (GP)"),$B146&lt;&gt;""),$C146*Thresholds_Rates!$F$16,IF(AND(OR($B$4="APM Level 7",$B$4="R&amp;T Level 7"),E146&lt;&gt;""),$C146*Thresholds_Rates!$F$16,IF(SUMIF(Grades!$A:$A,$B$4,Grades!$BP:$BP)=1,$C146*Thresholds_Rates!$F$16,"")))))))</f>
        <v/>
      </c>
      <c r="G146" s="25" t="str">
        <f ca="1">IF(B146="","",IF(SUMIF(Grades!$A:$A,$B$4,Grades!$BQ:$BQ)=0,"-",IF(AND($B$4="Salary Points 1 to 57",B146&gt;Thresholds_Rates!$C$17),"-",IF(AND($B$4="Salary Points 1 to 57",B146&lt;=Thresholds_Rates!$C$17),$C146*Thresholds_Rates!$F$17,IF(AND(OR($B$4="New Consultant Contract"),$B146&lt;&gt;""),$C146*Thresholds_Rates!$F$17,IF(AND(OR($B$4="Clinical Lecturer / Medical Research Fellow",$B$4="Clinical Consultant - Old Contract (GP)"),$B146&lt;&gt;""),$C146*Thresholds_Rates!$F$17,IF(AND(OR($B$4="APM Level 7",$B$4="R&amp;T Level 7"),F146&lt;&gt;""),$C146*Thresholds_Rates!$F$17,IF(SUMIF(Grades!$A:$A,$B$4,Grades!$BQ:$BQ)=1,$C146*Thresholds_Rates!$F$17,""))))))))</f>
        <v/>
      </c>
      <c r="H146" s="25"/>
      <c r="I146" s="25" t="str">
        <f ca="1">IF(B146="","",(C146*Thresholds_Rates!$C$12))</f>
        <v/>
      </c>
      <c r="J146" s="25"/>
      <c r="K146" s="4"/>
      <c r="L146" s="25" t="str">
        <f t="shared" ca="1" si="18"/>
        <v/>
      </c>
      <c r="M146" s="25" t="str">
        <f t="shared" ca="1" si="19"/>
        <v/>
      </c>
      <c r="N146" s="25" t="str">
        <f t="shared" ca="1" si="20"/>
        <v/>
      </c>
      <c r="O146" s="25" t="str">
        <f t="shared" ca="1" si="21"/>
        <v/>
      </c>
      <c r="P146" s="25" t="str">
        <f t="shared" ca="1" si="22"/>
        <v/>
      </c>
      <c r="R146" s="28"/>
      <c r="S146" s="29"/>
      <c r="T146" s="28"/>
      <c r="U146" s="29"/>
    </row>
    <row r="147" spans="2:21" x14ac:dyDescent="0.25">
      <c r="B147" s="4" t="str">
        <f ca="1">IFERROR(INDEX(Points_Lookup!$A:$A,MATCH($Z149,Points_Lookup!$AH:$AH,0)),"")</f>
        <v/>
      </c>
      <c r="C147" s="25" t="str">
        <f ca="1">IF(B147="","",IF($B$4="Apprenticeship",SUMIF(Points_Lookup!$AD:$AD,B147,Points_Lookup!$AF:$AF),IF(AND(OR($B$4="New Consultant Contract"),$B147&lt;&gt;""),INDEX(Points_Lookup!$N:$N,MATCH($B147,Points_Lookup!$M:$M,0)),IF(AND(OR($B$4="Clinical Lecturer / Medical Research Fellow",$B$4="Clinical Consultant - Old Contract (GP)"),$B147&lt;&gt;""),INDEX(Points_Lookup!$K:$K,MATCH($B147,Points_Lookup!$J:$J,0)),IF(AND(OR($B$4="APM Level 7",$B$4="R&amp;T Level 7",$B$4="APM Level 8"),B147&lt;&gt;""),INDEX(Points_Lookup!$E:$E,MATCH($Z147,Points_Lookup!$AH:$AH,0)),IF($B$4="R&amp;T Level 5 - Clinical Lecturers (Vet School)",SUMIF(Points_Lookup!$P:$P,$B147,Points_Lookup!$S:$S),IF($B$4="R&amp;T Level 6 - Clinical Associate Professors and Clinical Readers (Vet School)",SUMIF(Points_Lookup!$W:$W,$B147,Points_Lookup!$Z:$Z),IFERROR(INDEX(Points_Lookup!$B:$B,MATCH($Z147,Points_Lookup!$AH:$AH,0)),""))))))))</f>
        <v/>
      </c>
      <c r="D147" s="40"/>
      <c r="E147" s="25" t="str">
        <f ca="1">IF($B147="","",IF(AND($B$4="Salary Points 3 to 57",B147&lt;Thresholds_Rates!$C$16),"-",IF(SUMIF(Grades!$A:$A,$B$4,Grades!$BO:$BO)=0,"-",IF(AND($B$4="Salary Points 3 to 57",B147&gt;=Thresholds_Rates!$C$16),$C147*Thresholds_Rates!$F$15,IF(AND(OR($B$4="New Consultant Contract"),$B147&lt;&gt;""),$C147*Thresholds_Rates!$F$15,IF(AND(OR($B$4="Clinical Lecturer / Medical Research Fellow",$B$4="Clinical Consultant - Old Contract (GP)"),$B147&lt;&gt;""),$C147*Thresholds_Rates!$F$15,IF(OR($B$4="APM Level 7",$B$4="R&amp;T Level 7"),$C147*Thresholds_Rates!$F$15,IF(SUMIF(Grades!$A:$A,$B$4,Grades!$BO:$BO)=1,$C147*Thresholds_Rates!$F$15,""))))))))</f>
        <v/>
      </c>
      <c r="F147" s="25" t="str">
        <f ca="1">IF(B147="","",IF($B$4="Salary Points 1 to 57","-",IF(SUMIF(Grades!$A:$A,$B$4,Grades!$BP:$BP)=0,"-",IF(AND(OR($B$4="New Consultant Contract"),$B147&lt;&gt;""),$C147*Thresholds_Rates!$F$16,IF(AND(OR($B$4="Clinical Lecturer / Medical Research Fellow",$B$4="Clinical Consultant - Old Contract (GP)"),$B147&lt;&gt;""),$C147*Thresholds_Rates!$F$16,IF(AND(OR($B$4="APM Level 7",$B$4="R&amp;T Level 7"),E147&lt;&gt;""),$C147*Thresholds_Rates!$F$16,IF(SUMIF(Grades!$A:$A,$B$4,Grades!$BP:$BP)=1,$C147*Thresholds_Rates!$F$16,"")))))))</f>
        <v/>
      </c>
      <c r="G147" s="25" t="str">
        <f ca="1">IF(B147="","",IF(SUMIF(Grades!$A:$A,$B$4,Grades!$BQ:$BQ)=0,"-",IF(AND($B$4="Salary Points 1 to 57",B147&gt;Thresholds_Rates!$C$17),"-",IF(AND($B$4="Salary Points 1 to 57",B147&lt;=Thresholds_Rates!$C$17),$C147*Thresholds_Rates!$F$17,IF(AND(OR($B$4="New Consultant Contract"),$B147&lt;&gt;""),$C147*Thresholds_Rates!$F$17,IF(AND(OR($B$4="Clinical Lecturer / Medical Research Fellow",$B$4="Clinical Consultant - Old Contract (GP)"),$B147&lt;&gt;""),$C147*Thresholds_Rates!$F$17,IF(AND(OR($B$4="APM Level 7",$B$4="R&amp;T Level 7"),F147&lt;&gt;""),$C147*Thresholds_Rates!$F$17,IF(SUMIF(Grades!$A:$A,$B$4,Grades!$BQ:$BQ)=1,$C147*Thresholds_Rates!$F$17,""))))))))</f>
        <v/>
      </c>
      <c r="H147" s="25"/>
      <c r="I147" s="25" t="str">
        <f ca="1">IF(B147="","",(C147*Thresholds_Rates!$C$12))</f>
        <v/>
      </c>
      <c r="J147" s="25"/>
      <c r="K147" s="4"/>
      <c r="L147" s="25" t="str">
        <f t="shared" ca="1" si="18"/>
        <v/>
      </c>
      <c r="M147" s="25" t="str">
        <f t="shared" ca="1" si="19"/>
        <v/>
      </c>
      <c r="N147" s="25" t="str">
        <f t="shared" ca="1" si="20"/>
        <v/>
      </c>
      <c r="O147" s="25" t="str">
        <f t="shared" ca="1" si="21"/>
        <v/>
      </c>
      <c r="P147" s="25" t="str">
        <f t="shared" ca="1" si="22"/>
        <v/>
      </c>
      <c r="R147" s="28"/>
      <c r="S147" s="29"/>
      <c r="T147" s="28"/>
      <c r="U147" s="29"/>
    </row>
    <row r="148" spans="2:21" x14ac:dyDescent="0.25">
      <c r="B148" s="4" t="str">
        <f ca="1">IFERROR(INDEX(Points_Lookup!$A:$A,MATCH($Z150,Points_Lookup!$AH:$AH,0)),"")</f>
        <v/>
      </c>
      <c r="C148" s="25" t="str">
        <f ca="1">IF(B148="","",IF($B$4="Apprenticeship",SUMIF(Points_Lookup!$AD:$AD,B148,Points_Lookup!$AF:$AF),IF(AND(OR($B$4="New Consultant Contract"),$B148&lt;&gt;""),INDEX(Points_Lookup!$N:$N,MATCH($B148,Points_Lookup!$M:$M,0)),IF(AND(OR($B$4="Clinical Lecturer / Medical Research Fellow",$B$4="Clinical Consultant - Old Contract (GP)"),$B148&lt;&gt;""),INDEX(Points_Lookup!$K:$K,MATCH($B148,Points_Lookup!$J:$J,0)),IF(AND(OR($B$4="APM Level 7",$B$4="R&amp;T Level 7",$B$4="APM Level 8"),B148&lt;&gt;""),INDEX(Points_Lookup!$E:$E,MATCH($Z148,Points_Lookup!$AH:$AH,0)),IF($B$4="R&amp;T Level 5 - Clinical Lecturers (Vet School)",SUMIF(Points_Lookup!$P:$P,$B148,Points_Lookup!$S:$S),IF($B$4="R&amp;T Level 6 - Clinical Associate Professors and Clinical Readers (Vet School)",SUMIF(Points_Lookup!$W:$W,$B148,Points_Lookup!$Z:$Z),IFERROR(INDEX(Points_Lookup!$B:$B,MATCH($Z148,Points_Lookup!$AH:$AH,0)),""))))))))</f>
        <v/>
      </c>
      <c r="D148" s="40"/>
      <c r="E148" s="25" t="str">
        <f ca="1">IF($B148="","",IF(AND($B$4="Salary Points 3 to 57",B148&lt;Thresholds_Rates!$C$16),"-",IF(SUMIF(Grades!$A:$A,$B$4,Grades!$BO:$BO)=0,"-",IF(AND($B$4="Salary Points 3 to 57",B148&gt;=Thresholds_Rates!$C$16),$C148*Thresholds_Rates!$F$15,IF(AND(OR($B$4="New Consultant Contract"),$B148&lt;&gt;""),$C148*Thresholds_Rates!$F$15,IF(AND(OR($B$4="Clinical Lecturer / Medical Research Fellow",$B$4="Clinical Consultant - Old Contract (GP)"),$B148&lt;&gt;""),$C148*Thresholds_Rates!$F$15,IF(OR($B$4="APM Level 7",$B$4="R&amp;T Level 7"),$C148*Thresholds_Rates!$F$15,IF(SUMIF(Grades!$A:$A,$B$4,Grades!$BO:$BO)=1,$C148*Thresholds_Rates!$F$15,""))))))))</f>
        <v/>
      </c>
      <c r="F148" s="25" t="str">
        <f ca="1">IF(B148="","",IF($B$4="Salary Points 1 to 57","-",IF(SUMIF(Grades!$A:$A,$B$4,Grades!$BP:$BP)=0,"-",IF(AND(OR($B$4="New Consultant Contract"),$B148&lt;&gt;""),$C148*Thresholds_Rates!$F$16,IF(AND(OR($B$4="Clinical Lecturer / Medical Research Fellow",$B$4="Clinical Consultant - Old Contract (GP)"),$B148&lt;&gt;""),$C148*Thresholds_Rates!$F$16,IF(AND(OR($B$4="APM Level 7",$B$4="R&amp;T Level 7"),E148&lt;&gt;""),$C148*Thresholds_Rates!$F$16,IF(SUMIF(Grades!$A:$A,$B$4,Grades!$BP:$BP)=1,$C148*Thresholds_Rates!$F$16,"")))))))</f>
        <v/>
      </c>
      <c r="G148" s="25" t="str">
        <f ca="1">IF(B148="","",IF(SUMIF(Grades!$A:$A,$B$4,Grades!$BQ:$BQ)=0,"-",IF(AND($B$4="Salary Points 1 to 57",B148&gt;Thresholds_Rates!$C$17),"-",IF(AND($B$4="Salary Points 1 to 57",B148&lt;=Thresholds_Rates!$C$17),$C148*Thresholds_Rates!$F$17,IF(AND(OR($B$4="New Consultant Contract"),$B148&lt;&gt;""),$C148*Thresholds_Rates!$F$17,IF(AND(OR($B$4="Clinical Lecturer / Medical Research Fellow",$B$4="Clinical Consultant - Old Contract (GP)"),$B148&lt;&gt;""),$C148*Thresholds_Rates!$F$17,IF(AND(OR($B$4="APM Level 7",$B$4="R&amp;T Level 7"),F148&lt;&gt;""),$C148*Thresholds_Rates!$F$17,IF(SUMIF(Grades!$A:$A,$B$4,Grades!$BQ:$BQ)=1,$C148*Thresholds_Rates!$F$17,""))))))))</f>
        <v/>
      </c>
      <c r="H148" s="25"/>
      <c r="I148" s="25" t="str">
        <f ca="1">IF(B148="","",(C148*Thresholds_Rates!$C$12))</f>
        <v/>
      </c>
      <c r="J148" s="25"/>
      <c r="K148" s="4"/>
      <c r="L148" s="25" t="str">
        <f t="shared" ca="1" si="18"/>
        <v/>
      </c>
      <c r="M148" s="25" t="str">
        <f t="shared" ca="1" si="19"/>
        <v/>
      </c>
      <c r="N148" s="25" t="str">
        <f t="shared" ca="1" si="20"/>
        <v/>
      </c>
      <c r="O148" s="25" t="str">
        <f t="shared" ca="1" si="21"/>
        <v/>
      </c>
      <c r="P148" s="25" t="str">
        <f t="shared" ca="1" si="22"/>
        <v/>
      </c>
      <c r="R148" s="28"/>
      <c r="S148" s="29"/>
      <c r="T148" s="28"/>
      <c r="U148" s="29"/>
    </row>
    <row r="149" spans="2:21" x14ac:dyDescent="0.25">
      <c r="B149" s="4" t="str">
        <f ca="1">IFERROR(INDEX(Points_Lookup!$A:$A,MATCH($Z151,Points_Lookup!$AH:$AH,0)),"")</f>
        <v/>
      </c>
      <c r="C149" s="25" t="str">
        <f ca="1">IF(B149="","",IF($B$4="Apprenticeship",SUMIF(Points_Lookup!$AD:$AD,B149,Points_Lookup!$AF:$AF),IF(AND(OR($B$4="New Consultant Contract"),$B149&lt;&gt;""),INDEX(Points_Lookup!$N:$N,MATCH($B149,Points_Lookup!$M:$M,0)),IF(AND(OR($B$4="Clinical Lecturer / Medical Research Fellow",$B$4="Clinical Consultant - Old Contract (GP)"),$B149&lt;&gt;""),INDEX(Points_Lookup!$K:$K,MATCH($B149,Points_Lookup!$J:$J,0)),IF(AND(OR($B$4="APM Level 7",$B$4="R&amp;T Level 7",$B$4="APM Level 8"),B149&lt;&gt;""),INDEX(Points_Lookup!$E:$E,MATCH($Z149,Points_Lookup!$AH:$AH,0)),IF($B$4="R&amp;T Level 5 - Clinical Lecturers (Vet School)",SUMIF(Points_Lookup!$P:$P,$B149,Points_Lookup!$S:$S),IF($B$4="R&amp;T Level 6 - Clinical Associate Professors and Clinical Readers (Vet School)",SUMIF(Points_Lookup!$W:$W,$B149,Points_Lookup!$Z:$Z),IFERROR(INDEX(Points_Lookup!$B:$B,MATCH($Z149,Points_Lookup!$AH:$AH,0)),""))))))))</f>
        <v/>
      </c>
      <c r="D149" s="40"/>
      <c r="E149" s="25" t="str">
        <f ca="1">IF($B149="","",IF(AND($B$4="Salary Points 3 to 57",B149&lt;Thresholds_Rates!$C$16),"-",IF(SUMIF(Grades!$A:$A,$B$4,Grades!$BO:$BO)=0,"-",IF(AND($B$4="Salary Points 3 to 57",B149&gt;=Thresholds_Rates!$C$16),$C149*Thresholds_Rates!$F$15,IF(AND(OR($B$4="New Consultant Contract"),$B149&lt;&gt;""),$C149*Thresholds_Rates!$F$15,IF(AND(OR($B$4="Clinical Lecturer / Medical Research Fellow",$B$4="Clinical Consultant - Old Contract (GP)"),$B149&lt;&gt;""),$C149*Thresholds_Rates!$F$15,IF(OR($B$4="APM Level 7",$B$4="R&amp;T Level 7"),$C149*Thresholds_Rates!$F$15,IF(SUMIF(Grades!$A:$A,$B$4,Grades!$BO:$BO)=1,$C149*Thresholds_Rates!$F$15,""))))))))</f>
        <v/>
      </c>
      <c r="F149" s="25" t="str">
        <f ca="1">IF(B149="","",IF($B$4="Salary Points 1 to 57","-",IF(SUMIF(Grades!$A:$A,$B$4,Grades!$BP:$BP)=0,"-",IF(AND(OR($B$4="New Consultant Contract"),$B149&lt;&gt;""),$C149*Thresholds_Rates!$F$16,IF(AND(OR($B$4="Clinical Lecturer / Medical Research Fellow",$B$4="Clinical Consultant - Old Contract (GP)"),$B149&lt;&gt;""),$C149*Thresholds_Rates!$F$16,IF(AND(OR($B$4="APM Level 7",$B$4="R&amp;T Level 7"),E149&lt;&gt;""),$C149*Thresholds_Rates!$F$16,IF(SUMIF(Grades!$A:$A,$B$4,Grades!$BP:$BP)=1,$C149*Thresholds_Rates!$F$16,"")))))))</f>
        <v/>
      </c>
      <c r="G149" s="25" t="str">
        <f ca="1">IF(B149="","",IF(SUMIF(Grades!$A:$A,$B$4,Grades!$BQ:$BQ)=0,"-",IF(AND($B$4="Salary Points 1 to 57",B149&gt;Thresholds_Rates!$C$17),"-",IF(AND($B$4="Salary Points 1 to 57",B149&lt;=Thresholds_Rates!$C$17),$C149*Thresholds_Rates!$F$17,IF(AND(OR($B$4="New Consultant Contract"),$B149&lt;&gt;""),$C149*Thresholds_Rates!$F$17,IF(AND(OR($B$4="Clinical Lecturer / Medical Research Fellow",$B$4="Clinical Consultant - Old Contract (GP)"),$B149&lt;&gt;""),$C149*Thresholds_Rates!$F$17,IF(AND(OR($B$4="APM Level 7",$B$4="R&amp;T Level 7"),F149&lt;&gt;""),$C149*Thresholds_Rates!$F$17,IF(SUMIF(Grades!$A:$A,$B$4,Grades!$BQ:$BQ)=1,$C149*Thresholds_Rates!$F$17,""))))))))</f>
        <v/>
      </c>
      <c r="H149" s="25"/>
      <c r="I149" s="25" t="str">
        <f ca="1">IF(B149="","",(C149*Thresholds_Rates!$C$12))</f>
        <v/>
      </c>
      <c r="J149" s="25"/>
      <c r="K149" s="4"/>
      <c r="L149" s="25" t="str">
        <f t="shared" ca="1" si="18"/>
        <v/>
      </c>
      <c r="M149" s="25" t="str">
        <f t="shared" ca="1" si="19"/>
        <v/>
      </c>
      <c r="N149" s="25" t="str">
        <f t="shared" ca="1" si="20"/>
        <v/>
      </c>
      <c r="O149" s="25" t="str">
        <f t="shared" ca="1" si="21"/>
        <v/>
      </c>
      <c r="P149" s="25" t="str">
        <f t="shared" ca="1" si="22"/>
        <v/>
      </c>
      <c r="R149" s="28"/>
      <c r="S149" s="29"/>
      <c r="T149" s="28"/>
      <c r="U149" s="29"/>
    </row>
    <row r="150" spans="2:21" x14ac:dyDescent="0.25">
      <c r="B150" s="4" t="str">
        <f ca="1">IFERROR(INDEX(Points_Lookup!$A:$A,MATCH($Z152,Points_Lookup!$AH:$AH,0)),"")</f>
        <v/>
      </c>
      <c r="C150" s="25" t="str">
        <f ca="1">IF(B150="","",IF($B$4="Apprenticeship",SUMIF(Points_Lookup!$AD:$AD,B150,Points_Lookup!$AF:$AF),IF(AND(OR($B$4="New Consultant Contract"),$B150&lt;&gt;""),INDEX(Points_Lookup!$N:$N,MATCH($B150,Points_Lookup!$M:$M,0)),IF(AND(OR($B$4="Clinical Lecturer / Medical Research Fellow",$B$4="Clinical Consultant - Old Contract (GP)"),$B150&lt;&gt;""),INDEX(Points_Lookup!$K:$K,MATCH($B150,Points_Lookup!$J:$J,0)),IF(AND(OR($B$4="APM Level 7",$B$4="R&amp;T Level 7",$B$4="APM Level 8"),B150&lt;&gt;""),INDEX(Points_Lookup!$E:$E,MATCH($Z150,Points_Lookup!$AH:$AH,0)),IF($B$4="R&amp;T Level 5 - Clinical Lecturers (Vet School)",SUMIF(Points_Lookup!$P:$P,$B150,Points_Lookup!$S:$S),IF($B$4="R&amp;T Level 6 - Clinical Associate Professors and Clinical Readers (Vet School)",SUMIF(Points_Lookup!$W:$W,$B150,Points_Lookup!$Z:$Z),IFERROR(INDEX(Points_Lookup!$B:$B,MATCH($Z150,Points_Lookup!$AH:$AH,0)),""))))))))</f>
        <v/>
      </c>
      <c r="D150" s="40"/>
      <c r="E150" s="25" t="str">
        <f ca="1">IF($B150="","",IF(AND($B$4="Salary Points 3 to 57",B150&lt;Thresholds_Rates!$C$16),"-",IF(SUMIF(Grades!$A:$A,$B$4,Grades!$BO:$BO)=0,"-",IF(AND($B$4="Salary Points 3 to 57",B150&gt;=Thresholds_Rates!$C$16),$C150*Thresholds_Rates!$F$15,IF(AND(OR($B$4="New Consultant Contract"),$B150&lt;&gt;""),$C150*Thresholds_Rates!$F$15,IF(AND(OR($B$4="Clinical Lecturer / Medical Research Fellow",$B$4="Clinical Consultant - Old Contract (GP)"),$B150&lt;&gt;""),$C150*Thresholds_Rates!$F$15,IF(OR($B$4="APM Level 7",$B$4="R&amp;T Level 7"),$C150*Thresholds_Rates!$F$15,IF(SUMIF(Grades!$A:$A,$B$4,Grades!$BO:$BO)=1,$C150*Thresholds_Rates!$F$15,""))))))))</f>
        <v/>
      </c>
      <c r="F150" s="25" t="str">
        <f ca="1">IF(B150="","",IF($B$4="Salary Points 1 to 57","-",IF(SUMIF(Grades!$A:$A,$B$4,Grades!$BP:$BP)=0,"-",IF(AND(OR($B$4="New Consultant Contract"),$B150&lt;&gt;""),$C150*Thresholds_Rates!$F$16,IF(AND(OR($B$4="Clinical Lecturer / Medical Research Fellow",$B$4="Clinical Consultant - Old Contract (GP)"),$B150&lt;&gt;""),$C150*Thresholds_Rates!$F$16,IF(AND(OR($B$4="APM Level 7",$B$4="R&amp;T Level 7"),E150&lt;&gt;""),$C150*Thresholds_Rates!$F$16,IF(SUMIF(Grades!$A:$A,$B$4,Grades!$BP:$BP)=1,$C150*Thresholds_Rates!$F$16,"")))))))</f>
        <v/>
      </c>
      <c r="G150" s="25" t="str">
        <f ca="1">IF(B150="","",IF(SUMIF(Grades!$A:$A,$B$4,Grades!$BQ:$BQ)=0,"-",IF(AND($B$4="Salary Points 1 to 57",B150&gt;Thresholds_Rates!$C$17),"-",IF(AND($B$4="Salary Points 1 to 57",B150&lt;=Thresholds_Rates!$C$17),$C150*Thresholds_Rates!$F$17,IF(AND(OR($B$4="New Consultant Contract"),$B150&lt;&gt;""),$C150*Thresholds_Rates!$F$17,IF(AND(OR($B$4="Clinical Lecturer / Medical Research Fellow",$B$4="Clinical Consultant - Old Contract (GP)"),$B150&lt;&gt;""),$C150*Thresholds_Rates!$F$17,IF(AND(OR($B$4="APM Level 7",$B$4="R&amp;T Level 7"),F150&lt;&gt;""),$C150*Thresholds_Rates!$F$17,IF(SUMIF(Grades!$A:$A,$B$4,Grades!$BQ:$BQ)=1,$C150*Thresholds_Rates!$F$17,""))))))))</f>
        <v/>
      </c>
      <c r="H150" s="25"/>
      <c r="I150" s="25" t="str">
        <f ca="1">IF(B150="","",(C150*Thresholds_Rates!$C$12))</f>
        <v/>
      </c>
      <c r="J150" s="25"/>
      <c r="K150" s="4"/>
      <c r="L150" s="25" t="str">
        <f t="shared" ca="1" si="18"/>
        <v/>
      </c>
      <c r="M150" s="25" t="str">
        <f t="shared" ca="1" si="19"/>
        <v/>
      </c>
      <c r="N150" s="25" t="str">
        <f t="shared" ca="1" si="20"/>
        <v/>
      </c>
      <c r="O150" s="25" t="str">
        <f t="shared" ca="1" si="21"/>
        <v/>
      </c>
      <c r="P150" s="25" t="str">
        <f t="shared" ca="1" si="22"/>
        <v/>
      </c>
      <c r="R150" s="28"/>
      <c r="S150" s="29"/>
      <c r="T150" s="28"/>
      <c r="U150" s="29"/>
    </row>
    <row r="151" spans="2:21" x14ac:dyDescent="0.25">
      <c r="B151" s="4" t="str">
        <f ca="1">IFERROR(INDEX(Points_Lookup!$A:$A,MATCH($Z153,Points_Lookup!$AH:$AH,0)),"")</f>
        <v/>
      </c>
      <c r="C151" s="25" t="str">
        <f ca="1">IF(B151="","",IF($B$4="Apprenticeship",SUMIF(Points_Lookup!$AD:$AD,B151,Points_Lookup!$AF:$AF),IF(AND(OR($B$4="New Consultant Contract"),$B151&lt;&gt;""),INDEX(Points_Lookup!$N:$N,MATCH($B151,Points_Lookup!$M:$M,0)),IF(AND(OR($B$4="Clinical Lecturer / Medical Research Fellow",$B$4="Clinical Consultant - Old Contract (GP)"),$B151&lt;&gt;""),INDEX(Points_Lookup!$K:$K,MATCH($B151,Points_Lookup!$J:$J,0)),IF(AND(OR($B$4="APM Level 7",$B$4="R&amp;T Level 7",$B$4="APM Level 8"),B151&lt;&gt;""),INDEX(Points_Lookup!$E:$E,MATCH($Z151,Points_Lookup!$AH:$AH,0)),IF($B$4="R&amp;T Level 5 - Clinical Lecturers (Vet School)",SUMIF(Points_Lookup!$P:$P,$B151,Points_Lookup!$S:$S),IF($B$4="R&amp;T Level 6 - Clinical Associate Professors and Clinical Readers (Vet School)",SUMIF(Points_Lookup!$W:$W,$B151,Points_Lookup!$Z:$Z),IFERROR(INDEX(Points_Lookup!$B:$B,MATCH($Z151,Points_Lookup!$AH:$AH,0)),""))))))))</f>
        <v/>
      </c>
      <c r="D151" s="40"/>
      <c r="E151" s="25" t="str">
        <f ca="1">IF($B151="","",IF(AND($B$4="Salary Points 3 to 57",B151&lt;Thresholds_Rates!$C$16),"-",IF(SUMIF(Grades!$A:$A,$B$4,Grades!$BO:$BO)=0,"-",IF(AND($B$4="Salary Points 3 to 57",B151&gt;=Thresholds_Rates!$C$16),$C151*Thresholds_Rates!$F$15,IF(AND(OR($B$4="New Consultant Contract"),$B151&lt;&gt;""),$C151*Thresholds_Rates!$F$15,IF(AND(OR($B$4="Clinical Lecturer / Medical Research Fellow",$B$4="Clinical Consultant - Old Contract (GP)"),$B151&lt;&gt;""),$C151*Thresholds_Rates!$F$15,IF(OR($B$4="APM Level 7",$B$4="R&amp;T Level 7"),$C151*Thresholds_Rates!$F$15,IF(SUMIF(Grades!$A:$A,$B$4,Grades!$BO:$BO)=1,$C151*Thresholds_Rates!$F$15,""))))))))</f>
        <v/>
      </c>
      <c r="F151" s="25" t="str">
        <f ca="1">IF(B151="","",IF($B$4="Salary Points 1 to 57","-",IF(SUMIF(Grades!$A:$A,$B$4,Grades!$BP:$BP)=0,"-",IF(AND(OR($B$4="New Consultant Contract"),$B151&lt;&gt;""),$C151*Thresholds_Rates!$F$16,IF(AND(OR($B$4="Clinical Lecturer / Medical Research Fellow",$B$4="Clinical Consultant - Old Contract (GP)"),$B151&lt;&gt;""),$C151*Thresholds_Rates!$F$16,IF(AND(OR($B$4="APM Level 7",$B$4="R&amp;T Level 7"),E151&lt;&gt;""),$C151*Thresholds_Rates!$F$16,IF(SUMIF(Grades!$A:$A,$B$4,Grades!$BP:$BP)=1,$C151*Thresholds_Rates!$F$16,"")))))))</f>
        <v/>
      </c>
      <c r="G151" s="25" t="str">
        <f ca="1">IF(B151="","",IF(SUMIF(Grades!$A:$A,$B$4,Grades!$BQ:$BQ)=0,"-",IF(AND($B$4="Salary Points 1 to 57",B151&gt;Thresholds_Rates!$C$17),"-",IF(AND($B$4="Salary Points 1 to 57",B151&lt;=Thresholds_Rates!$C$17),$C151*Thresholds_Rates!$F$17,IF(AND(OR($B$4="New Consultant Contract"),$B151&lt;&gt;""),$C151*Thresholds_Rates!$F$17,IF(AND(OR($B$4="Clinical Lecturer / Medical Research Fellow",$B$4="Clinical Consultant - Old Contract (GP)"),$B151&lt;&gt;""),$C151*Thresholds_Rates!$F$17,IF(AND(OR($B$4="APM Level 7",$B$4="R&amp;T Level 7"),F151&lt;&gt;""),$C151*Thresholds_Rates!$F$17,IF(SUMIF(Grades!$A:$A,$B$4,Grades!$BQ:$BQ)=1,$C151*Thresholds_Rates!$F$17,""))))))))</f>
        <v/>
      </c>
      <c r="H151" s="25"/>
      <c r="I151" s="25" t="str">
        <f ca="1">IF(B151="","",(C151*Thresholds_Rates!$C$12))</f>
        <v/>
      </c>
      <c r="J151" s="25"/>
      <c r="K151" s="4"/>
      <c r="L151" s="25" t="str">
        <f t="shared" ca="1" si="18"/>
        <v/>
      </c>
      <c r="M151" s="25" t="str">
        <f t="shared" ca="1" si="19"/>
        <v/>
      </c>
      <c r="N151" s="25" t="str">
        <f t="shared" ca="1" si="20"/>
        <v/>
      </c>
      <c r="O151" s="25" t="str">
        <f t="shared" ca="1" si="21"/>
        <v/>
      </c>
      <c r="P151" s="25" t="str">
        <f t="shared" ca="1" si="22"/>
        <v/>
      </c>
      <c r="R151" s="28"/>
      <c r="S151" s="29"/>
      <c r="T151" s="28"/>
      <c r="U151" s="29"/>
    </row>
    <row r="152" spans="2:21" x14ac:dyDescent="0.25">
      <c r="B152" s="4" t="str">
        <f ca="1">IFERROR(INDEX(Points_Lookup!$A:$A,MATCH($Z154,Points_Lookup!$AH:$AH,0)),"")</f>
        <v/>
      </c>
      <c r="C152" s="25" t="str">
        <f ca="1">IF(B152="","",IF($B$4="Apprenticeship",SUMIF(Points_Lookup!$AD:$AD,B152,Points_Lookup!$AF:$AF),IF(AND(OR($B$4="New Consultant Contract"),$B152&lt;&gt;""),INDEX(Points_Lookup!$N:$N,MATCH($B152,Points_Lookup!$M:$M,0)),IF(AND(OR($B$4="Clinical Lecturer / Medical Research Fellow",$B$4="Clinical Consultant - Old Contract (GP)"),$B152&lt;&gt;""),INDEX(Points_Lookup!$K:$K,MATCH($B152,Points_Lookup!$J:$J,0)),IF(AND(OR($B$4="APM Level 7",$B$4="R&amp;T Level 7",$B$4="APM Level 8"),B152&lt;&gt;""),INDEX(Points_Lookup!$E:$E,MATCH($Z152,Points_Lookup!$AH:$AH,0)),IF($B$4="R&amp;T Level 5 - Clinical Lecturers (Vet School)",SUMIF(Points_Lookup!$P:$P,$B152,Points_Lookup!$S:$S),IF($B$4="R&amp;T Level 6 - Clinical Associate Professors and Clinical Readers (Vet School)",SUMIF(Points_Lookup!$W:$W,$B152,Points_Lookup!$Z:$Z),IFERROR(INDEX(Points_Lookup!$B:$B,MATCH($Z152,Points_Lookup!$AH:$AH,0)),""))))))))</f>
        <v/>
      </c>
      <c r="D152" s="40"/>
      <c r="E152" s="25" t="str">
        <f ca="1">IF($B152="","",IF(AND($B$4="Salary Points 3 to 57",B152&lt;Thresholds_Rates!$C$16),"-",IF(SUMIF(Grades!$A:$A,$B$4,Grades!$BO:$BO)=0,"-",IF(AND($B$4="Salary Points 3 to 57",B152&gt;=Thresholds_Rates!$C$16),$C152*Thresholds_Rates!$F$15,IF(AND(OR($B$4="New Consultant Contract"),$B152&lt;&gt;""),$C152*Thresholds_Rates!$F$15,IF(AND(OR($B$4="Clinical Lecturer / Medical Research Fellow",$B$4="Clinical Consultant - Old Contract (GP)"),$B152&lt;&gt;""),$C152*Thresholds_Rates!$F$15,IF(OR($B$4="APM Level 7",$B$4="R&amp;T Level 7"),$C152*Thresholds_Rates!$F$15,IF(SUMIF(Grades!$A:$A,$B$4,Grades!$BO:$BO)=1,$C152*Thresholds_Rates!$F$15,""))))))))</f>
        <v/>
      </c>
      <c r="F152" s="25" t="str">
        <f ca="1">IF(B152="","",IF($B$4="Salary Points 1 to 57","-",IF(SUMIF(Grades!$A:$A,$B$4,Grades!$BP:$BP)=0,"-",IF(AND(OR($B$4="New Consultant Contract"),$B152&lt;&gt;""),$C152*Thresholds_Rates!$F$16,IF(AND(OR($B$4="Clinical Lecturer / Medical Research Fellow",$B$4="Clinical Consultant - Old Contract (GP)"),$B152&lt;&gt;""),$C152*Thresholds_Rates!$F$16,IF(AND(OR($B$4="APM Level 7",$B$4="R&amp;T Level 7"),E152&lt;&gt;""),$C152*Thresholds_Rates!$F$16,IF(SUMIF(Grades!$A:$A,$B$4,Grades!$BP:$BP)=1,$C152*Thresholds_Rates!$F$16,"")))))))</f>
        <v/>
      </c>
      <c r="G152" s="25" t="str">
        <f ca="1">IF(B152="","",IF(SUMIF(Grades!$A:$A,$B$4,Grades!$BQ:$BQ)=0,"-",IF(AND($B$4="Salary Points 1 to 57",B152&gt;Thresholds_Rates!$C$17),"-",IF(AND($B$4="Salary Points 1 to 57",B152&lt;=Thresholds_Rates!$C$17),$C152*Thresholds_Rates!$F$17,IF(AND(OR($B$4="New Consultant Contract"),$B152&lt;&gt;""),$C152*Thresholds_Rates!$F$17,IF(AND(OR($B$4="Clinical Lecturer / Medical Research Fellow",$B$4="Clinical Consultant - Old Contract (GP)"),$B152&lt;&gt;""),$C152*Thresholds_Rates!$F$17,IF(AND(OR($B$4="APM Level 7",$B$4="R&amp;T Level 7"),F152&lt;&gt;""),$C152*Thresholds_Rates!$F$17,IF(SUMIF(Grades!$A:$A,$B$4,Grades!$BQ:$BQ)=1,$C152*Thresholds_Rates!$F$17,""))))))))</f>
        <v/>
      </c>
      <c r="H152" s="25"/>
      <c r="I152" s="25" t="str">
        <f ca="1">IF(B152="","",(C152*Thresholds_Rates!$C$12))</f>
        <v/>
      </c>
      <c r="J152" s="25"/>
      <c r="K152" s="4"/>
      <c r="L152" s="25" t="str">
        <f t="shared" ca="1" si="18"/>
        <v/>
      </c>
      <c r="M152" s="25" t="str">
        <f t="shared" ca="1" si="19"/>
        <v/>
      </c>
      <c r="N152" s="25" t="str">
        <f t="shared" ca="1" si="20"/>
        <v/>
      </c>
      <c r="O152" s="25" t="str">
        <f t="shared" ca="1" si="21"/>
        <v/>
      </c>
      <c r="P152" s="25" t="str">
        <f t="shared" ca="1" si="22"/>
        <v/>
      </c>
      <c r="R152" s="28"/>
      <c r="S152" s="29"/>
      <c r="T152" s="28"/>
      <c r="U152" s="29"/>
    </row>
    <row r="153" spans="2:21" x14ac:dyDescent="0.25">
      <c r="B153" s="4" t="str">
        <f ca="1">IFERROR(INDEX(Points_Lookup!$A:$A,MATCH($Z155,Points_Lookup!$AH:$AH,0)),"")</f>
        <v/>
      </c>
      <c r="C153" s="25" t="str">
        <f ca="1">IF(B153="","",IF($B$4="Apprenticeship",SUMIF(Points_Lookup!$AD:$AD,B153,Points_Lookup!$AF:$AF),IF(AND(OR($B$4="New Consultant Contract"),$B153&lt;&gt;""),INDEX(Points_Lookup!$N:$N,MATCH($B153,Points_Lookup!$M:$M,0)),IF(AND(OR($B$4="Clinical Lecturer / Medical Research Fellow",$B$4="Clinical Consultant - Old Contract (GP)"),$B153&lt;&gt;""),INDEX(Points_Lookup!$K:$K,MATCH($B153,Points_Lookup!$J:$J,0)),IF(AND(OR($B$4="APM Level 7",$B$4="R&amp;T Level 7",$B$4="APM Level 8"),B153&lt;&gt;""),INDEX(Points_Lookup!$E:$E,MATCH($Z153,Points_Lookup!$AH:$AH,0)),IF($B$4="R&amp;T Level 5 - Clinical Lecturers (Vet School)",SUMIF(Points_Lookup!$P:$P,$B153,Points_Lookup!$S:$S),IF($B$4="R&amp;T Level 6 - Clinical Associate Professors and Clinical Readers (Vet School)",SUMIF(Points_Lookup!$W:$W,$B153,Points_Lookup!$Z:$Z),IFERROR(INDEX(Points_Lookup!$B:$B,MATCH($Z153,Points_Lookup!$AH:$AH,0)),""))))))))</f>
        <v/>
      </c>
      <c r="D153" s="40"/>
      <c r="E153" s="25" t="str">
        <f ca="1">IF($B153="","",IF(AND($B$4="Salary Points 3 to 57",B153&lt;Thresholds_Rates!$C$16),"-",IF(SUMIF(Grades!$A:$A,$B$4,Grades!$BO:$BO)=0,"-",IF(AND($B$4="Salary Points 3 to 57",B153&gt;=Thresholds_Rates!$C$16),$C153*Thresholds_Rates!$F$15,IF(AND(OR($B$4="New Consultant Contract"),$B153&lt;&gt;""),$C153*Thresholds_Rates!$F$15,IF(AND(OR($B$4="Clinical Lecturer / Medical Research Fellow",$B$4="Clinical Consultant - Old Contract (GP)"),$B153&lt;&gt;""),$C153*Thresholds_Rates!$F$15,IF(OR($B$4="APM Level 7",$B$4="R&amp;T Level 7"),$C153*Thresholds_Rates!$F$15,IF(SUMIF(Grades!$A:$A,$B$4,Grades!$BO:$BO)=1,$C153*Thresholds_Rates!$F$15,""))))))))</f>
        <v/>
      </c>
      <c r="F153" s="25" t="str">
        <f ca="1">IF(B153="","",IF($B$4="Salary Points 1 to 57","-",IF(SUMIF(Grades!$A:$A,$B$4,Grades!$BP:$BP)=0,"-",IF(AND(OR($B$4="New Consultant Contract"),$B153&lt;&gt;""),$C153*Thresholds_Rates!$F$16,IF(AND(OR($B$4="Clinical Lecturer / Medical Research Fellow",$B$4="Clinical Consultant - Old Contract (GP)"),$B153&lt;&gt;""),$C153*Thresholds_Rates!$F$16,IF(AND(OR($B$4="APM Level 7",$B$4="R&amp;T Level 7"),E153&lt;&gt;""),$C153*Thresholds_Rates!$F$16,IF(SUMIF(Grades!$A:$A,$B$4,Grades!$BP:$BP)=1,$C153*Thresholds_Rates!$F$16,"")))))))</f>
        <v/>
      </c>
      <c r="G153" s="25" t="str">
        <f ca="1">IF(B153="","",IF(SUMIF(Grades!$A:$A,$B$4,Grades!$BQ:$BQ)=0,"-",IF(AND($B$4="Salary Points 1 to 57",B153&gt;Thresholds_Rates!$C$17),"-",IF(AND($B$4="Salary Points 1 to 57",B153&lt;=Thresholds_Rates!$C$17),$C153*Thresholds_Rates!$F$17,IF(AND(OR($B$4="New Consultant Contract"),$B153&lt;&gt;""),$C153*Thresholds_Rates!$F$17,IF(AND(OR($B$4="Clinical Lecturer / Medical Research Fellow",$B$4="Clinical Consultant - Old Contract (GP)"),$B153&lt;&gt;""),$C153*Thresholds_Rates!$F$17,IF(AND(OR($B$4="APM Level 7",$B$4="R&amp;T Level 7"),F153&lt;&gt;""),$C153*Thresholds_Rates!$F$17,IF(SUMIF(Grades!$A:$A,$B$4,Grades!$BQ:$BQ)=1,$C153*Thresholds_Rates!$F$17,""))))))))</f>
        <v/>
      </c>
      <c r="H153" s="25"/>
      <c r="I153" s="25" t="str">
        <f ca="1">IF(B153="","",(C153*Thresholds_Rates!$C$12))</f>
        <v/>
      </c>
      <c r="J153" s="25"/>
      <c r="K153" s="4"/>
      <c r="L153" s="25" t="str">
        <f t="shared" ca="1" si="18"/>
        <v/>
      </c>
      <c r="M153" s="25" t="str">
        <f t="shared" ca="1" si="19"/>
        <v/>
      </c>
      <c r="N153" s="25" t="str">
        <f t="shared" ca="1" si="20"/>
        <v/>
      </c>
      <c r="O153" s="25" t="str">
        <f t="shared" ca="1" si="21"/>
        <v/>
      </c>
      <c r="P153" s="25" t="str">
        <f t="shared" ca="1" si="22"/>
        <v/>
      </c>
      <c r="R153" s="28"/>
      <c r="S153" s="29"/>
      <c r="T153" s="28"/>
      <c r="U153" s="29"/>
    </row>
    <row r="154" spans="2:21" x14ac:dyDescent="0.25">
      <c r="B154" s="4" t="str">
        <f ca="1">IFERROR(INDEX(Points_Lookup!$A:$A,MATCH($Z156,Points_Lookup!$AH:$AH,0)),"")</f>
        <v/>
      </c>
      <c r="C154" s="25" t="str">
        <f ca="1">IF(B154="","",IF($B$4="Apprenticeship",SUMIF(Points_Lookup!$AD:$AD,B154,Points_Lookup!$AF:$AF),IF(AND(OR($B$4="New Consultant Contract"),$B154&lt;&gt;""),INDEX(Points_Lookup!$N:$N,MATCH($B154,Points_Lookup!$M:$M,0)),IF(AND(OR($B$4="Clinical Lecturer / Medical Research Fellow",$B$4="Clinical Consultant - Old Contract (GP)"),$B154&lt;&gt;""),INDEX(Points_Lookup!$K:$K,MATCH($B154,Points_Lookup!$J:$J,0)),IF(AND(OR($B$4="APM Level 7",$B$4="R&amp;T Level 7",$B$4="APM Level 8"),B154&lt;&gt;""),INDEX(Points_Lookup!$E:$E,MATCH($Z154,Points_Lookup!$AH:$AH,0)),IF($B$4="R&amp;T Level 5 - Clinical Lecturers (Vet School)",SUMIF(Points_Lookup!$P:$P,$B154,Points_Lookup!$S:$S),IF($B$4="R&amp;T Level 6 - Clinical Associate Professors and Clinical Readers (Vet School)",SUMIF(Points_Lookup!$W:$W,$B154,Points_Lookup!$Z:$Z),IFERROR(INDEX(Points_Lookup!$B:$B,MATCH($Z154,Points_Lookup!$AH:$AH,0)),""))))))))</f>
        <v/>
      </c>
      <c r="D154" s="40"/>
      <c r="E154" s="25" t="str">
        <f ca="1">IF($B154="","",IF(AND($B$4="Salary Points 3 to 57",B154&lt;Thresholds_Rates!$C$16),"-",IF(SUMIF(Grades!$A:$A,$B$4,Grades!$BO:$BO)=0,"-",IF(AND($B$4="Salary Points 3 to 57",B154&gt;=Thresholds_Rates!$C$16),$C154*Thresholds_Rates!$F$15,IF(AND(OR($B$4="New Consultant Contract"),$B154&lt;&gt;""),$C154*Thresholds_Rates!$F$15,IF(AND(OR($B$4="Clinical Lecturer / Medical Research Fellow",$B$4="Clinical Consultant - Old Contract (GP)"),$B154&lt;&gt;""),$C154*Thresholds_Rates!$F$15,IF(OR($B$4="APM Level 7",$B$4="R&amp;T Level 7"),$C154*Thresholds_Rates!$F$15,IF(SUMIF(Grades!$A:$A,$B$4,Grades!$BO:$BO)=1,$C154*Thresholds_Rates!$F$15,""))))))))</f>
        <v/>
      </c>
      <c r="F154" s="25" t="str">
        <f ca="1">IF(B154="","",IF($B$4="Salary Points 1 to 57","-",IF(SUMIF(Grades!$A:$A,$B$4,Grades!$BP:$BP)=0,"-",IF(AND(OR($B$4="New Consultant Contract"),$B154&lt;&gt;""),$C154*Thresholds_Rates!$F$16,IF(AND(OR($B$4="Clinical Lecturer / Medical Research Fellow",$B$4="Clinical Consultant - Old Contract (GP)"),$B154&lt;&gt;""),$C154*Thresholds_Rates!$F$16,IF(AND(OR($B$4="APM Level 7",$B$4="R&amp;T Level 7"),E154&lt;&gt;""),$C154*Thresholds_Rates!$F$16,IF(SUMIF(Grades!$A:$A,$B$4,Grades!$BP:$BP)=1,$C154*Thresholds_Rates!$F$16,"")))))))</f>
        <v/>
      </c>
      <c r="G154" s="25" t="str">
        <f ca="1">IF(B154="","",IF(SUMIF(Grades!$A:$A,$B$4,Grades!$BQ:$BQ)=0,"-",IF(AND($B$4="Salary Points 1 to 57",B154&gt;Thresholds_Rates!$C$17),"-",IF(AND($B$4="Salary Points 1 to 57",B154&lt;=Thresholds_Rates!$C$17),$C154*Thresholds_Rates!$F$17,IF(AND(OR($B$4="New Consultant Contract"),$B154&lt;&gt;""),$C154*Thresholds_Rates!$F$17,IF(AND(OR($B$4="Clinical Lecturer / Medical Research Fellow",$B$4="Clinical Consultant - Old Contract (GP)"),$B154&lt;&gt;""),$C154*Thresholds_Rates!$F$17,IF(AND(OR($B$4="APM Level 7",$B$4="R&amp;T Level 7"),F154&lt;&gt;""),$C154*Thresholds_Rates!$F$17,IF(SUMIF(Grades!$A:$A,$B$4,Grades!$BQ:$BQ)=1,$C154*Thresholds_Rates!$F$17,""))))))))</f>
        <v/>
      </c>
      <c r="H154" s="25"/>
      <c r="I154" s="25" t="str">
        <f ca="1">IF(B154="","",(C154*Thresholds_Rates!$C$12))</f>
        <v/>
      </c>
      <c r="J154" s="25"/>
      <c r="K154" s="4"/>
      <c r="L154" s="25" t="str">
        <f t="shared" ca="1" si="18"/>
        <v/>
      </c>
      <c r="M154" s="25" t="str">
        <f t="shared" ca="1" si="19"/>
        <v/>
      </c>
      <c r="N154" s="25" t="str">
        <f t="shared" ca="1" si="20"/>
        <v/>
      </c>
      <c r="O154" s="25" t="str">
        <f t="shared" ca="1" si="21"/>
        <v/>
      </c>
      <c r="P154" s="25" t="str">
        <f t="shared" ca="1" si="22"/>
        <v/>
      </c>
      <c r="R154" s="28"/>
      <c r="S154" s="29"/>
      <c r="T154" s="28"/>
      <c r="U154" s="29"/>
    </row>
    <row r="155" spans="2:21" x14ac:dyDescent="0.25">
      <c r="B155" s="4" t="str">
        <f ca="1">IFERROR(INDEX(Points_Lookup!$A:$A,MATCH($Z157,Points_Lookup!$AH:$AH,0)),"")</f>
        <v/>
      </c>
      <c r="C155" s="25" t="str">
        <f ca="1">IF(B155="","",IF($B$4="Apprenticeship",SUMIF(Points_Lookup!$AD:$AD,B155,Points_Lookup!$AF:$AF),IF(AND(OR($B$4="New Consultant Contract"),$B155&lt;&gt;""),INDEX(Points_Lookup!$N:$N,MATCH($B155,Points_Lookup!$M:$M,0)),IF(AND(OR($B$4="Clinical Lecturer / Medical Research Fellow",$B$4="Clinical Consultant - Old Contract (GP)"),$B155&lt;&gt;""),INDEX(Points_Lookup!$K:$K,MATCH($B155,Points_Lookup!$J:$J,0)),IF(AND(OR($B$4="APM Level 7",$B$4="R&amp;T Level 7",$B$4="APM Level 8"),B155&lt;&gt;""),INDEX(Points_Lookup!$E:$E,MATCH($Z155,Points_Lookup!$AH:$AH,0)),IF($B$4="R&amp;T Level 5 - Clinical Lecturers (Vet School)",SUMIF(Points_Lookup!$P:$P,$B155,Points_Lookup!$S:$S),IF($B$4="R&amp;T Level 6 - Clinical Associate Professors and Clinical Readers (Vet School)",SUMIF(Points_Lookup!$W:$W,$B155,Points_Lookup!$Z:$Z),IFERROR(INDEX(Points_Lookup!$B:$B,MATCH($Z155,Points_Lookup!$AH:$AH,0)),""))))))))</f>
        <v/>
      </c>
      <c r="D155" s="40"/>
      <c r="E155" s="25" t="str">
        <f ca="1">IF($B155="","",IF(AND($B$4="Salary Points 3 to 57",B155&lt;Thresholds_Rates!$C$16),"-",IF(SUMIF(Grades!$A:$A,$B$4,Grades!$BO:$BO)=0,"-",IF(AND($B$4="Salary Points 3 to 57",B155&gt;=Thresholds_Rates!$C$16),$C155*Thresholds_Rates!$F$15,IF(AND(OR($B$4="New Consultant Contract"),$B155&lt;&gt;""),$C155*Thresholds_Rates!$F$15,IF(AND(OR($B$4="Clinical Lecturer / Medical Research Fellow",$B$4="Clinical Consultant - Old Contract (GP)"),$B155&lt;&gt;""),$C155*Thresholds_Rates!$F$15,IF(OR($B$4="APM Level 7",$B$4="R&amp;T Level 7"),$C155*Thresholds_Rates!$F$15,IF(SUMIF(Grades!$A:$A,$B$4,Grades!$BO:$BO)=1,$C155*Thresholds_Rates!$F$15,""))))))))</f>
        <v/>
      </c>
      <c r="F155" s="25" t="str">
        <f ca="1">IF(B155="","",IF($B$4="Salary Points 1 to 57","-",IF(SUMIF(Grades!$A:$A,$B$4,Grades!$BP:$BP)=0,"-",IF(AND(OR($B$4="New Consultant Contract"),$B155&lt;&gt;""),$C155*Thresholds_Rates!$F$16,IF(AND(OR($B$4="Clinical Lecturer / Medical Research Fellow",$B$4="Clinical Consultant - Old Contract (GP)"),$B155&lt;&gt;""),$C155*Thresholds_Rates!$F$16,IF(AND(OR($B$4="APM Level 7",$B$4="R&amp;T Level 7"),E155&lt;&gt;""),$C155*Thresholds_Rates!$F$16,IF(SUMIF(Grades!$A:$A,$B$4,Grades!$BP:$BP)=1,$C155*Thresholds_Rates!$F$16,"")))))))</f>
        <v/>
      </c>
      <c r="G155" s="25" t="str">
        <f ca="1">IF(B155="","",IF(SUMIF(Grades!$A:$A,$B$4,Grades!$BQ:$BQ)=0,"-",IF(AND($B$4="Salary Points 1 to 57",B155&gt;Thresholds_Rates!$C$17),"-",IF(AND($B$4="Salary Points 1 to 57",B155&lt;=Thresholds_Rates!$C$17),$C155*Thresholds_Rates!$F$17,IF(AND(OR($B$4="New Consultant Contract"),$B155&lt;&gt;""),$C155*Thresholds_Rates!$F$17,IF(AND(OR($B$4="Clinical Lecturer / Medical Research Fellow",$B$4="Clinical Consultant - Old Contract (GP)"),$B155&lt;&gt;""),$C155*Thresholds_Rates!$F$17,IF(AND(OR($B$4="APM Level 7",$B$4="R&amp;T Level 7"),F155&lt;&gt;""),$C155*Thresholds_Rates!$F$17,IF(SUMIF(Grades!$A:$A,$B$4,Grades!$BQ:$BQ)=1,$C155*Thresholds_Rates!$F$17,""))))))))</f>
        <v/>
      </c>
      <c r="H155" s="25"/>
      <c r="I155" s="25" t="str">
        <f ca="1">IF(B155="","",(C155*Thresholds_Rates!$C$12))</f>
        <v/>
      </c>
      <c r="J155" s="25"/>
      <c r="K155" s="4"/>
      <c r="L155" s="25" t="str">
        <f t="shared" ca="1" si="18"/>
        <v/>
      </c>
      <c r="M155" s="25" t="str">
        <f t="shared" ca="1" si="19"/>
        <v/>
      </c>
      <c r="N155" s="25" t="str">
        <f t="shared" ca="1" si="20"/>
        <v/>
      </c>
      <c r="O155" s="25" t="str">
        <f t="shared" ca="1" si="21"/>
        <v/>
      </c>
      <c r="P155" s="25" t="str">
        <f t="shared" ca="1" si="22"/>
        <v/>
      </c>
      <c r="R155" s="28"/>
      <c r="S155" s="29"/>
      <c r="T155" s="28"/>
      <c r="U155" s="29"/>
    </row>
    <row r="156" spans="2:21" x14ac:dyDescent="0.25">
      <c r="B156" s="4" t="str">
        <f ca="1">IFERROR(INDEX(Points_Lookup!$A:$A,MATCH($Z158,Points_Lookup!$AH:$AH,0)),"")</f>
        <v/>
      </c>
      <c r="C156" s="25" t="str">
        <f ca="1">IF(B156="","",IF($B$4="Apprenticeship",SUMIF(Points_Lookup!$AD:$AD,B156,Points_Lookup!$AF:$AF),IF(AND(OR($B$4="New Consultant Contract"),$B156&lt;&gt;""),INDEX(Points_Lookup!$N:$N,MATCH($B156,Points_Lookup!$M:$M,0)),IF(AND(OR($B$4="Clinical Lecturer / Medical Research Fellow",$B$4="Clinical Consultant - Old Contract (GP)"),$B156&lt;&gt;""),INDEX(Points_Lookup!$K:$K,MATCH($B156,Points_Lookup!$J:$J,0)),IF(AND(OR($B$4="APM Level 7",$B$4="R&amp;T Level 7",$B$4="APM Level 8"),B156&lt;&gt;""),INDEX(Points_Lookup!$E:$E,MATCH($Z156,Points_Lookup!$AH:$AH,0)),IF($B$4="R&amp;T Level 5 - Clinical Lecturers (Vet School)",SUMIF(Points_Lookup!$P:$P,$B156,Points_Lookup!$S:$S),IF($B$4="R&amp;T Level 6 - Clinical Associate Professors and Clinical Readers (Vet School)",SUMIF(Points_Lookup!$W:$W,$B156,Points_Lookup!$Z:$Z),IFERROR(INDEX(Points_Lookup!$B:$B,MATCH($Z156,Points_Lookup!$AH:$AH,0)),""))))))))</f>
        <v/>
      </c>
      <c r="D156" s="40"/>
      <c r="E156" s="25" t="str">
        <f ca="1">IF($B156="","",IF(AND($B$4="Salary Points 3 to 57",B156&lt;Thresholds_Rates!$C$16),"-",IF(SUMIF(Grades!$A:$A,$B$4,Grades!$BO:$BO)=0,"-",IF(AND($B$4="Salary Points 3 to 57",B156&gt;=Thresholds_Rates!$C$16),$C156*Thresholds_Rates!$F$15,IF(AND(OR($B$4="New Consultant Contract"),$B156&lt;&gt;""),$C156*Thresholds_Rates!$F$15,IF(AND(OR($B$4="Clinical Lecturer / Medical Research Fellow",$B$4="Clinical Consultant - Old Contract (GP)"),$B156&lt;&gt;""),$C156*Thresholds_Rates!$F$15,IF(OR($B$4="APM Level 7",$B$4="R&amp;T Level 7"),$C156*Thresholds_Rates!$F$15,IF(SUMIF(Grades!$A:$A,$B$4,Grades!$BO:$BO)=1,$C156*Thresholds_Rates!$F$15,""))))))))</f>
        <v/>
      </c>
      <c r="F156" s="25" t="str">
        <f ca="1">IF(B156="","",IF($B$4="Salary Points 1 to 57","-",IF(SUMIF(Grades!$A:$A,$B$4,Grades!$BP:$BP)=0,"-",IF(AND(OR($B$4="New Consultant Contract"),$B156&lt;&gt;""),$C156*Thresholds_Rates!$F$16,IF(AND(OR($B$4="Clinical Lecturer / Medical Research Fellow",$B$4="Clinical Consultant - Old Contract (GP)"),$B156&lt;&gt;""),$C156*Thresholds_Rates!$F$16,IF(AND(OR($B$4="APM Level 7",$B$4="R&amp;T Level 7"),E156&lt;&gt;""),$C156*Thresholds_Rates!$F$16,IF(SUMIF(Grades!$A:$A,$B$4,Grades!$BP:$BP)=1,$C156*Thresholds_Rates!$F$16,"")))))))</f>
        <v/>
      </c>
      <c r="G156" s="25" t="str">
        <f ca="1">IF(B156="","",IF(SUMIF(Grades!$A:$A,$B$4,Grades!$BQ:$BQ)=0,"-",IF(AND($B$4="Salary Points 1 to 57",B156&gt;Thresholds_Rates!$C$17),"-",IF(AND($B$4="Salary Points 1 to 57",B156&lt;=Thresholds_Rates!$C$17),$C156*Thresholds_Rates!$F$17,IF(AND(OR($B$4="New Consultant Contract"),$B156&lt;&gt;""),$C156*Thresholds_Rates!$F$17,IF(AND(OR($B$4="Clinical Lecturer / Medical Research Fellow",$B$4="Clinical Consultant - Old Contract (GP)"),$B156&lt;&gt;""),$C156*Thresholds_Rates!$F$17,IF(AND(OR($B$4="APM Level 7",$B$4="R&amp;T Level 7"),F156&lt;&gt;""),$C156*Thresholds_Rates!$F$17,IF(SUMIF(Grades!$A:$A,$B$4,Grades!$BQ:$BQ)=1,$C156*Thresholds_Rates!$F$17,""))))))))</f>
        <v/>
      </c>
      <c r="H156" s="25"/>
      <c r="I156" s="25" t="str">
        <f ca="1">IF(B156="","",(C156*Thresholds_Rates!$C$12))</f>
        <v/>
      </c>
      <c r="J156" s="25"/>
      <c r="K156" s="4"/>
      <c r="L156" s="25" t="str">
        <f t="shared" ca="1" si="18"/>
        <v/>
      </c>
      <c r="M156" s="25" t="str">
        <f t="shared" ca="1" si="19"/>
        <v/>
      </c>
      <c r="N156" s="25" t="str">
        <f t="shared" ca="1" si="20"/>
        <v/>
      </c>
      <c r="O156" s="25" t="str">
        <f t="shared" ca="1" si="21"/>
        <v/>
      </c>
      <c r="P156" s="25" t="str">
        <f t="shared" ca="1" si="22"/>
        <v/>
      </c>
      <c r="R156" s="28"/>
      <c r="S156" s="29"/>
      <c r="T156" s="28"/>
      <c r="U156" s="29"/>
    </row>
    <row r="157" spans="2:21" x14ac:dyDescent="0.25">
      <c r="B157" s="4" t="str">
        <f ca="1">IFERROR(INDEX(Points_Lookup!$A:$A,MATCH($Z159,Points_Lookup!$AH:$AH,0)),"")</f>
        <v/>
      </c>
      <c r="C157" s="25" t="str">
        <f ca="1">IF(B157="","",IF($B$4="Apprenticeship",SUMIF(Points_Lookup!$AD:$AD,B157,Points_Lookup!$AF:$AF),IF(AND(OR($B$4="New Consultant Contract"),$B157&lt;&gt;""),INDEX(Points_Lookup!$N:$N,MATCH($B157,Points_Lookup!$M:$M,0)),IF(AND(OR($B$4="Clinical Lecturer / Medical Research Fellow",$B$4="Clinical Consultant - Old Contract (GP)"),$B157&lt;&gt;""),INDEX(Points_Lookup!$K:$K,MATCH($B157,Points_Lookup!$J:$J,0)),IF(AND(OR($B$4="APM Level 7",$B$4="R&amp;T Level 7",$B$4="APM Level 8"),B157&lt;&gt;""),INDEX(Points_Lookup!$E:$E,MATCH($Z157,Points_Lookup!$AH:$AH,0)),IF($B$4="R&amp;T Level 5 - Clinical Lecturers (Vet School)",SUMIF(Points_Lookup!$P:$P,$B157,Points_Lookup!$S:$S),IF($B$4="R&amp;T Level 6 - Clinical Associate Professors and Clinical Readers (Vet School)",SUMIF(Points_Lookup!$W:$W,$B157,Points_Lookup!$Z:$Z),IFERROR(INDEX(Points_Lookup!$B:$B,MATCH($Z157,Points_Lookup!$AH:$AH,0)),""))))))))</f>
        <v/>
      </c>
      <c r="D157" s="40"/>
      <c r="E157" s="25" t="str">
        <f ca="1">IF($B157="","",IF(AND($B$4="Salary Points 3 to 57",B157&lt;Thresholds_Rates!$C$16),"-",IF(SUMIF(Grades!$A:$A,$B$4,Grades!$BO:$BO)=0,"-",IF(AND($B$4="Salary Points 3 to 57",B157&gt;=Thresholds_Rates!$C$16),$C157*Thresholds_Rates!$F$15,IF(AND(OR($B$4="New Consultant Contract"),$B157&lt;&gt;""),$C157*Thresholds_Rates!$F$15,IF(AND(OR($B$4="Clinical Lecturer / Medical Research Fellow",$B$4="Clinical Consultant - Old Contract (GP)"),$B157&lt;&gt;""),$C157*Thresholds_Rates!$F$15,IF(OR($B$4="APM Level 7",$B$4="R&amp;T Level 7"),$C157*Thresholds_Rates!$F$15,IF(SUMIF(Grades!$A:$A,$B$4,Grades!$BO:$BO)=1,$C157*Thresholds_Rates!$F$15,""))))))))</f>
        <v/>
      </c>
      <c r="F157" s="25" t="str">
        <f ca="1">IF(B157="","",IF($B$4="Salary Points 1 to 57","-",IF(SUMIF(Grades!$A:$A,$B$4,Grades!$BP:$BP)=0,"-",IF(AND(OR($B$4="New Consultant Contract"),$B157&lt;&gt;""),$C157*Thresholds_Rates!$F$16,IF(AND(OR($B$4="Clinical Lecturer / Medical Research Fellow",$B$4="Clinical Consultant - Old Contract (GP)"),$B157&lt;&gt;""),$C157*Thresholds_Rates!$F$16,IF(AND(OR($B$4="APM Level 7",$B$4="R&amp;T Level 7"),E157&lt;&gt;""),$C157*Thresholds_Rates!$F$16,IF(SUMIF(Grades!$A:$A,$B$4,Grades!$BP:$BP)=1,$C157*Thresholds_Rates!$F$16,"")))))))</f>
        <v/>
      </c>
      <c r="G157" s="25" t="str">
        <f ca="1">IF(B157="","",IF(SUMIF(Grades!$A:$A,$B$4,Grades!$BQ:$BQ)=0,"-",IF(AND($B$4="Salary Points 1 to 57",B157&gt;Thresholds_Rates!$C$17),"-",IF(AND($B$4="Salary Points 1 to 57",B157&lt;=Thresholds_Rates!$C$17),$C157*Thresholds_Rates!$F$17,IF(AND(OR($B$4="New Consultant Contract"),$B157&lt;&gt;""),$C157*Thresholds_Rates!$F$17,IF(AND(OR($B$4="Clinical Lecturer / Medical Research Fellow",$B$4="Clinical Consultant - Old Contract (GP)"),$B157&lt;&gt;""),$C157*Thresholds_Rates!$F$17,IF(AND(OR($B$4="APM Level 7",$B$4="R&amp;T Level 7"),F157&lt;&gt;""),$C157*Thresholds_Rates!$F$17,IF(SUMIF(Grades!$A:$A,$B$4,Grades!$BQ:$BQ)=1,$C157*Thresholds_Rates!$F$17,""))))))))</f>
        <v/>
      </c>
      <c r="H157" s="25"/>
      <c r="I157" s="25" t="str">
        <f ca="1">IF(B157="","",(C157*Thresholds_Rates!$C$12))</f>
        <v/>
      </c>
      <c r="J157" s="25"/>
      <c r="K157" s="4"/>
      <c r="L157" s="25" t="str">
        <f t="shared" ca="1" si="18"/>
        <v/>
      </c>
      <c r="M157" s="25" t="str">
        <f t="shared" ca="1" si="19"/>
        <v/>
      </c>
      <c r="N157" s="25" t="str">
        <f t="shared" ca="1" si="20"/>
        <v/>
      </c>
      <c r="O157" s="25" t="str">
        <f t="shared" ca="1" si="21"/>
        <v/>
      </c>
      <c r="P157" s="25" t="str">
        <f t="shared" ca="1" si="22"/>
        <v/>
      </c>
      <c r="R157" s="28"/>
      <c r="S157" s="29"/>
      <c r="T157" s="28"/>
      <c r="U157" s="29"/>
    </row>
    <row r="158" spans="2:21" x14ac:dyDescent="0.25">
      <c r="B158" s="4" t="str">
        <f ca="1">IFERROR(INDEX(Points_Lookup!$A:$A,MATCH($Z160,Points_Lookup!$AH:$AH,0)),"")</f>
        <v/>
      </c>
      <c r="C158" s="25" t="str">
        <f ca="1">IF(B158="","",IF($B$4="Apprenticeship",SUMIF(Points_Lookup!$AD:$AD,B158,Points_Lookup!$AF:$AF),IF(AND(OR($B$4="New Consultant Contract"),$B158&lt;&gt;""),INDEX(Points_Lookup!$N:$N,MATCH($B158,Points_Lookup!$M:$M,0)),IF(AND(OR($B$4="Clinical Lecturer / Medical Research Fellow",$B$4="Clinical Consultant - Old Contract (GP)"),$B158&lt;&gt;""),INDEX(Points_Lookup!$K:$K,MATCH($B158,Points_Lookup!$J:$J,0)),IF(AND(OR($B$4="APM Level 7",$B$4="R&amp;T Level 7",$B$4="APM Level 8"),B158&lt;&gt;""),INDEX(Points_Lookup!$E:$E,MATCH($Z158,Points_Lookup!$AH:$AH,0)),IF($B$4="R&amp;T Level 5 - Clinical Lecturers (Vet School)",SUMIF(Points_Lookup!$P:$P,$B158,Points_Lookup!$S:$S),IF($B$4="R&amp;T Level 6 - Clinical Associate Professors and Clinical Readers (Vet School)",SUMIF(Points_Lookup!$W:$W,$B158,Points_Lookup!$Z:$Z),IFERROR(INDEX(Points_Lookup!$B:$B,MATCH($Z158,Points_Lookup!$AH:$AH,0)),""))))))))</f>
        <v/>
      </c>
      <c r="D158" s="40"/>
      <c r="E158" s="25" t="str">
        <f ca="1">IF($B158="","",IF(AND($B$4="Salary Points 3 to 57",B158&lt;Thresholds_Rates!$C$16),"-",IF(SUMIF(Grades!$A:$A,$B$4,Grades!$BO:$BO)=0,"-",IF(AND($B$4="Salary Points 3 to 57",B158&gt;=Thresholds_Rates!$C$16),$C158*Thresholds_Rates!$F$15,IF(AND(OR($B$4="New Consultant Contract"),$B158&lt;&gt;""),$C158*Thresholds_Rates!$F$15,IF(AND(OR($B$4="Clinical Lecturer / Medical Research Fellow",$B$4="Clinical Consultant - Old Contract (GP)"),$B158&lt;&gt;""),$C158*Thresholds_Rates!$F$15,IF(OR($B$4="APM Level 7",$B$4="R&amp;T Level 7"),$C158*Thresholds_Rates!$F$15,IF(SUMIF(Grades!$A:$A,$B$4,Grades!$BO:$BO)=1,$C158*Thresholds_Rates!$F$15,""))))))))</f>
        <v/>
      </c>
      <c r="F158" s="25" t="str">
        <f ca="1">IF(B158="","",IF($B$4="Salary Points 1 to 57","-",IF(SUMIF(Grades!$A:$A,$B$4,Grades!$BP:$BP)=0,"-",IF(AND(OR($B$4="New Consultant Contract"),$B158&lt;&gt;""),$C158*Thresholds_Rates!$F$16,IF(AND(OR($B$4="Clinical Lecturer / Medical Research Fellow",$B$4="Clinical Consultant - Old Contract (GP)"),$B158&lt;&gt;""),$C158*Thresholds_Rates!$F$16,IF(AND(OR($B$4="APM Level 7",$B$4="R&amp;T Level 7"),E158&lt;&gt;""),$C158*Thresholds_Rates!$F$16,IF(SUMIF(Grades!$A:$A,$B$4,Grades!$BP:$BP)=1,$C158*Thresholds_Rates!$F$16,"")))))))</f>
        <v/>
      </c>
      <c r="G158" s="25" t="str">
        <f ca="1">IF(B158="","",IF(SUMIF(Grades!$A:$A,$B$4,Grades!$BQ:$BQ)=0,"-",IF(AND($B$4="Salary Points 1 to 57",B158&gt;Thresholds_Rates!$C$17),"-",IF(AND($B$4="Salary Points 1 to 57",B158&lt;=Thresholds_Rates!$C$17),$C158*Thresholds_Rates!$F$17,IF(AND(OR($B$4="New Consultant Contract"),$B158&lt;&gt;""),$C158*Thresholds_Rates!$F$17,IF(AND(OR($B$4="Clinical Lecturer / Medical Research Fellow",$B$4="Clinical Consultant - Old Contract (GP)"),$B158&lt;&gt;""),$C158*Thresholds_Rates!$F$17,IF(AND(OR($B$4="APM Level 7",$B$4="R&amp;T Level 7"),F158&lt;&gt;""),$C158*Thresholds_Rates!$F$17,IF(SUMIF(Grades!$A:$A,$B$4,Grades!$BQ:$BQ)=1,$C158*Thresholds_Rates!$F$17,""))))))))</f>
        <v/>
      </c>
      <c r="H158" s="25"/>
      <c r="I158" s="25" t="str">
        <f ca="1">IF(B158="","",(C158*Thresholds_Rates!$C$12))</f>
        <v/>
      </c>
      <c r="J158" s="25"/>
      <c r="K158" s="4"/>
      <c r="L158" s="25" t="str">
        <f t="shared" ca="1" si="18"/>
        <v/>
      </c>
      <c r="M158" s="25" t="str">
        <f t="shared" ca="1" si="19"/>
        <v/>
      </c>
      <c r="N158" s="25" t="str">
        <f t="shared" ca="1" si="20"/>
        <v/>
      </c>
      <c r="O158" s="25" t="str">
        <f t="shared" ca="1" si="21"/>
        <v/>
      </c>
      <c r="P158" s="25" t="str">
        <f t="shared" ca="1" si="22"/>
        <v/>
      </c>
      <c r="R158" s="28"/>
      <c r="S158" s="29"/>
      <c r="T158" s="28"/>
      <c r="U158" s="29"/>
    </row>
    <row r="159" spans="2:21" x14ac:dyDescent="0.25">
      <c r="B159" s="4" t="str">
        <f ca="1">IFERROR(INDEX(Points_Lookup!$A:$A,MATCH($Z161,Points_Lookup!$AH:$AH,0)),"")</f>
        <v/>
      </c>
      <c r="C159" s="25" t="str">
        <f ca="1">IF(B159="","",IF($B$4="Apprenticeship",SUMIF(Points_Lookup!$AD:$AD,B159,Points_Lookup!$AF:$AF),IF(AND(OR($B$4="New Consultant Contract"),$B159&lt;&gt;""),INDEX(Points_Lookup!$N:$N,MATCH($B159,Points_Lookup!$M:$M,0)),IF(AND(OR($B$4="Clinical Lecturer / Medical Research Fellow",$B$4="Clinical Consultant - Old Contract (GP)"),$B159&lt;&gt;""),INDEX(Points_Lookup!$K:$K,MATCH($B159,Points_Lookup!$J:$J,0)),IF(AND(OR($B$4="APM Level 7",$B$4="R&amp;T Level 7",$B$4="APM Level 8"),B159&lt;&gt;""),INDEX(Points_Lookup!$E:$E,MATCH($Z159,Points_Lookup!$AH:$AH,0)),IF($B$4="R&amp;T Level 5 - Clinical Lecturers (Vet School)",SUMIF(Points_Lookup!$P:$P,$B159,Points_Lookup!$S:$S),IF($B$4="R&amp;T Level 6 - Clinical Associate Professors and Clinical Readers (Vet School)",SUMIF(Points_Lookup!$W:$W,$B159,Points_Lookup!$Z:$Z),IFERROR(INDEX(Points_Lookup!$B:$B,MATCH($Z159,Points_Lookup!$AH:$AH,0)),""))))))))</f>
        <v/>
      </c>
      <c r="D159" s="40"/>
      <c r="E159" s="25" t="str">
        <f ca="1">IF($B159="","",IF(AND($B$4="Salary Points 3 to 57",B159&lt;Thresholds_Rates!$C$16),"-",IF(SUMIF(Grades!$A:$A,$B$4,Grades!$BO:$BO)=0,"-",IF(AND($B$4="Salary Points 3 to 57",B159&gt;=Thresholds_Rates!$C$16),$C159*Thresholds_Rates!$F$15,IF(AND(OR($B$4="New Consultant Contract"),$B159&lt;&gt;""),$C159*Thresholds_Rates!$F$15,IF(AND(OR($B$4="Clinical Lecturer / Medical Research Fellow",$B$4="Clinical Consultant - Old Contract (GP)"),$B159&lt;&gt;""),$C159*Thresholds_Rates!$F$15,IF(OR($B$4="APM Level 7",$B$4="R&amp;T Level 7"),$C159*Thresholds_Rates!$F$15,IF(SUMIF(Grades!$A:$A,$B$4,Grades!$BO:$BO)=1,$C159*Thresholds_Rates!$F$15,""))))))))</f>
        <v/>
      </c>
      <c r="F159" s="25" t="str">
        <f ca="1">IF(B159="","",IF($B$4="Salary Points 1 to 57","-",IF(SUMIF(Grades!$A:$A,$B$4,Grades!$BP:$BP)=0,"-",IF(AND(OR($B$4="New Consultant Contract"),$B159&lt;&gt;""),$C159*Thresholds_Rates!$F$16,IF(AND(OR($B$4="Clinical Lecturer / Medical Research Fellow",$B$4="Clinical Consultant - Old Contract (GP)"),$B159&lt;&gt;""),$C159*Thresholds_Rates!$F$16,IF(AND(OR($B$4="APM Level 7",$B$4="R&amp;T Level 7"),E159&lt;&gt;""),$C159*Thresholds_Rates!$F$16,IF(SUMIF(Grades!$A:$A,$B$4,Grades!$BP:$BP)=1,$C159*Thresholds_Rates!$F$16,"")))))))</f>
        <v/>
      </c>
      <c r="G159" s="25" t="str">
        <f ca="1">IF(B159="","",IF(SUMIF(Grades!$A:$A,$B$4,Grades!$BQ:$BQ)=0,"-",IF(AND($B$4="Salary Points 1 to 57",B159&gt;Thresholds_Rates!$C$17),"-",IF(AND($B$4="Salary Points 1 to 57",B159&lt;=Thresholds_Rates!$C$17),$C159*Thresholds_Rates!$F$17,IF(AND(OR($B$4="New Consultant Contract"),$B159&lt;&gt;""),$C159*Thresholds_Rates!$F$17,IF(AND(OR($B$4="Clinical Lecturer / Medical Research Fellow",$B$4="Clinical Consultant - Old Contract (GP)"),$B159&lt;&gt;""),$C159*Thresholds_Rates!$F$17,IF(AND(OR($B$4="APM Level 7",$B$4="R&amp;T Level 7"),F159&lt;&gt;""),$C159*Thresholds_Rates!$F$17,IF(SUMIF(Grades!$A:$A,$B$4,Grades!$BQ:$BQ)=1,$C159*Thresholds_Rates!$F$17,""))))))))</f>
        <v/>
      </c>
      <c r="H159" s="25"/>
      <c r="I159" s="25" t="str">
        <f ca="1">IF(B159="","",(C159*Thresholds_Rates!$C$12))</f>
        <v/>
      </c>
      <c r="J159" s="25"/>
      <c r="K159" s="4"/>
      <c r="L159" s="25" t="str">
        <f t="shared" ca="1" si="18"/>
        <v/>
      </c>
      <c r="M159" s="25" t="str">
        <f t="shared" ca="1" si="19"/>
        <v/>
      </c>
      <c r="N159" s="25" t="str">
        <f t="shared" ca="1" si="20"/>
        <v/>
      </c>
      <c r="O159" s="25" t="str">
        <f t="shared" ca="1" si="21"/>
        <v/>
      </c>
      <c r="P159" s="25" t="str">
        <f t="shared" ca="1" si="22"/>
        <v/>
      </c>
      <c r="R159" s="28"/>
      <c r="S159" s="29"/>
      <c r="T159" s="28"/>
      <c r="U159" s="29"/>
    </row>
    <row r="160" spans="2:21" x14ac:dyDescent="0.25">
      <c r="B160" s="4" t="str">
        <f ca="1">IFERROR(INDEX(Points_Lookup!$A:$A,MATCH($Z162,Points_Lookup!$AH:$AH,0)),"")</f>
        <v/>
      </c>
      <c r="C160" s="25" t="str">
        <f ca="1">IF(B160="","",IF($B$4="Apprenticeship",SUMIF(Points_Lookup!$AD:$AD,B160,Points_Lookup!$AF:$AF),IF(AND(OR($B$4="New Consultant Contract"),$B160&lt;&gt;""),INDEX(Points_Lookup!$N:$N,MATCH($B160,Points_Lookup!$M:$M,0)),IF(AND(OR($B$4="Clinical Lecturer / Medical Research Fellow",$B$4="Clinical Consultant - Old Contract (GP)"),$B160&lt;&gt;""),INDEX(Points_Lookup!$K:$K,MATCH($B160,Points_Lookup!$J:$J,0)),IF(AND(OR($B$4="APM Level 7",$B$4="R&amp;T Level 7",$B$4="APM Level 8"),B160&lt;&gt;""),INDEX(Points_Lookup!$E:$E,MATCH($Z160,Points_Lookup!$AH:$AH,0)),IF($B$4="R&amp;T Level 5 - Clinical Lecturers (Vet School)",SUMIF(Points_Lookup!$P:$P,$B160,Points_Lookup!$S:$S),IF($B$4="R&amp;T Level 6 - Clinical Associate Professors and Clinical Readers (Vet School)",SUMIF(Points_Lookup!$W:$W,$B160,Points_Lookup!$Z:$Z),IFERROR(INDEX(Points_Lookup!$B:$B,MATCH($Z160,Points_Lookup!$AH:$AH,0)),""))))))))</f>
        <v/>
      </c>
      <c r="D160" s="40"/>
      <c r="E160" s="25" t="str">
        <f ca="1">IF($B160="","",IF(AND($B$4="Salary Points 3 to 57",B160&lt;Thresholds_Rates!$C$16),"-",IF(SUMIF(Grades!$A:$A,$B$4,Grades!$BO:$BO)=0,"-",IF(AND($B$4="Salary Points 3 to 57",B160&gt;=Thresholds_Rates!$C$16),$C160*Thresholds_Rates!$F$15,IF(AND(OR($B$4="New Consultant Contract"),$B160&lt;&gt;""),$C160*Thresholds_Rates!$F$15,IF(AND(OR($B$4="Clinical Lecturer / Medical Research Fellow",$B$4="Clinical Consultant - Old Contract (GP)"),$B160&lt;&gt;""),$C160*Thresholds_Rates!$F$15,IF(OR($B$4="APM Level 7",$B$4="R&amp;T Level 7"),$C160*Thresholds_Rates!$F$15,IF(SUMIF(Grades!$A:$A,$B$4,Grades!$BO:$BO)=1,$C160*Thresholds_Rates!$F$15,""))))))))</f>
        <v/>
      </c>
      <c r="F160" s="25" t="str">
        <f ca="1">IF(B160="","",IF($B$4="Salary Points 1 to 57","-",IF(SUMIF(Grades!$A:$A,$B$4,Grades!$BP:$BP)=0,"-",IF(AND(OR($B$4="New Consultant Contract"),$B160&lt;&gt;""),$C160*Thresholds_Rates!$F$16,IF(AND(OR($B$4="Clinical Lecturer / Medical Research Fellow",$B$4="Clinical Consultant - Old Contract (GP)"),$B160&lt;&gt;""),$C160*Thresholds_Rates!$F$16,IF(AND(OR($B$4="APM Level 7",$B$4="R&amp;T Level 7"),E160&lt;&gt;""),$C160*Thresholds_Rates!$F$16,IF(SUMIF(Grades!$A:$A,$B$4,Grades!$BP:$BP)=1,$C160*Thresholds_Rates!$F$16,"")))))))</f>
        <v/>
      </c>
      <c r="G160" s="25" t="str">
        <f ca="1">IF(B160="","",IF(SUMIF(Grades!$A:$A,$B$4,Grades!$BQ:$BQ)=0,"-",IF(AND($B$4="Salary Points 1 to 57",B160&gt;Thresholds_Rates!$C$17),"-",IF(AND($B$4="Salary Points 1 to 57",B160&lt;=Thresholds_Rates!$C$17),$C160*Thresholds_Rates!$F$17,IF(AND(OR($B$4="New Consultant Contract"),$B160&lt;&gt;""),$C160*Thresholds_Rates!$F$17,IF(AND(OR($B$4="Clinical Lecturer / Medical Research Fellow",$B$4="Clinical Consultant - Old Contract (GP)"),$B160&lt;&gt;""),$C160*Thresholds_Rates!$F$17,IF(AND(OR($B$4="APM Level 7",$B$4="R&amp;T Level 7"),F160&lt;&gt;""),$C160*Thresholds_Rates!$F$17,IF(SUMIF(Grades!$A:$A,$B$4,Grades!$BQ:$BQ)=1,$C160*Thresholds_Rates!$F$17,""))))))))</f>
        <v/>
      </c>
      <c r="H160" s="25"/>
      <c r="I160" s="25" t="str">
        <f ca="1">IF(B160="","",(C160*Thresholds_Rates!$C$12))</f>
        <v/>
      </c>
      <c r="J160" s="25"/>
      <c r="K160" s="4"/>
      <c r="L160" s="25" t="str">
        <f t="shared" ca="1" si="18"/>
        <v/>
      </c>
      <c r="M160" s="25" t="str">
        <f t="shared" ca="1" si="19"/>
        <v/>
      </c>
      <c r="N160" s="25" t="str">
        <f t="shared" ca="1" si="20"/>
        <v/>
      </c>
      <c r="O160" s="25" t="str">
        <f t="shared" ca="1" si="21"/>
        <v/>
      </c>
      <c r="P160" s="25" t="str">
        <f t="shared" ca="1" si="22"/>
        <v/>
      </c>
      <c r="R160" s="28"/>
      <c r="S160" s="29"/>
      <c r="T160" s="28"/>
      <c r="U160" s="29"/>
    </row>
    <row r="161" spans="2:21" x14ac:dyDescent="0.25">
      <c r="B161" s="4" t="str">
        <f ca="1">IFERROR(INDEX(Points_Lookup!$A:$A,MATCH($Z163,Points_Lookup!$AH:$AH,0)),"")</f>
        <v/>
      </c>
      <c r="C161" s="25" t="str">
        <f ca="1">IF(B161="","",IF($B$4="Apprenticeship",SUMIF(Points_Lookup!$AD:$AD,B161,Points_Lookup!$AF:$AF),IF(AND(OR($B$4="New Consultant Contract"),$B161&lt;&gt;""),INDEX(Points_Lookup!$N:$N,MATCH($B161,Points_Lookup!$M:$M,0)),IF(AND(OR($B$4="Clinical Lecturer / Medical Research Fellow",$B$4="Clinical Consultant - Old Contract (GP)"),$B161&lt;&gt;""),INDEX(Points_Lookup!$K:$K,MATCH($B161,Points_Lookup!$J:$J,0)),IF(AND(OR($B$4="APM Level 7",$B$4="R&amp;T Level 7",$B$4="APM Level 8"),B161&lt;&gt;""),INDEX(Points_Lookup!$E:$E,MATCH($Z161,Points_Lookup!$AH:$AH,0)),IF($B$4="R&amp;T Level 5 - Clinical Lecturers (Vet School)",SUMIF(Points_Lookup!$P:$P,$B161,Points_Lookup!$S:$S),IF($B$4="R&amp;T Level 6 - Clinical Associate Professors and Clinical Readers (Vet School)",SUMIF(Points_Lookup!$W:$W,$B161,Points_Lookup!$Z:$Z),IFERROR(INDEX(Points_Lookup!$B:$B,MATCH($Z161,Points_Lookup!$AH:$AH,0)),""))))))))</f>
        <v/>
      </c>
      <c r="D161" s="40"/>
      <c r="E161" s="25" t="str">
        <f ca="1">IF($B161="","",IF(AND($B$4="Salary Points 3 to 57",B161&lt;Thresholds_Rates!$C$16),"-",IF(SUMIF(Grades!$A:$A,$B$4,Grades!$BO:$BO)=0,"-",IF(AND($B$4="Salary Points 3 to 57",B161&gt;=Thresholds_Rates!$C$16),$C161*Thresholds_Rates!$F$15,IF(AND(OR($B$4="New Consultant Contract"),$B161&lt;&gt;""),$C161*Thresholds_Rates!$F$15,IF(AND(OR($B$4="Clinical Lecturer / Medical Research Fellow",$B$4="Clinical Consultant - Old Contract (GP)"),$B161&lt;&gt;""),$C161*Thresholds_Rates!$F$15,IF(OR($B$4="APM Level 7",$B$4="R&amp;T Level 7"),$C161*Thresholds_Rates!$F$15,IF(SUMIF(Grades!$A:$A,$B$4,Grades!$BO:$BO)=1,$C161*Thresholds_Rates!$F$15,""))))))))</f>
        <v/>
      </c>
      <c r="F161" s="25" t="str">
        <f ca="1">IF(B161="","",IF($B$4="Salary Points 1 to 57","-",IF(SUMIF(Grades!$A:$A,$B$4,Grades!$BP:$BP)=0,"-",IF(AND(OR($B$4="New Consultant Contract"),$B161&lt;&gt;""),$C161*Thresholds_Rates!$F$16,IF(AND(OR($B$4="Clinical Lecturer / Medical Research Fellow",$B$4="Clinical Consultant - Old Contract (GP)"),$B161&lt;&gt;""),$C161*Thresholds_Rates!$F$16,IF(AND(OR($B$4="APM Level 7",$B$4="R&amp;T Level 7"),E161&lt;&gt;""),$C161*Thresholds_Rates!$F$16,IF(SUMIF(Grades!$A:$A,$B$4,Grades!$BP:$BP)=1,$C161*Thresholds_Rates!$F$16,"")))))))</f>
        <v/>
      </c>
      <c r="G161" s="25" t="str">
        <f ca="1">IF(B161="","",IF(SUMIF(Grades!$A:$A,$B$4,Grades!$BQ:$BQ)=0,"-",IF(AND($B$4="Salary Points 1 to 57",B161&gt;Thresholds_Rates!$C$17),"-",IF(AND($B$4="Salary Points 1 to 57",B161&lt;=Thresholds_Rates!$C$17),$C161*Thresholds_Rates!$F$17,IF(AND(OR($B$4="New Consultant Contract"),$B161&lt;&gt;""),$C161*Thresholds_Rates!$F$17,IF(AND(OR($B$4="Clinical Lecturer / Medical Research Fellow",$B$4="Clinical Consultant - Old Contract (GP)"),$B161&lt;&gt;""),$C161*Thresholds_Rates!$F$17,IF(AND(OR($B$4="APM Level 7",$B$4="R&amp;T Level 7"),F161&lt;&gt;""),$C161*Thresholds_Rates!$F$17,IF(SUMIF(Grades!$A:$A,$B$4,Grades!$BQ:$BQ)=1,$C161*Thresholds_Rates!$F$17,""))))))))</f>
        <v/>
      </c>
      <c r="H161" s="25"/>
      <c r="I161" s="25" t="str">
        <f ca="1">IF(B161="","",(C161*Thresholds_Rates!$C$12))</f>
        <v/>
      </c>
      <c r="J161" s="25"/>
      <c r="K161" s="4"/>
      <c r="L161" s="25" t="str">
        <f t="shared" ca="1" si="18"/>
        <v/>
      </c>
      <c r="M161" s="25" t="str">
        <f t="shared" ca="1" si="19"/>
        <v/>
      </c>
      <c r="N161" s="25" t="str">
        <f t="shared" ca="1" si="20"/>
        <v/>
      </c>
      <c r="O161" s="25" t="str">
        <f t="shared" ca="1" si="21"/>
        <v/>
      </c>
      <c r="P161" s="25" t="str">
        <f t="shared" ca="1" si="22"/>
        <v/>
      </c>
      <c r="R161" s="28"/>
      <c r="S161" s="29"/>
      <c r="T161" s="28"/>
      <c r="U161" s="29"/>
    </row>
    <row r="162" spans="2:21" x14ac:dyDescent="0.25">
      <c r="B162" s="4" t="str">
        <f ca="1">IFERROR(INDEX(Points_Lookup!$A:$A,MATCH($Z164,Points_Lookup!$AH:$AH,0)),"")</f>
        <v/>
      </c>
      <c r="C162" s="25" t="str">
        <f ca="1">IF(B162="","",IF($B$4="Apprenticeship",SUMIF(Points_Lookup!$AD:$AD,B162,Points_Lookup!$AF:$AF),IF(AND(OR($B$4="New Consultant Contract"),$B162&lt;&gt;""),INDEX(Points_Lookup!$N:$N,MATCH($B162,Points_Lookup!$M:$M,0)),IF(AND(OR($B$4="Clinical Lecturer / Medical Research Fellow",$B$4="Clinical Consultant - Old Contract (GP)"),$B162&lt;&gt;""),INDEX(Points_Lookup!$K:$K,MATCH($B162,Points_Lookup!$J:$J,0)),IF(AND(OR($B$4="APM Level 7",$B$4="R&amp;T Level 7",$B$4="APM Level 8"),B162&lt;&gt;""),INDEX(Points_Lookup!$E:$E,MATCH($Z162,Points_Lookup!$AH:$AH,0)),IF($B$4="R&amp;T Level 5 - Clinical Lecturers (Vet School)",SUMIF(Points_Lookup!$P:$P,$B162,Points_Lookup!$S:$S),IF($B$4="R&amp;T Level 6 - Clinical Associate Professors and Clinical Readers (Vet School)",SUMIF(Points_Lookup!$W:$W,$B162,Points_Lookup!$Z:$Z),IFERROR(INDEX(Points_Lookup!$B:$B,MATCH($Z162,Points_Lookup!$AH:$AH,0)),""))))))))</f>
        <v/>
      </c>
      <c r="D162" s="40"/>
      <c r="E162" s="25" t="str">
        <f ca="1">IF($B162="","",IF(AND($B$4="Salary Points 3 to 57",B162&lt;Thresholds_Rates!$C$16),"-",IF(SUMIF(Grades!$A:$A,$B$4,Grades!$BO:$BO)=0,"-",IF(AND($B$4="Salary Points 3 to 57",B162&gt;=Thresholds_Rates!$C$16),$C162*Thresholds_Rates!$F$15,IF(AND(OR($B$4="New Consultant Contract"),$B162&lt;&gt;""),$C162*Thresholds_Rates!$F$15,IF(AND(OR($B$4="Clinical Lecturer / Medical Research Fellow",$B$4="Clinical Consultant - Old Contract (GP)"),$B162&lt;&gt;""),$C162*Thresholds_Rates!$F$15,IF(OR($B$4="APM Level 7",$B$4="R&amp;T Level 7"),$C162*Thresholds_Rates!$F$15,IF(SUMIF(Grades!$A:$A,$B$4,Grades!$BO:$BO)=1,$C162*Thresholds_Rates!$F$15,""))))))))</f>
        <v/>
      </c>
      <c r="F162" s="25" t="str">
        <f ca="1">IF(B162="","",IF($B$4="Salary Points 1 to 57","-",IF(SUMIF(Grades!$A:$A,$B$4,Grades!$BP:$BP)=0,"-",IF(AND(OR($B$4="New Consultant Contract"),$B162&lt;&gt;""),$C162*Thresholds_Rates!$F$16,IF(AND(OR($B$4="Clinical Lecturer / Medical Research Fellow",$B$4="Clinical Consultant - Old Contract (GP)"),$B162&lt;&gt;""),$C162*Thresholds_Rates!$F$16,IF(AND(OR($B$4="APM Level 7",$B$4="R&amp;T Level 7"),E162&lt;&gt;""),$C162*Thresholds_Rates!$F$16,IF(SUMIF(Grades!$A:$A,$B$4,Grades!$BP:$BP)=1,$C162*Thresholds_Rates!$F$16,"")))))))</f>
        <v/>
      </c>
      <c r="G162" s="25" t="str">
        <f ca="1">IF(B162="","",IF(SUMIF(Grades!$A:$A,$B$4,Grades!$BQ:$BQ)=0,"-",IF(AND($B$4="Salary Points 1 to 57",B162&gt;Thresholds_Rates!$C$17),"-",IF(AND($B$4="Salary Points 1 to 57",B162&lt;=Thresholds_Rates!$C$17),$C162*Thresholds_Rates!$F$17,IF(AND(OR($B$4="New Consultant Contract"),$B162&lt;&gt;""),$C162*Thresholds_Rates!$F$17,IF(AND(OR($B$4="Clinical Lecturer / Medical Research Fellow",$B$4="Clinical Consultant - Old Contract (GP)"),$B162&lt;&gt;""),$C162*Thresholds_Rates!$F$17,IF(AND(OR($B$4="APM Level 7",$B$4="R&amp;T Level 7"),F162&lt;&gt;""),$C162*Thresholds_Rates!$F$17,IF(SUMIF(Grades!$A:$A,$B$4,Grades!$BQ:$BQ)=1,$C162*Thresholds_Rates!$F$17,""))))))))</f>
        <v/>
      </c>
      <c r="H162" s="25"/>
      <c r="I162" s="25" t="str">
        <f ca="1">IF(B162="","",(C162*Thresholds_Rates!$C$12))</f>
        <v/>
      </c>
      <c r="J162" s="25"/>
      <c r="K162" s="4"/>
      <c r="L162" s="25" t="str">
        <f t="shared" ca="1" si="18"/>
        <v/>
      </c>
      <c r="M162" s="25" t="str">
        <f t="shared" ca="1" si="19"/>
        <v/>
      </c>
      <c r="N162" s="25" t="str">
        <f t="shared" ca="1" si="20"/>
        <v/>
      </c>
      <c r="O162" s="25" t="str">
        <f t="shared" ca="1" si="21"/>
        <v/>
      </c>
      <c r="P162" s="25" t="str">
        <f t="shared" ca="1" si="22"/>
        <v/>
      </c>
      <c r="R162" s="28"/>
      <c r="S162" s="29"/>
      <c r="T162" s="28"/>
      <c r="U162" s="29"/>
    </row>
    <row r="163" spans="2:21" x14ac:dyDescent="0.25">
      <c r="B163" s="4" t="str">
        <f ca="1">IFERROR(INDEX(Points_Lookup!$A:$A,MATCH($Z165,Points_Lookup!$AH:$AH,0)),"")</f>
        <v/>
      </c>
      <c r="C163" s="25" t="str">
        <f ca="1">IF(B163="","",IF($B$4="Apprenticeship",SUMIF(Points_Lookup!$AD:$AD,B163,Points_Lookup!$AF:$AF),IF(AND(OR($B$4="New Consultant Contract"),$B163&lt;&gt;""),INDEX(Points_Lookup!$N:$N,MATCH($B163,Points_Lookup!$M:$M,0)),IF(AND(OR($B$4="Clinical Lecturer / Medical Research Fellow",$B$4="Clinical Consultant - Old Contract (GP)"),$B163&lt;&gt;""),INDEX(Points_Lookup!$K:$K,MATCH($B163,Points_Lookup!$J:$J,0)),IF(AND(OR($B$4="APM Level 7",$B$4="R&amp;T Level 7",$B$4="APM Level 8"),B163&lt;&gt;""),INDEX(Points_Lookup!$E:$E,MATCH($Z163,Points_Lookup!$AH:$AH,0)),IF($B$4="R&amp;T Level 5 - Clinical Lecturers (Vet School)",SUMIF(Points_Lookup!$P:$P,$B163,Points_Lookup!$S:$S),IF($B$4="R&amp;T Level 6 - Clinical Associate Professors and Clinical Readers (Vet School)",SUMIF(Points_Lookup!$W:$W,$B163,Points_Lookup!$Z:$Z),IFERROR(INDEX(Points_Lookup!$B:$B,MATCH($Z163,Points_Lookup!$AH:$AH,0)),""))))))))</f>
        <v/>
      </c>
      <c r="D163" s="40"/>
      <c r="E163" s="25" t="str">
        <f ca="1">IF($B163="","",IF(AND($B$4="Salary Points 3 to 57",B163&lt;Thresholds_Rates!$C$16),"-",IF(SUMIF(Grades!$A:$A,$B$4,Grades!$BO:$BO)=0,"-",IF(AND($B$4="Salary Points 3 to 57",B163&gt;=Thresholds_Rates!$C$16),$C163*Thresholds_Rates!$F$15,IF(AND(OR($B$4="New Consultant Contract"),$B163&lt;&gt;""),$C163*Thresholds_Rates!$F$15,IF(AND(OR($B$4="Clinical Lecturer / Medical Research Fellow",$B$4="Clinical Consultant - Old Contract (GP)"),$B163&lt;&gt;""),$C163*Thresholds_Rates!$F$15,IF(OR($B$4="APM Level 7",$B$4="R&amp;T Level 7"),$C163*Thresholds_Rates!$F$15,IF(SUMIF(Grades!$A:$A,$B$4,Grades!$BO:$BO)=1,$C163*Thresholds_Rates!$F$15,""))))))))</f>
        <v/>
      </c>
      <c r="F163" s="25" t="str">
        <f ca="1">IF(B163="","",IF($B$4="Salary Points 1 to 57","-",IF(SUMIF(Grades!$A:$A,$B$4,Grades!$BP:$BP)=0,"-",IF(AND(OR($B$4="New Consultant Contract"),$B163&lt;&gt;""),$C163*Thresholds_Rates!$F$16,IF(AND(OR($B$4="Clinical Lecturer / Medical Research Fellow",$B$4="Clinical Consultant - Old Contract (GP)"),$B163&lt;&gt;""),$C163*Thresholds_Rates!$F$16,IF(AND(OR($B$4="APM Level 7",$B$4="R&amp;T Level 7"),E163&lt;&gt;""),$C163*Thresholds_Rates!$F$16,IF(SUMIF(Grades!$A:$A,$B$4,Grades!$BP:$BP)=1,$C163*Thresholds_Rates!$F$16,"")))))))</f>
        <v/>
      </c>
      <c r="G163" s="25" t="str">
        <f ca="1">IF(B163="","",IF(SUMIF(Grades!$A:$A,$B$4,Grades!$BQ:$BQ)=0,"-",IF(AND($B$4="Salary Points 1 to 57",B163&gt;Thresholds_Rates!$C$17),"-",IF(AND($B$4="Salary Points 1 to 57",B163&lt;=Thresholds_Rates!$C$17),$C163*Thresholds_Rates!$F$17,IF(AND(OR($B$4="New Consultant Contract"),$B163&lt;&gt;""),$C163*Thresholds_Rates!$F$17,IF(AND(OR($B$4="Clinical Lecturer / Medical Research Fellow",$B$4="Clinical Consultant - Old Contract (GP)"),$B163&lt;&gt;""),$C163*Thresholds_Rates!$F$17,IF(AND(OR($B$4="APM Level 7",$B$4="R&amp;T Level 7"),F163&lt;&gt;""),$C163*Thresholds_Rates!$F$17,IF(SUMIF(Grades!$A:$A,$B$4,Grades!$BQ:$BQ)=1,$C163*Thresholds_Rates!$F$17,""))))))))</f>
        <v/>
      </c>
      <c r="H163" s="25"/>
      <c r="I163" s="25" t="str">
        <f ca="1">IF(B163="","",(C163*Thresholds_Rates!$C$12))</f>
        <v/>
      </c>
      <c r="J163" s="25"/>
      <c r="K163" s="4"/>
      <c r="L163" s="25" t="str">
        <f t="shared" ca="1" si="18"/>
        <v/>
      </c>
      <c r="M163" s="25" t="str">
        <f t="shared" ca="1" si="19"/>
        <v/>
      </c>
      <c r="N163" s="25" t="str">
        <f t="shared" ca="1" si="20"/>
        <v/>
      </c>
      <c r="O163" s="25" t="str">
        <f t="shared" ca="1" si="21"/>
        <v/>
      </c>
      <c r="P163" s="25" t="str">
        <f t="shared" ca="1" si="22"/>
        <v/>
      </c>
      <c r="R163" s="28"/>
      <c r="S163" s="29"/>
      <c r="T163" s="28"/>
      <c r="U163" s="29"/>
    </row>
    <row r="164" spans="2:21" x14ac:dyDescent="0.25">
      <c r="B164" s="4" t="str">
        <f ca="1">IFERROR(INDEX(Points_Lookup!$A:$A,MATCH($Z166,Points_Lookup!$AH:$AH,0)),"")</f>
        <v/>
      </c>
      <c r="C164" s="25" t="str">
        <f ca="1">IF(B164="","",IF($B$4="Apprenticeship",SUMIF(Points_Lookup!$AD:$AD,B164,Points_Lookup!$AF:$AF),IF(AND(OR($B$4="New Consultant Contract"),$B164&lt;&gt;""),INDEX(Points_Lookup!$N:$N,MATCH($B164,Points_Lookup!$M:$M,0)),IF(AND(OR($B$4="Clinical Lecturer / Medical Research Fellow",$B$4="Clinical Consultant - Old Contract (GP)"),$B164&lt;&gt;""),INDEX(Points_Lookup!$K:$K,MATCH($B164,Points_Lookup!$J:$J,0)),IF(AND(OR($B$4="APM Level 7",$B$4="R&amp;T Level 7",$B$4="APM Level 8"),B164&lt;&gt;""),INDEX(Points_Lookup!$E:$E,MATCH($Z164,Points_Lookup!$AH:$AH,0)),IF($B$4="R&amp;T Level 5 - Clinical Lecturers (Vet School)",SUMIF(Points_Lookup!$P:$P,$B164,Points_Lookup!$S:$S),IF($B$4="R&amp;T Level 6 - Clinical Associate Professors and Clinical Readers (Vet School)",SUMIF(Points_Lookup!$W:$W,$B164,Points_Lookup!$Z:$Z),IFERROR(INDEX(Points_Lookup!$B:$B,MATCH($Z164,Points_Lookup!$AH:$AH,0)),""))))))))</f>
        <v/>
      </c>
      <c r="D164" s="40"/>
      <c r="E164" s="25" t="str">
        <f ca="1">IF($B164="","",IF(AND($B$4="Salary Points 3 to 57",B164&lt;Thresholds_Rates!$C$16),"-",IF(SUMIF(Grades!$A:$A,$B$4,Grades!$BO:$BO)=0,"-",IF(AND($B$4="Salary Points 3 to 57",B164&gt;=Thresholds_Rates!$C$16),$C164*Thresholds_Rates!$F$15,IF(AND(OR($B$4="New Consultant Contract"),$B164&lt;&gt;""),$C164*Thresholds_Rates!$F$15,IF(AND(OR($B$4="Clinical Lecturer / Medical Research Fellow",$B$4="Clinical Consultant - Old Contract (GP)"),$B164&lt;&gt;""),$C164*Thresholds_Rates!$F$15,IF(OR($B$4="APM Level 7",$B$4="R&amp;T Level 7"),$C164*Thresholds_Rates!$F$15,IF(SUMIF(Grades!$A:$A,$B$4,Grades!$BO:$BO)=1,$C164*Thresholds_Rates!$F$15,""))))))))</f>
        <v/>
      </c>
      <c r="F164" s="25" t="str">
        <f ca="1">IF(B164="","",IF($B$4="Salary Points 1 to 57","-",IF(SUMIF(Grades!$A:$A,$B$4,Grades!$BP:$BP)=0,"-",IF(AND(OR($B$4="New Consultant Contract"),$B164&lt;&gt;""),$C164*Thresholds_Rates!$F$16,IF(AND(OR($B$4="Clinical Lecturer / Medical Research Fellow",$B$4="Clinical Consultant - Old Contract (GP)"),$B164&lt;&gt;""),$C164*Thresholds_Rates!$F$16,IF(AND(OR($B$4="APM Level 7",$B$4="R&amp;T Level 7"),E164&lt;&gt;""),$C164*Thresholds_Rates!$F$16,IF(SUMIF(Grades!$A:$A,$B$4,Grades!$BP:$BP)=1,$C164*Thresholds_Rates!$F$16,"")))))))</f>
        <v/>
      </c>
      <c r="G164" s="25" t="str">
        <f ca="1">IF(B164="","",IF(SUMIF(Grades!$A:$A,$B$4,Grades!$BQ:$BQ)=0,"-",IF(AND($B$4="Salary Points 1 to 57",B164&gt;Thresholds_Rates!$C$17),"-",IF(AND($B$4="Salary Points 1 to 57",B164&lt;=Thresholds_Rates!$C$17),$C164*Thresholds_Rates!$F$17,IF(AND(OR($B$4="New Consultant Contract"),$B164&lt;&gt;""),$C164*Thresholds_Rates!$F$17,IF(AND(OR($B$4="Clinical Lecturer / Medical Research Fellow",$B$4="Clinical Consultant - Old Contract (GP)"),$B164&lt;&gt;""),$C164*Thresholds_Rates!$F$17,IF(AND(OR($B$4="APM Level 7",$B$4="R&amp;T Level 7"),F164&lt;&gt;""),$C164*Thresholds_Rates!$F$17,IF(SUMIF(Grades!$A:$A,$B$4,Grades!$BQ:$BQ)=1,$C164*Thresholds_Rates!$F$17,""))))))))</f>
        <v/>
      </c>
      <c r="H164" s="25"/>
      <c r="I164" s="25" t="str">
        <f ca="1">IF(B164="","",(C164*Thresholds_Rates!$C$12))</f>
        <v/>
      </c>
      <c r="J164" s="25"/>
      <c r="K164" s="4"/>
      <c r="L164" s="25" t="str">
        <f t="shared" ca="1" si="18"/>
        <v/>
      </c>
      <c r="M164" s="25" t="str">
        <f t="shared" ca="1" si="19"/>
        <v/>
      </c>
      <c r="N164" s="25" t="str">
        <f t="shared" ca="1" si="20"/>
        <v/>
      </c>
      <c r="O164" s="25" t="str">
        <f t="shared" ca="1" si="21"/>
        <v/>
      </c>
      <c r="P164" s="25" t="str">
        <f t="shared" ca="1" si="22"/>
        <v/>
      </c>
      <c r="R164" s="28"/>
      <c r="S164" s="29"/>
      <c r="T164" s="28"/>
      <c r="U164" s="29"/>
    </row>
    <row r="165" spans="2:21" x14ac:dyDescent="0.25">
      <c r="B165" s="4" t="str">
        <f ca="1">IFERROR(INDEX(Points_Lookup!$A:$A,MATCH($Z167,Points_Lookup!$AH:$AH,0)),"")</f>
        <v/>
      </c>
      <c r="C165" s="25" t="str">
        <f ca="1">IF(B165="","",IF($B$4="Apprenticeship",SUMIF(Points_Lookup!$AD:$AD,B165,Points_Lookup!$AF:$AF),IF(AND(OR($B$4="New Consultant Contract"),$B165&lt;&gt;""),INDEX(Points_Lookup!$N:$N,MATCH($B165,Points_Lookup!$M:$M,0)),IF(AND(OR($B$4="Clinical Lecturer / Medical Research Fellow",$B$4="Clinical Consultant - Old Contract (GP)"),$B165&lt;&gt;""),INDEX(Points_Lookup!$K:$K,MATCH($B165,Points_Lookup!$J:$J,0)),IF(AND(OR($B$4="APM Level 7",$B$4="R&amp;T Level 7",$B$4="APM Level 8"),B165&lt;&gt;""),INDEX(Points_Lookup!$E:$E,MATCH($Z165,Points_Lookup!$AH:$AH,0)),IF($B$4="R&amp;T Level 5 - Clinical Lecturers (Vet School)",SUMIF(Points_Lookup!$P:$P,$B165,Points_Lookup!$S:$S),IF($B$4="R&amp;T Level 6 - Clinical Associate Professors and Clinical Readers (Vet School)",SUMIF(Points_Lookup!$W:$W,$B165,Points_Lookup!$Z:$Z),IFERROR(INDEX(Points_Lookup!$B:$B,MATCH($Z165,Points_Lookup!$AH:$AH,0)),""))))))))</f>
        <v/>
      </c>
      <c r="D165" s="40"/>
      <c r="E165" s="25" t="str">
        <f ca="1">IF($B165="","",IF(AND($B$4="Salary Points 3 to 57",B165&lt;Thresholds_Rates!$C$16),"-",IF(SUMIF(Grades!$A:$A,$B$4,Grades!$BO:$BO)=0,"-",IF(AND($B$4="Salary Points 3 to 57",B165&gt;=Thresholds_Rates!$C$16),$C165*Thresholds_Rates!$F$15,IF(AND(OR($B$4="New Consultant Contract"),$B165&lt;&gt;""),$C165*Thresholds_Rates!$F$15,IF(AND(OR($B$4="Clinical Lecturer / Medical Research Fellow",$B$4="Clinical Consultant - Old Contract (GP)"),$B165&lt;&gt;""),$C165*Thresholds_Rates!$F$15,IF(OR($B$4="APM Level 7",$B$4="R&amp;T Level 7"),$C165*Thresholds_Rates!$F$15,IF(SUMIF(Grades!$A:$A,$B$4,Grades!$BO:$BO)=1,$C165*Thresholds_Rates!$F$15,""))))))))</f>
        <v/>
      </c>
      <c r="F165" s="25" t="str">
        <f ca="1">IF(B165="","",IF($B$4="Salary Points 1 to 57","-",IF(SUMIF(Grades!$A:$A,$B$4,Grades!$BP:$BP)=0,"-",IF(AND(OR($B$4="New Consultant Contract"),$B165&lt;&gt;""),$C165*Thresholds_Rates!$F$16,IF(AND(OR($B$4="Clinical Lecturer / Medical Research Fellow",$B$4="Clinical Consultant - Old Contract (GP)"),$B165&lt;&gt;""),$C165*Thresholds_Rates!$F$16,IF(AND(OR($B$4="APM Level 7",$B$4="R&amp;T Level 7"),E165&lt;&gt;""),$C165*Thresholds_Rates!$F$16,IF(SUMIF(Grades!$A:$A,$B$4,Grades!$BP:$BP)=1,$C165*Thresholds_Rates!$F$16,"")))))))</f>
        <v/>
      </c>
      <c r="G165" s="25" t="str">
        <f ca="1">IF(B165="","",IF(SUMIF(Grades!$A:$A,$B$4,Grades!$BQ:$BQ)=0,"-",IF(AND($B$4="Salary Points 1 to 57",B165&gt;Thresholds_Rates!$C$17),"-",IF(AND($B$4="Salary Points 1 to 57",B165&lt;=Thresholds_Rates!$C$17),$C165*Thresholds_Rates!$F$17,IF(AND(OR($B$4="New Consultant Contract"),$B165&lt;&gt;""),$C165*Thresholds_Rates!$F$17,IF(AND(OR($B$4="Clinical Lecturer / Medical Research Fellow",$B$4="Clinical Consultant - Old Contract (GP)"),$B165&lt;&gt;""),$C165*Thresholds_Rates!$F$17,IF(AND(OR($B$4="APM Level 7",$B$4="R&amp;T Level 7"),F165&lt;&gt;""),$C165*Thresholds_Rates!$F$17,IF(SUMIF(Grades!$A:$A,$B$4,Grades!$BQ:$BQ)=1,$C165*Thresholds_Rates!$F$17,""))))))))</f>
        <v/>
      </c>
      <c r="H165" s="25"/>
      <c r="I165" s="25" t="str">
        <f ca="1">IF(B165="","",(C165*Thresholds_Rates!$C$12))</f>
        <v/>
      </c>
      <c r="J165" s="25"/>
      <c r="K165" s="4"/>
      <c r="L165" s="25" t="str">
        <f t="shared" ca="1" si="18"/>
        <v/>
      </c>
      <c r="M165" s="25" t="str">
        <f t="shared" ca="1" si="19"/>
        <v/>
      </c>
      <c r="N165" s="25" t="str">
        <f t="shared" ca="1" si="20"/>
        <v/>
      </c>
      <c r="O165" s="25" t="str">
        <f t="shared" ca="1" si="21"/>
        <v/>
      </c>
      <c r="P165" s="25" t="str">
        <f t="shared" ca="1" si="22"/>
        <v/>
      </c>
      <c r="R165" s="28"/>
      <c r="S165" s="29"/>
      <c r="T165" s="28"/>
      <c r="U165" s="29"/>
    </row>
    <row r="166" spans="2:21" x14ac:dyDescent="0.25">
      <c r="B166" s="4" t="str">
        <f ca="1">IFERROR(INDEX(Points_Lookup!$A:$A,MATCH($Z168,Points_Lookup!$AH:$AH,0)),"")</f>
        <v/>
      </c>
      <c r="C166" s="25" t="str">
        <f ca="1">IF(B166="","",IF($B$4="Apprenticeship",SUMIF(Points_Lookup!$AD:$AD,B166,Points_Lookup!$AF:$AF),IF(AND(OR($B$4="New Consultant Contract"),$B166&lt;&gt;""),INDEX(Points_Lookup!$N:$N,MATCH($B166,Points_Lookup!$M:$M,0)),IF(AND(OR($B$4="Clinical Lecturer / Medical Research Fellow",$B$4="Clinical Consultant - Old Contract (GP)"),$B166&lt;&gt;""),INDEX(Points_Lookup!$K:$K,MATCH($B166,Points_Lookup!$J:$J,0)),IF(AND(OR($B$4="APM Level 7",$B$4="R&amp;T Level 7",$B$4="APM Level 8"),B166&lt;&gt;""),INDEX(Points_Lookup!$E:$E,MATCH($Z166,Points_Lookup!$AH:$AH,0)),IF($B$4="R&amp;T Level 5 - Clinical Lecturers (Vet School)",SUMIF(Points_Lookup!$P:$P,$B166,Points_Lookup!$S:$S),IF($B$4="R&amp;T Level 6 - Clinical Associate Professors and Clinical Readers (Vet School)",SUMIF(Points_Lookup!$W:$W,$B166,Points_Lookup!$Z:$Z),IFERROR(INDEX(Points_Lookup!$B:$B,MATCH($Z166,Points_Lookup!$AH:$AH,0)),""))))))))</f>
        <v/>
      </c>
      <c r="D166" s="40"/>
      <c r="E166" s="25" t="str">
        <f ca="1">IF($B166="","",IF(AND($B$4="Salary Points 3 to 57",B166&lt;Thresholds_Rates!$C$16),"-",IF(SUMIF(Grades!$A:$A,$B$4,Grades!$BO:$BO)=0,"-",IF(AND($B$4="Salary Points 3 to 57",B166&gt;=Thresholds_Rates!$C$16),$C166*Thresholds_Rates!$F$15,IF(AND(OR($B$4="New Consultant Contract"),$B166&lt;&gt;""),$C166*Thresholds_Rates!$F$15,IF(AND(OR($B$4="Clinical Lecturer / Medical Research Fellow",$B$4="Clinical Consultant - Old Contract (GP)"),$B166&lt;&gt;""),$C166*Thresholds_Rates!$F$15,IF(OR($B$4="APM Level 7",$B$4="R&amp;T Level 7"),$C166*Thresholds_Rates!$F$15,IF(SUMIF(Grades!$A:$A,$B$4,Grades!$BO:$BO)=1,$C166*Thresholds_Rates!$F$15,""))))))))</f>
        <v/>
      </c>
      <c r="F166" s="25" t="str">
        <f ca="1">IF(B166="","",IF($B$4="Salary Points 1 to 57","-",IF(SUMIF(Grades!$A:$A,$B$4,Grades!$BP:$BP)=0,"-",IF(AND(OR($B$4="New Consultant Contract"),$B166&lt;&gt;""),$C166*Thresholds_Rates!$F$16,IF(AND(OR($B$4="Clinical Lecturer / Medical Research Fellow",$B$4="Clinical Consultant - Old Contract (GP)"),$B166&lt;&gt;""),$C166*Thresholds_Rates!$F$16,IF(AND(OR($B$4="APM Level 7",$B$4="R&amp;T Level 7"),E166&lt;&gt;""),$C166*Thresholds_Rates!$F$16,IF(SUMIF(Grades!$A:$A,$B$4,Grades!$BP:$BP)=1,$C166*Thresholds_Rates!$F$16,"")))))))</f>
        <v/>
      </c>
      <c r="G166" s="25" t="str">
        <f ca="1">IF(B166="","",IF(SUMIF(Grades!$A:$A,$B$4,Grades!$BQ:$BQ)=0,"-",IF(AND($B$4="Salary Points 1 to 57",B166&gt;Thresholds_Rates!$C$17),"-",IF(AND($B$4="Salary Points 1 to 57",B166&lt;=Thresholds_Rates!$C$17),$C166*Thresholds_Rates!$F$17,IF(AND(OR($B$4="New Consultant Contract"),$B166&lt;&gt;""),$C166*Thresholds_Rates!$F$17,IF(AND(OR($B$4="Clinical Lecturer / Medical Research Fellow",$B$4="Clinical Consultant - Old Contract (GP)"),$B166&lt;&gt;""),$C166*Thresholds_Rates!$F$17,IF(AND(OR($B$4="APM Level 7",$B$4="R&amp;T Level 7"),F166&lt;&gt;""),$C166*Thresholds_Rates!$F$17,IF(SUMIF(Grades!$A:$A,$B$4,Grades!$BQ:$BQ)=1,$C166*Thresholds_Rates!$F$17,""))))))))</f>
        <v/>
      </c>
      <c r="H166" s="25"/>
      <c r="I166" s="25" t="str">
        <f ca="1">IF(B166="","",(C166*Thresholds_Rates!$C$12))</f>
        <v/>
      </c>
      <c r="J166" s="25"/>
      <c r="K166" s="4"/>
      <c r="L166" s="25" t="str">
        <f t="shared" ca="1" si="18"/>
        <v/>
      </c>
      <c r="M166" s="25" t="str">
        <f t="shared" ca="1" si="19"/>
        <v/>
      </c>
      <c r="N166" s="25" t="str">
        <f t="shared" ca="1" si="20"/>
        <v/>
      </c>
      <c r="O166" s="25" t="str">
        <f t="shared" ca="1" si="21"/>
        <v/>
      </c>
      <c r="P166" s="25" t="str">
        <f t="shared" ca="1" si="22"/>
        <v/>
      </c>
      <c r="R166" s="28"/>
      <c r="S166" s="29"/>
      <c r="T166" s="28"/>
      <c r="U166" s="29"/>
    </row>
    <row r="167" spans="2:21" x14ac:dyDescent="0.25">
      <c r="B167" s="4" t="str">
        <f ca="1">IFERROR(INDEX(Points_Lookup!$A:$A,MATCH($Z169,Points_Lookup!$AH:$AH,0)),"")</f>
        <v/>
      </c>
      <c r="C167" s="25" t="str">
        <f ca="1">IF(B167="","",IF($B$4="Apprenticeship",SUMIF(Points_Lookup!$AD:$AD,B167,Points_Lookup!$AF:$AF),IF(AND(OR($B$4="New Consultant Contract"),$B167&lt;&gt;""),INDEX(Points_Lookup!$N:$N,MATCH($B167,Points_Lookup!$M:$M,0)),IF(AND(OR($B$4="Clinical Lecturer / Medical Research Fellow",$B$4="Clinical Consultant - Old Contract (GP)"),$B167&lt;&gt;""),INDEX(Points_Lookup!$K:$K,MATCH($B167,Points_Lookup!$J:$J,0)),IF(AND(OR($B$4="APM Level 7",$B$4="R&amp;T Level 7",$B$4="APM Level 8"),B167&lt;&gt;""),INDEX(Points_Lookup!$E:$E,MATCH($Z167,Points_Lookup!$AH:$AH,0)),IF($B$4="R&amp;T Level 5 - Clinical Lecturers (Vet School)",SUMIF(Points_Lookup!$P:$P,$B167,Points_Lookup!$S:$S),IF($B$4="R&amp;T Level 6 - Clinical Associate Professors and Clinical Readers (Vet School)",SUMIF(Points_Lookup!$W:$W,$B167,Points_Lookup!$Z:$Z),IFERROR(INDEX(Points_Lookup!$B:$B,MATCH($Z167,Points_Lookup!$AH:$AH,0)),""))))))))</f>
        <v/>
      </c>
      <c r="D167" s="40"/>
      <c r="E167" s="25" t="str">
        <f ca="1">IF($B167="","",IF(AND($B$4="Salary Points 3 to 57",B167&lt;Thresholds_Rates!$C$16),"-",IF(SUMIF(Grades!$A:$A,$B$4,Grades!$BO:$BO)=0,"-",IF(AND($B$4="Salary Points 3 to 57",B167&gt;=Thresholds_Rates!$C$16),$C167*Thresholds_Rates!$F$15,IF(AND(OR($B$4="New Consultant Contract"),$B167&lt;&gt;""),$C167*Thresholds_Rates!$F$15,IF(AND(OR($B$4="Clinical Lecturer / Medical Research Fellow",$B$4="Clinical Consultant - Old Contract (GP)"),$B167&lt;&gt;""),$C167*Thresholds_Rates!$F$15,IF(OR($B$4="APM Level 7",$B$4="R&amp;T Level 7"),$C167*Thresholds_Rates!$F$15,IF(SUMIF(Grades!$A:$A,$B$4,Grades!$BO:$BO)=1,$C167*Thresholds_Rates!$F$15,""))))))))</f>
        <v/>
      </c>
      <c r="F167" s="25" t="str">
        <f ca="1">IF(B167="","",IF($B$4="Salary Points 1 to 57","-",IF(SUMIF(Grades!$A:$A,$B$4,Grades!$BP:$BP)=0,"-",IF(AND(OR($B$4="New Consultant Contract"),$B167&lt;&gt;""),$C167*Thresholds_Rates!$F$16,IF(AND(OR($B$4="Clinical Lecturer / Medical Research Fellow",$B$4="Clinical Consultant - Old Contract (GP)"),$B167&lt;&gt;""),$C167*Thresholds_Rates!$F$16,IF(AND(OR($B$4="APM Level 7",$B$4="R&amp;T Level 7"),E167&lt;&gt;""),$C167*Thresholds_Rates!$F$16,IF(SUMIF(Grades!$A:$A,$B$4,Grades!$BP:$BP)=1,$C167*Thresholds_Rates!$F$16,"")))))))</f>
        <v/>
      </c>
      <c r="G167" s="25" t="str">
        <f ca="1">IF(B167="","",IF(SUMIF(Grades!$A:$A,$B$4,Grades!$BQ:$BQ)=0,"-",IF(AND($B$4="Salary Points 1 to 57",B167&gt;Thresholds_Rates!$C$17),"-",IF(AND($B$4="Salary Points 1 to 57",B167&lt;=Thresholds_Rates!$C$17),$C167*Thresholds_Rates!$F$17,IF(AND(OR($B$4="New Consultant Contract"),$B167&lt;&gt;""),$C167*Thresholds_Rates!$F$17,IF(AND(OR($B$4="Clinical Lecturer / Medical Research Fellow",$B$4="Clinical Consultant - Old Contract (GP)"),$B167&lt;&gt;""),$C167*Thresholds_Rates!$F$17,IF(AND(OR($B$4="APM Level 7",$B$4="R&amp;T Level 7"),F167&lt;&gt;""),$C167*Thresholds_Rates!$F$17,IF(SUMIF(Grades!$A:$A,$B$4,Grades!$BQ:$BQ)=1,$C167*Thresholds_Rates!$F$17,""))))))))</f>
        <v/>
      </c>
      <c r="H167" s="25"/>
      <c r="I167" s="25" t="str">
        <f ca="1">IF(B167="","",(C167*Thresholds_Rates!$C$12))</f>
        <v/>
      </c>
      <c r="J167" s="25"/>
      <c r="K167" s="4"/>
      <c r="L167" s="25" t="str">
        <f t="shared" ca="1" si="18"/>
        <v/>
      </c>
      <c r="M167" s="25" t="str">
        <f t="shared" ca="1" si="19"/>
        <v/>
      </c>
      <c r="N167" s="25" t="str">
        <f t="shared" ca="1" si="20"/>
        <v/>
      </c>
      <c r="O167" s="25" t="str">
        <f t="shared" ca="1" si="21"/>
        <v/>
      </c>
      <c r="P167" s="25" t="str">
        <f t="shared" ca="1" si="22"/>
        <v/>
      </c>
      <c r="R167" s="28"/>
      <c r="S167" s="29"/>
      <c r="T167" s="28"/>
      <c r="U167" s="29"/>
    </row>
    <row r="168" spans="2:21" x14ac:dyDescent="0.25">
      <c r="B168" s="4" t="str">
        <f ca="1">IFERROR(INDEX(Points_Lookup!$A:$A,MATCH($Z170,Points_Lookup!$AH:$AH,0)),"")</f>
        <v/>
      </c>
      <c r="C168" s="25" t="str">
        <f ca="1">IF(B168="","",IF($B$4="Apprenticeship",SUMIF(Points_Lookup!$AD:$AD,B168,Points_Lookup!$AF:$AF),IF(AND(OR($B$4="New Consultant Contract"),$B168&lt;&gt;""),INDEX(Points_Lookup!$N:$N,MATCH($B168,Points_Lookup!$M:$M,0)),IF(AND(OR($B$4="Clinical Lecturer / Medical Research Fellow",$B$4="Clinical Consultant - Old Contract (GP)"),$B168&lt;&gt;""),INDEX(Points_Lookup!$K:$K,MATCH($B168,Points_Lookup!$J:$J,0)),IF(AND(OR($B$4="APM Level 7",$B$4="R&amp;T Level 7",$B$4="APM Level 8"),B168&lt;&gt;""),INDEX(Points_Lookup!$E:$E,MATCH($Z168,Points_Lookup!$AH:$AH,0)),IF($B$4="R&amp;T Level 5 - Clinical Lecturers (Vet School)",SUMIF(Points_Lookup!$P:$P,$B168,Points_Lookup!$S:$S),IF($B$4="R&amp;T Level 6 - Clinical Associate Professors and Clinical Readers (Vet School)",SUMIF(Points_Lookup!$W:$W,$B168,Points_Lookup!$Z:$Z),IFERROR(INDEX(Points_Lookup!$B:$B,MATCH($Z168,Points_Lookup!$AH:$AH,0)),""))))))))</f>
        <v/>
      </c>
      <c r="D168" s="40"/>
      <c r="E168" s="25" t="str">
        <f ca="1">IF($B168="","",IF(AND($B$4="Salary Points 3 to 57",B168&lt;Thresholds_Rates!$C$16),"-",IF(SUMIF(Grades!$A:$A,$B$4,Grades!$BO:$BO)=0,"-",IF(AND($B$4="Salary Points 3 to 57",B168&gt;=Thresholds_Rates!$C$16),$C168*Thresholds_Rates!$F$15,IF(AND(OR($B$4="New Consultant Contract"),$B168&lt;&gt;""),$C168*Thresholds_Rates!$F$15,IF(AND(OR($B$4="Clinical Lecturer / Medical Research Fellow",$B$4="Clinical Consultant - Old Contract (GP)"),$B168&lt;&gt;""),$C168*Thresholds_Rates!$F$15,IF(OR($B$4="APM Level 7",$B$4="R&amp;T Level 7"),$C168*Thresholds_Rates!$F$15,IF(SUMIF(Grades!$A:$A,$B$4,Grades!$BO:$BO)=1,$C168*Thresholds_Rates!$F$15,""))))))))</f>
        <v/>
      </c>
      <c r="F168" s="25" t="str">
        <f ca="1">IF(B168="","",IF($B$4="Salary Points 1 to 57","-",IF(SUMIF(Grades!$A:$A,$B$4,Grades!$BP:$BP)=0,"-",IF(AND(OR($B$4="New Consultant Contract"),$B168&lt;&gt;""),$C168*Thresholds_Rates!$F$16,IF(AND(OR($B$4="Clinical Lecturer / Medical Research Fellow",$B$4="Clinical Consultant - Old Contract (GP)"),$B168&lt;&gt;""),$C168*Thresholds_Rates!$F$16,IF(AND(OR($B$4="APM Level 7",$B$4="R&amp;T Level 7"),E168&lt;&gt;""),$C168*Thresholds_Rates!$F$16,IF(SUMIF(Grades!$A:$A,$B$4,Grades!$BP:$BP)=1,$C168*Thresholds_Rates!$F$16,"")))))))</f>
        <v/>
      </c>
      <c r="G168" s="25" t="str">
        <f ca="1">IF(B168="","",IF(SUMIF(Grades!$A:$A,$B$4,Grades!$BQ:$BQ)=0,"-",IF(AND($B$4="Salary Points 1 to 57",B168&gt;Thresholds_Rates!$C$17),"-",IF(AND($B$4="Salary Points 1 to 57",B168&lt;=Thresholds_Rates!$C$17),$C168*Thresholds_Rates!$F$17,IF(AND(OR($B$4="New Consultant Contract"),$B168&lt;&gt;""),$C168*Thresholds_Rates!$F$17,IF(AND(OR($B$4="Clinical Lecturer / Medical Research Fellow",$B$4="Clinical Consultant - Old Contract (GP)"),$B168&lt;&gt;""),$C168*Thresholds_Rates!$F$17,IF(AND(OR($B$4="APM Level 7",$B$4="R&amp;T Level 7"),F168&lt;&gt;""),$C168*Thresholds_Rates!$F$17,IF(SUMIF(Grades!$A:$A,$B$4,Grades!$BQ:$BQ)=1,$C168*Thresholds_Rates!$F$17,""))))))))</f>
        <v/>
      </c>
      <c r="H168" s="25"/>
      <c r="I168" s="25" t="str">
        <f ca="1">IF(B168="","",(C168*Thresholds_Rates!$C$12))</f>
        <v/>
      </c>
      <c r="J168" s="25"/>
      <c r="K168" s="4"/>
      <c r="L168" s="25" t="str">
        <f t="shared" ca="1" si="18"/>
        <v/>
      </c>
      <c r="M168" s="25" t="str">
        <f t="shared" ca="1" si="19"/>
        <v/>
      </c>
      <c r="N168" s="25" t="str">
        <f t="shared" ca="1" si="20"/>
        <v/>
      </c>
      <c r="O168" s="25" t="str">
        <f t="shared" ca="1" si="21"/>
        <v/>
      </c>
      <c r="P168" s="25" t="str">
        <f t="shared" ca="1" si="22"/>
        <v/>
      </c>
      <c r="R168" s="28"/>
      <c r="S168" s="29"/>
      <c r="T168" s="28"/>
      <c r="U168" s="29"/>
    </row>
    <row r="169" spans="2:21" x14ac:dyDescent="0.25">
      <c r="B169" s="4" t="str">
        <f ca="1">IFERROR(INDEX(Points_Lookup!$A:$A,MATCH($Z171,Points_Lookup!$AH:$AH,0)),"")</f>
        <v/>
      </c>
      <c r="C169" s="25" t="str">
        <f ca="1">IF(B169="","",IF($B$4="Apprenticeship",SUMIF(Points_Lookup!$AD:$AD,B169,Points_Lookup!$AF:$AF),IF(AND(OR($B$4="New Consultant Contract"),$B169&lt;&gt;""),INDEX(Points_Lookup!$N:$N,MATCH($B169,Points_Lookup!$M:$M,0)),IF(AND(OR($B$4="Clinical Lecturer / Medical Research Fellow",$B$4="Clinical Consultant - Old Contract (GP)"),$B169&lt;&gt;""),INDEX(Points_Lookup!$K:$K,MATCH($B169,Points_Lookup!$J:$J,0)),IF(AND(OR($B$4="APM Level 7",$B$4="R&amp;T Level 7",$B$4="APM Level 8"),B169&lt;&gt;""),INDEX(Points_Lookup!$E:$E,MATCH($Z169,Points_Lookup!$AH:$AH,0)),IF($B$4="R&amp;T Level 5 - Clinical Lecturers (Vet School)",SUMIF(Points_Lookup!$P:$P,$B169,Points_Lookup!$S:$S),IF($B$4="R&amp;T Level 6 - Clinical Associate Professors and Clinical Readers (Vet School)",SUMIF(Points_Lookup!$W:$W,$B169,Points_Lookup!$Z:$Z),IFERROR(INDEX(Points_Lookup!$B:$B,MATCH($Z169,Points_Lookup!$AH:$AH,0)),""))))))))</f>
        <v/>
      </c>
      <c r="D169" s="40"/>
      <c r="E169" s="25" t="str">
        <f ca="1">IF($B169="","",IF(AND($B$4="Salary Points 3 to 57",B169&lt;Thresholds_Rates!$C$16),"-",IF(SUMIF(Grades!$A:$A,$B$4,Grades!$BO:$BO)=0,"-",IF(AND($B$4="Salary Points 3 to 57",B169&gt;=Thresholds_Rates!$C$16),$C169*Thresholds_Rates!$F$15,IF(AND(OR($B$4="New Consultant Contract"),$B169&lt;&gt;""),$C169*Thresholds_Rates!$F$15,IF(AND(OR($B$4="Clinical Lecturer / Medical Research Fellow",$B$4="Clinical Consultant - Old Contract (GP)"),$B169&lt;&gt;""),$C169*Thresholds_Rates!$F$15,IF(OR($B$4="APM Level 7",$B$4="R&amp;T Level 7"),$C169*Thresholds_Rates!$F$15,IF(SUMIF(Grades!$A:$A,$B$4,Grades!$BO:$BO)=1,$C169*Thresholds_Rates!$F$15,""))))))))</f>
        <v/>
      </c>
      <c r="F169" s="25" t="str">
        <f ca="1">IF(B169="","",IF($B$4="Salary Points 1 to 57","-",IF(SUMIF(Grades!$A:$A,$B$4,Grades!$BP:$BP)=0,"-",IF(AND(OR($B$4="New Consultant Contract"),$B169&lt;&gt;""),$C169*Thresholds_Rates!$F$16,IF(AND(OR($B$4="Clinical Lecturer / Medical Research Fellow",$B$4="Clinical Consultant - Old Contract (GP)"),$B169&lt;&gt;""),$C169*Thresholds_Rates!$F$16,IF(AND(OR($B$4="APM Level 7",$B$4="R&amp;T Level 7"),E169&lt;&gt;""),$C169*Thresholds_Rates!$F$16,IF(SUMIF(Grades!$A:$A,$B$4,Grades!$BP:$BP)=1,$C169*Thresholds_Rates!$F$16,"")))))))</f>
        <v/>
      </c>
      <c r="G169" s="25" t="str">
        <f ca="1">IF(B169="","",IF(SUMIF(Grades!$A:$A,$B$4,Grades!$BQ:$BQ)=0,"-",IF(AND($B$4="Salary Points 1 to 57",B169&gt;Thresholds_Rates!$C$17),"-",IF(AND($B$4="Salary Points 1 to 57",B169&lt;=Thresholds_Rates!$C$17),$C169*Thresholds_Rates!$F$17,IF(AND(OR($B$4="New Consultant Contract"),$B169&lt;&gt;""),$C169*Thresholds_Rates!$F$17,IF(AND(OR($B$4="Clinical Lecturer / Medical Research Fellow",$B$4="Clinical Consultant - Old Contract (GP)"),$B169&lt;&gt;""),$C169*Thresholds_Rates!$F$17,IF(AND(OR($B$4="APM Level 7",$B$4="R&amp;T Level 7"),F169&lt;&gt;""),$C169*Thresholds_Rates!$F$17,IF(SUMIF(Grades!$A:$A,$B$4,Grades!$BQ:$BQ)=1,$C169*Thresholds_Rates!$F$17,""))))))))</f>
        <v/>
      </c>
      <c r="H169" s="25"/>
      <c r="I169" s="25" t="str">
        <f ca="1">IF(B169="","",(C169*Thresholds_Rates!$C$12))</f>
        <v/>
      </c>
      <c r="J169" s="25"/>
      <c r="K169" s="4"/>
      <c r="L169" s="25" t="str">
        <f t="shared" ca="1" si="18"/>
        <v/>
      </c>
      <c r="M169" s="25" t="str">
        <f t="shared" ca="1" si="19"/>
        <v/>
      </c>
      <c r="N169" s="25" t="str">
        <f t="shared" ca="1" si="20"/>
        <v/>
      </c>
      <c r="O169" s="25" t="str">
        <f t="shared" ca="1" si="21"/>
        <v/>
      </c>
      <c r="P169" s="25" t="str">
        <f t="shared" ca="1" si="22"/>
        <v/>
      </c>
      <c r="R169" s="28"/>
      <c r="S169" s="29"/>
      <c r="T169" s="28"/>
      <c r="U169" s="29"/>
    </row>
    <row r="170" spans="2:21" x14ac:dyDescent="0.25">
      <c r="B170" s="4" t="str">
        <f ca="1">IFERROR(INDEX(Points_Lookup!$A:$A,MATCH($Z172,Points_Lookup!$AH:$AH,0)),"")</f>
        <v/>
      </c>
      <c r="C170" s="25" t="str">
        <f ca="1">IF(B170="","",IF($B$4="Apprenticeship",SUMIF(Points_Lookup!$AD:$AD,B170,Points_Lookup!$AF:$AF),IF(AND(OR($B$4="New Consultant Contract"),$B170&lt;&gt;""),INDEX(Points_Lookup!$N:$N,MATCH($B170,Points_Lookup!$M:$M,0)),IF(AND(OR($B$4="Clinical Lecturer / Medical Research Fellow",$B$4="Clinical Consultant - Old Contract (GP)"),$B170&lt;&gt;""),INDEX(Points_Lookup!$K:$K,MATCH($B170,Points_Lookup!$J:$J,0)),IF(AND(OR($B$4="APM Level 7",$B$4="R&amp;T Level 7",$B$4="APM Level 8"),B170&lt;&gt;""),INDEX(Points_Lookup!$E:$E,MATCH($Z170,Points_Lookup!$AH:$AH,0)),IF($B$4="R&amp;T Level 5 - Clinical Lecturers (Vet School)",SUMIF(Points_Lookup!$P:$P,$B170,Points_Lookup!$S:$S),IF($B$4="R&amp;T Level 6 - Clinical Associate Professors and Clinical Readers (Vet School)",SUMIF(Points_Lookup!$W:$W,$B170,Points_Lookup!$Z:$Z),IFERROR(INDEX(Points_Lookup!$B:$B,MATCH($Z170,Points_Lookup!$AH:$AH,0)),""))))))))</f>
        <v/>
      </c>
      <c r="D170" s="40"/>
      <c r="E170" s="25" t="str">
        <f ca="1">IF($B170="","",IF(AND($B$4="Salary Points 3 to 57",B170&lt;Thresholds_Rates!$C$16),"-",IF(SUMIF(Grades!$A:$A,$B$4,Grades!$BO:$BO)=0,"-",IF(AND($B$4="Salary Points 3 to 57",B170&gt;=Thresholds_Rates!$C$16),$C170*Thresholds_Rates!$F$15,IF(AND(OR($B$4="New Consultant Contract"),$B170&lt;&gt;""),$C170*Thresholds_Rates!$F$15,IF(AND(OR($B$4="Clinical Lecturer / Medical Research Fellow",$B$4="Clinical Consultant - Old Contract (GP)"),$B170&lt;&gt;""),$C170*Thresholds_Rates!$F$15,IF(OR($B$4="APM Level 7",$B$4="R&amp;T Level 7"),$C170*Thresholds_Rates!$F$15,IF(SUMIF(Grades!$A:$A,$B$4,Grades!$BO:$BO)=1,$C170*Thresholds_Rates!$F$15,""))))))))</f>
        <v/>
      </c>
      <c r="F170" s="25" t="str">
        <f ca="1">IF(B170="","",IF($B$4="Salary Points 1 to 57","-",IF(SUMIF(Grades!$A:$A,$B$4,Grades!$BP:$BP)=0,"-",IF(AND(OR($B$4="New Consultant Contract"),$B170&lt;&gt;""),$C170*Thresholds_Rates!$F$16,IF(AND(OR($B$4="Clinical Lecturer / Medical Research Fellow",$B$4="Clinical Consultant - Old Contract (GP)"),$B170&lt;&gt;""),$C170*Thresholds_Rates!$F$16,IF(AND(OR($B$4="APM Level 7",$B$4="R&amp;T Level 7"),E170&lt;&gt;""),$C170*Thresholds_Rates!$F$16,IF(SUMIF(Grades!$A:$A,$B$4,Grades!$BP:$BP)=1,$C170*Thresholds_Rates!$F$16,"")))))))</f>
        <v/>
      </c>
      <c r="G170" s="25" t="str">
        <f ca="1">IF(B170="","",IF(SUMIF(Grades!$A:$A,$B$4,Grades!$BQ:$BQ)=0,"-",IF(AND($B$4="Salary Points 1 to 57",B170&gt;Thresholds_Rates!$C$17),"-",IF(AND($B$4="Salary Points 1 to 57",B170&lt;=Thresholds_Rates!$C$17),$C170*Thresholds_Rates!$F$17,IF(AND(OR($B$4="New Consultant Contract"),$B170&lt;&gt;""),$C170*Thresholds_Rates!$F$17,IF(AND(OR($B$4="Clinical Lecturer / Medical Research Fellow",$B$4="Clinical Consultant - Old Contract (GP)"),$B170&lt;&gt;""),$C170*Thresholds_Rates!$F$17,IF(AND(OR($B$4="APM Level 7",$B$4="R&amp;T Level 7"),F170&lt;&gt;""),$C170*Thresholds_Rates!$F$17,IF(SUMIF(Grades!$A:$A,$B$4,Grades!$BQ:$BQ)=1,$C170*Thresholds_Rates!$F$17,""))))))))</f>
        <v/>
      </c>
      <c r="H170" s="25"/>
      <c r="I170" s="25" t="str">
        <f ca="1">IF(B170="","",(C170*Thresholds_Rates!$C$12))</f>
        <v/>
      </c>
      <c r="J170" s="25"/>
      <c r="K170" s="4"/>
      <c r="L170" s="25" t="str">
        <f t="shared" ca="1" si="18"/>
        <v/>
      </c>
      <c r="M170" s="25" t="str">
        <f t="shared" ca="1" si="19"/>
        <v/>
      </c>
      <c r="N170" s="25" t="str">
        <f t="shared" ca="1" si="20"/>
        <v/>
      </c>
      <c r="O170" s="25" t="str">
        <f t="shared" ca="1" si="21"/>
        <v/>
      </c>
      <c r="P170" s="25" t="str">
        <f t="shared" ca="1" si="22"/>
        <v/>
      </c>
      <c r="R170" s="28"/>
      <c r="S170" s="29"/>
      <c r="T170" s="28"/>
      <c r="U170" s="29"/>
    </row>
    <row r="171" spans="2:21" x14ac:dyDescent="0.25">
      <c r="B171" s="4" t="str">
        <f ca="1">IFERROR(INDEX(Points_Lookup!$A:$A,MATCH($Z173,Points_Lookup!$AH:$AH,0)),"")</f>
        <v/>
      </c>
      <c r="C171" s="25" t="str">
        <f ca="1">IF(B171="","",IF($B$4="Apprenticeship",SUMIF(Points_Lookup!$AD:$AD,B171,Points_Lookup!$AF:$AF),IF(AND(OR($B$4="New Consultant Contract"),$B171&lt;&gt;""),INDEX(Points_Lookup!$N:$N,MATCH($B171,Points_Lookup!$M:$M,0)),IF(AND(OR($B$4="Clinical Lecturer / Medical Research Fellow",$B$4="Clinical Consultant - Old Contract (GP)"),$B171&lt;&gt;""),INDEX(Points_Lookup!$K:$K,MATCH($B171,Points_Lookup!$J:$J,0)),IF(AND(OR($B$4="APM Level 7",$B$4="R&amp;T Level 7",$B$4="APM Level 8"),B171&lt;&gt;""),INDEX(Points_Lookup!$E:$E,MATCH($Z171,Points_Lookup!$AH:$AH,0)),IF($B$4="R&amp;T Level 5 - Clinical Lecturers (Vet School)",SUMIF(Points_Lookup!$P:$P,$B171,Points_Lookup!$S:$S),IF($B$4="R&amp;T Level 6 - Clinical Associate Professors and Clinical Readers (Vet School)",SUMIF(Points_Lookup!$W:$W,$B171,Points_Lookup!$Z:$Z),IFERROR(INDEX(Points_Lookup!$B:$B,MATCH($Z171,Points_Lookup!$AH:$AH,0)),""))))))))</f>
        <v/>
      </c>
      <c r="D171" s="40"/>
      <c r="E171" s="25" t="str">
        <f ca="1">IF($B171="","",IF(AND($B$4="Salary Points 3 to 57",B171&lt;Thresholds_Rates!$C$16),"-",IF(SUMIF(Grades!$A:$A,$B$4,Grades!$BO:$BO)=0,"-",IF(AND($B$4="Salary Points 3 to 57",B171&gt;=Thresholds_Rates!$C$16),$C171*Thresholds_Rates!$F$15,IF(AND(OR($B$4="New Consultant Contract"),$B171&lt;&gt;""),$C171*Thresholds_Rates!$F$15,IF(AND(OR($B$4="Clinical Lecturer / Medical Research Fellow",$B$4="Clinical Consultant - Old Contract (GP)"),$B171&lt;&gt;""),$C171*Thresholds_Rates!$F$15,IF(OR($B$4="APM Level 7",$B$4="R&amp;T Level 7"),$C171*Thresholds_Rates!$F$15,IF(SUMIF(Grades!$A:$A,$B$4,Grades!$BO:$BO)=1,$C171*Thresholds_Rates!$F$15,""))))))))</f>
        <v/>
      </c>
      <c r="F171" s="25" t="str">
        <f ca="1">IF(B171="","",IF($B$4="Salary Points 1 to 57","-",IF(SUMIF(Grades!$A:$A,$B$4,Grades!$BP:$BP)=0,"-",IF(AND(OR($B$4="New Consultant Contract"),$B171&lt;&gt;""),$C171*Thresholds_Rates!$F$16,IF(AND(OR($B$4="Clinical Lecturer / Medical Research Fellow",$B$4="Clinical Consultant - Old Contract (GP)"),$B171&lt;&gt;""),$C171*Thresholds_Rates!$F$16,IF(AND(OR($B$4="APM Level 7",$B$4="R&amp;T Level 7"),E171&lt;&gt;""),$C171*Thresholds_Rates!$F$16,IF(SUMIF(Grades!$A:$A,$B$4,Grades!$BP:$BP)=1,$C171*Thresholds_Rates!$F$16,"")))))))</f>
        <v/>
      </c>
      <c r="G171" s="25" t="str">
        <f ca="1">IF(B171="","",IF(SUMIF(Grades!$A:$A,$B$4,Grades!$BQ:$BQ)=0,"-",IF(AND($B$4="Salary Points 1 to 57",B171&gt;Thresholds_Rates!$C$17),"-",IF(AND($B$4="Salary Points 1 to 57",B171&lt;=Thresholds_Rates!$C$17),$C171*Thresholds_Rates!$F$17,IF(AND(OR($B$4="New Consultant Contract"),$B171&lt;&gt;""),$C171*Thresholds_Rates!$F$17,IF(AND(OR($B$4="Clinical Lecturer / Medical Research Fellow",$B$4="Clinical Consultant - Old Contract (GP)"),$B171&lt;&gt;""),$C171*Thresholds_Rates!$F$17,IF(AND(OR($B$4="APM Level 7",$B$4="R&amp;T Level 7"),F171&lt;&gt;""),$C171*Thresholds_Rates!$F$17,IF(SUMIF(Grades!$A:$A,$B$4,Grades!$BQ:$BQ)=1,$C171*Thresholds_Rates!$F$17,""))))))))</f>
        <v/>
      </c>
      <c r="H171" s="25"/>
      <c r="I171" s="25" t="str">
        <f ca="1">IF(B171="","",(C171*Thresholds_Rates!$C$12))</f>
        <v/>
      </c>
      <c r="J171" s="25"/>
      <c r="K171" s="4"/>
      <c r="L171" s="25" t="str">
        <f t="shared" ca="1" si="18"/>
        <v/>
      </c>
      <c r="M171" s="25" t="str">
        <f t="shared" ca="1" si="19"/>
        <v/>
      </c>
      <c r="N171" s="25" t="str">
        <f t="shared" ca="1" si="20"/>
        <v/>
      </c>
      <c r="O171" s="25" t="str">
        <f t="shared" ca="1" si="21"/>
        <v/>
      </c>
      <c r="P171" s="25" t="str">
        <f t="shared" ca="1" si="22"/>
        <v/>
      </c>
      <c r="R171" s="28"/>
      <c r="S171" s="29"/>
      <c r="T171" s="28"/>
      <c r="U171" s="29"/>
    </row>
    <row r="172" spans="2:21" x14ac:dyDescent="0.25">
      <c r="B172" s="4" t="str">
        <f ca="1">IFERROR(INDEX(Points_Lookup!$A:$A,MATCH($Z174,Points_Lookup!$AH:$AH,0)),"")</f>
        <v/>
      </c>
      <c r="C172" s="25" t="str">
        <f ca="1">IF(B172="","",IF($B$4="Apprenticeship",SUMIF(Points_Lookup!$AD:$AD,B172,Points_Lookup!$AF:$AF),IF(AND(OR($B$4="New Consultant Contract"),$B172&lt;&gt;""),INDEX(Points_Lookup!$N:$N,MATCH($B172,Points_Lookup!$M:$M,0)),IF(AND(OR($B$4="Clinical Lecturer / Medical Research Fellow",$B$4="Clinical Consultant - Old Contract (GP)"),$B172&lt;&gt;""),INDEX(Points_Lookup!$K:$K,MATCH($B172,Points_Lookup!$J:$J,0)),IF(AND(OR($B$4="APM Level 7",$B$4="R&amp;T Level 7",$B$4="APM Level 8"),B172&lt;&gt;""),INDEX(Points_Lookup!$E:$E,MATCH($Z172,Points_Lookup!$AH:$AH,0)),IF($B$4="R&amp;T Level 5 - Clinical Lecturers (Vet School)",SUMIF(Points_Lookup!$P:$P,$B172,Points_Lookup!$S:$S),IF($B$4="R&amp;T Level 6 - Clinical Associate Professors and Clinical Readers (Vet School)",SUMIF(Points_Lookup!$W:$W,$B172,Points_Lookup!$Z:$Z),IFERROR(INDEX(Points_Lookup!$B:$B,MATCH($Z172,Points_Lookup!$AH:$AH,0)),""))))))))</f>
        <v/>
      </c>
      <c r="D172" s="40"/>
      <c r="E172" s="25" t="str">
        <f ca="1">IF($B172="","",IF(AND($B$4="Salary Points 3 to 57",B172&lt;Thresholds_Rates!$C$16),"-",IF(SUMIF(Grades!$A:$A,$B$4,Grades!$BO:$BO)=0,"-",IF(AND($B$4="Salary Points 3 to 57",B172&gt;=Thresholds_Rates!$C$16),$C172*Thresholds_Rates!$F$15,IF(AND(OR($B$4="New Consultant Contract"),$B172&lt;&gt;""),$C172*Thresholds_Rates!$F$15,IF(AND(OR($B$4="Clinical Lecturer / Medical Research Fellow",$B$4="Clinical Consultant - Old Contract (GP)"),$B172&lt;&gt;""),$C172*Thresholds_Rates!$F$15,IF(OR($B$4="APM Level 7",$B$4="R&amp;T Level 7"),$C172*Thresholds_Rates!$F$15,IF(SUMIF(Grades!$A:$A,$B$4,Grades!$BO:$BO)=1,$C172*Thresholds_Rates!$F$15,""))))))))</f>
        <v/>
      </c>
      <c r="F172" s="25" t="str">
        <f ca="1">IF(B172="","",IF($B$4="Salary Points 1 to 57","-",IF(SUMIF(Grades!$A:$A,$B$4,Grades!$BP:$BP)=0,"-",IF(AND(OR($B$4="New Consultant Contract"),$B172&lt;&gt;""),$C172*Thresholds_Rates!$F$16,IF(AND(OR($B$4="Clinical Lecturer / Medical Research Fellow",$B$4="Clinical Consultant - Old Contract (GP)"),$B172&lt;&gt;""),$C172*Thresholds_Rates!$F$16,IF(AND(OR($B$4="APM Level 7",$B$4="R&amp;T Level 7"),E172&lt;&gt;""),$C172*Thresholds_Rates!$F$16,IF(SUMIF(Grades!$A:$A,$B$4,Grades!$BP:$BP)=1,$C172*Thresholds_Rates!$F$16,"")))))))</f>
        <v/>
      </c>
      <c r="G172" s="25" t="str">
        <f ca="1">IF(B172="","",IF(SUMIF(Grades!$A:$A,$B$4,Grades!$BQ:$BQ)=0,"-",IF(AND($B$4="Salary Points 1 to 57",B172&gt;Thresholds_Rates!$C$17),"-",IF(AND($B$4="Salary Points 1 to 57",B172&lt;=Thresholds_Rates!$C$17),$C172*Thresholds_Rates!$F$17,IF(AND(OR($B$4="New Consultant Contract"),$B172&lt;&gt;""),$C172*Thresholds_Rates!$F$17,IF(AND(OR($B$4="Clinical Lecturer / Medical Research Fellow",$B$4="Clinical Consultant - Old Contract (GP)"),$B172&lt;&gt;""),$C172*Thresholds_Rates!$F$17,IF(AND(OR($B$4="APM Level 7",$B$4="R&amp;T Level 7"),F172&lt;&gt;""),$C172*Thresholds_Rates!$F$17,IF(SUMIF(Grades!$A:$A,$B$4,Grades!$BQ:$BQ)=1,$C172*Thresholds_Rates!$F$17,""))))))))</f>
        <v/>
      </c>
      <c r="H172" s="25"/>
      <c r="I172" s="25" t="str">
        <f ca="1">IF(B172="","",(C172*Thresholds_Rates!$C$12))</f>
        <v/>
      </c>
      <c r="J172" s="25"/>
      <c r="K172" s="4"/>
      <c r="L172" s="25" t="str">
        <f t="shared" ca="1" si="18"/>
        <v/>
      </c>
      <c r="M172" s="25" t="str">
        <f t="shared" ca="1" si="19"/>
        <v/>
      </c>
      <c r="N172" s="25" t="str">
        <f t="shared" ca="1" si="20"/>
        <v/>
      </c>
      <c r="O172" s="25" t="str">
        <f t="shared" ca="1" si="21"/>
        <v/>
      </c>
      <c r="P172" s="25" t="str">
        <f t="shared" ca="1" si="22"/>
        <v/>
      </c>
      <c r="R172" s="28"/>
      <c r="S172" s="29"/>
      <c r="T172" s="28"/>
      <c r="U172" s="29"/>
    </row>
    <row r="173" spans="2:21" x14ac:dyDescent="0.25">
      <c r="B173" s="4" t="str">
        <f ca="1">IFERROR(INDEX(Points_Lookup!$A:$A,MATCH($Z175,Points_Lookup!$AH:$AH,0)),"")</f>
        <v/>
      </c>
      <c r="C173" s="25" t="str">
        <f ca="1">IF(B173="","",IF($B$4="Apprenticeship",SUMIF(Points_Lookup!$AD:$AD,B173,Points_Lookup!$AF:$AF),IF(AND(OR($B$4="New Consultant Contract"),$B173&lt;&gt;""),INDEX(Points_Lookup!$N:$N,MATCH($B173,Points_Lookup!$M:$M,0)),IF(AND(OR($B$4="Clinical Lecturer / Medical Research Fellow",$B$4="Clinical Consultant - Old Contract (GP)"),$B173&lt;&gt;""),INDEX(Points_Lookup!$K:$K,MATCH($B173,Points_Lookup!$J:$J,0)),IF(AND(OR($B$4="APM Level 7",$B$4="R&amp;T Level 7",$B$4="APM Level 8"),B173&lt;&gt;""),INDEX(Points_Lookup!$E:$E,MATCH($Z173,Points_Lookup!$AH:$AH,0)),IF($B$4="R&amp;T Level 5 - Clinical Lecturers (Vet School)",SUMIF(Points_Lookup!$P:$P,$B173,Points_Lookup!$S:$S),IF($B$4="R&amp;T Level 6 - Clinical Associate Professors and Clinical Readers (Vet School)",SUMIF(Points_Lookup!$W:$W,$B173,Points_Lookup!$Z:$Z),IFERROR(INDEX(Points_Lookup!$B:$B,MATCH($Z173,Points_Lookup!$AH:$AH,0)),""))))))))</f>
        <v/>
      </c>
      <c r="D173" s="40"/>
      <c r="E173" s="25" t="str">
        <f ca="1">IF($B173="","",IF(AND($B$4="Salary Points 3 to 57",B173&lt;Thresholds_Rates!$C$16),"-",IF(SUMIF(Grades!$A:$A,$B$4,Grades!$BO:$BO)=0,"-",IF(AND($B$4="Salary Points 3 to 57",B173&gt;=Thresholds_Rates!$C$16),$C173*Thresholds_Rates!$F$15,IF(AND(OR($B$4="New Consultant Contract"),$B173&lt;&gt;""),$C173*Thresholds_Rates!$F$15,IF(AND(OR($B$4="Clinical Lecturer / Medical Research Fellow",$B$4="Clinical Consultant - Old Contract (GP)"),$B173&lt;&gt;""),$C173*Thresholds_Rates!$F$15,IF(OR($B$4="APM Level 7",$B$4="R&amp;T Level 7"),$C173*Thresholds_Rates!$F$15,IF(SUMIF(Grades!$A:$A,$B$4,Grades!$BO:$BO)=1,$C173*Thresholds_Rates!$F$15,""))))))))</f>
        <v/>
      </c>
      <c r="F173" s="25" t="str">
        <f ca="1">IF(B173="","",IF($B$4="Salary Points 1 to 57","-",IF(SUMIF(Grades!$A:$A,$B$4,Grades!$BP:$BP)=0,"-",IF(AND(OR($B$4="New Consultant Contract"),$B173&lt;&gt;""),$C173*Thresholds_Rates!$F$16,IF(AND(OR($B$4="Clinical Lecturer / Medical Research Fellow",$B$4="Clinical Consultant - Old Contract (GP)"),$B173&lt;&gt;""),$C173*Thresholds_Rates!$F$16,IF(AND(OR($B$4="APM Level 7",$B$4="R&amp;T Level 7"),E173&lt;&gt;""),$C173*Thresholds_Rates!$F$16,IF(SUMIF(Grades!$A:$A,$B$4,Grades!$BP:$BP)=1,$C173*Thresholds_Rates!$F$16,"")))))))</f>
        <v/>
      </c>
      <c r="G173" s="25" t="str">
        <f ca="1">IF(B173="","",IF(SUMIF(Grades!$A:$A,$B$4,Grades!$BQ:$BQ)=0,"-",IF(AND($B$4="Salary Points 1 to 57",B173&gt;Thresholds_Rates!$C$17),"-",IF(AND($B$4="Salary Points 1 to 57",B173&lt;=Thresholds_Rates!$C$17),$C173*Thresholds_Rates!$F$17,IF(AND(OR($B$4="New Consultant Contract"),$B173&lt;&gt;""),$C173*Thresholds_Rates!$F$17,IF(AND(OR($B$4="Clinical Lecturer / Medical Research Fellow",$B$4="Clinical Consultant - Old Contract (GP)"),$B173&lt;&gt;""),$C173*Thresholds_Rates!$F$17,IF(AND(OR($B$4="APM Level 7",$B$4="R&amp;T Level 7"),F173&lt;&gt;""),$C173*Thresholds_Rates!$F$17,IF(SUMIF(Grades!$A:$A,$B$4,Grades!$BQ:$BQ)=1,$C173*Thresholds_Rates!$F$17,""))))))))</f>
        <v/>
      </c>
      <c r="H173" s="25"/>
      <c r="I173" s="25" t="str">
        <f ca="1">IF(B173="","",(C173*Thresholds_Rates!$C$12))</f>
        <v/>
      </c>
      <c r="J173" s="25"/>
      <c r="K173" s="4"/>
      <c r="L173" s="25" t="str">
        <f t="shared" ca="1" si="18"/>
        <v/>
      </c>
      <c r="M173" s="25" t="str">
        <f t="shared" ca="1" si="19"/>
        <v/>
      </c>
      <c r="N173" s="25" t="str">
        <f t="shared" ca="1" si="20"/>
        <v/>
      </c>
      <c r="O173" s="25" t="str">
        <f t="shared" ca="1" si="21"/>
        <v/>
      </c>
      <c r="P173" s="25" t="str">
        <f t="shared" ca="1" si="22"/>
        <v/>
      </c>
      <c r="R173" s="28"/>
      <c r="S173" s="29"/>
      <c r="T173" s="28"/>
      <c r="U173" s="29"/>
    </row>
    <row r="174" spans="2:21" x14ac:dyDescent="0.25">
      <c r="E174" s="25" t="str">
        <f>IF($B174="","",IF(AND($B$4="Salary Points 3 to 57",B174&lt;Thresholds_Rates!$C$16),"-",IF(SUMIF(Grades!$A:$A,$B$4,Grades!$BO:$BO)=0,"-",IF(AND($B$4="Salary Points 3 to 57",B174&gt;=Thresholds_Rates!$C$16),$C174*Thresholds_Rates!$F$15,IF(AND(OR($B$4="New Consultant Contract"),$B174&lt;&gt;""),$C174*Thresholds_Rates!$F$15,IF(AND(OR($B$4="Clinical Lecturer / Medical Research Fellow",$B$4="Clinical Consultant - Old Contract (GP)"),$B174&lt;&gt;""),$C174*Thresholds_Rates!$F$15,IF(OR($B$4="APM Level 7",$B$4="R&amp;T Level 7"),$C174*Thresholds_Rates!$F$15,IF(SUMIF(Grades!$A:$A,$B$4,Grades!$BO:$BO)=1,$C174*Thresholds_Rates!$F$15,""))))))))</f>
        <v/>
      </c>
      <c r="L174" s="25" t="str">
        <f t="shared" ref="L174:L200" si="23">IF(B174="","",IF(E174="-","-",$C174+$H174+E174))</f>
        <v/>
      </c>
      <c r="M174" s="25" t="str">
        <f>IF(B174="","",IF(F174="-","-",$C174+$H174+F174))</f>
        <v/>
      </c>
      <c r="N174" s="25" t="str">
        <f>IF(B174="","",IF(G174="-","-",$C174+$H174+G174))</f>
        <v/>
      </c>
      <c r="O174" s="25" t="str">
        <f t="shared" ref="O174:O200" si="24">IF(B174="","",IF(J174="-","-",$C174+$H174+J174))</f>
        <v/>
      </c>
      <c r="P174" s="25" t="str">
        <f t="shared" ref="P174:P200" si="25">IF(B174="","",C174+H174)</f>
        <v/>
      </c>
    </row>
    <row r="175" spans="2:21" x14ac:dyDescent="0.25">
      <c r="E175" s="25" t="str">
        <f>IF($B175="","",IF(AND($B$4="Salary Points 3 to 57",B175&lt;Thresholds_Rates!$C$16),"-",IF(SUMIF(Grades!$A:$A,$B$4,Grades!$BO:$BO)=0,"-",IF(AND($B$4="Salary Points 3 to 57",B175&gt;=Thresholds_Rates!$C$16),$C175*Thresholds_Rates!$F$15,IF(AND(OR($B$4="New Consultant Contract"),$B175&lt;&gt;""),$C175*Thresholds_Rates!$F$15,IF(AND(OR($B$4="Clinical Lecturer / Medical Research Fellow",$B$4="Clinical Consultant - Old Contract (GP)"),$B175&lt;&gt;""),$C175*Thresholds_Rates!$F$15,IF(OR($B$4="APM Level 7",$B$4="R&amp;T Level 7"),$C175*Thresholds_Rates!$F$15,IF(SUMIF(Grades!$A:$A,$B$4,Grades!$BO:$BO)=1,$C175*Thresholds_Rates!$F$15,""))))))))</f>
        <v/>
      </c>
      <c r="L175" s="25" t="str">
        <f t="shared" si="23"/>
        <v/>
      </c>
      <c r="M175" s="25" t="str">
        <f t="shared" ref="M175:M200" si="26">IF(B175="","",IF(F175="-","-",$C175+$H175+F175))</f>
        <v/>
      </c>
      <c r="N175" s="25" t="str">
        <f t="shared" ref="N175:N200" si="27">IF(B175="","",IF(G175="-","-",$C175+$H175+G175))</f>
        <v/>
      </c>
      <c r="O175" s="25" t="str">
        <f t="shared" si="24"/>
        <v/>
      </c>
      <c r="P175" s="25" t="str">
        <f t="shared" si="25"/>
        <v/>
      </c>
    </row>
    <row r="176" spans="2:21" x14ac:dyDescent="0.25">
      <c r="E176" s="25" t="str">
        <f>IF($B176="","",IF(AND($B$4="Salary Points 3 to 57",B176&lt;Thresholds_Rates!$C$16),"-",IF(SUMIF(Grades!$A:$A,$B$4,Grades!$BO:$BO)=0,"-",IF(AND($B$4="Salary Points 3 to 57",B176&gt;=Thresholds_Rates!$C$16),$C176*Thresholds_Rates!$F$15,IF(AND(OR($B$4="New Consultant Contract"),$B176&lt;&gt;""),$C176*Thresholds_Rates!$F$15,IF(AND(OR($B$4="Clinical Lecturer / Medical Research Fellow",$B$4="Clinical Consultant - Old Contract (GP)"),$B176&lt;&gt;""),$C176*Thresholds_Rates!$F$15,IF(OR($B$4="APM Level 7",$B$4="R&amp;T Level 7"),$C176*Thresholds_Rates!$F$15,IF(SUMIF(Grades!$A:$A,$B$4,Grades!$BO:$BO)=1,$C176*Thresholds_Rates!$F$15,""))))))))</f>
        <v/>
      </c>
      <c r="L176" s="25" t="str">
        <f t="shared" si="23"/>
        <v/>
      </c>
      <c r="M176" s="25" t="str">
        <f t="shared" si="26"/>
        <v/>
      </c>
      <c r="N176" s="25" t="str">
        <f t="shared" si="27"/>
        <v/>
      </c>
      <c r="O176" s="25" t="str">
        <f t="shared" si="24"/>
        <v/>
      </c>
      <c r="P176" s="25" t="str">
        <f t="shared" si="25"/>
        <v/>
      </c>
    </row>
    <row r="177" spans="5:16" x14ac:dyDescent="0.25">
      <c r="E177" s="25" t="str">
        <f>IF($B177="","",IF(AND($B$4="Salary Points 3 to 57",B177&lt;Thresholds_Rates!$C$16),"-",IF(SUMIF(Grades!$A:$A,$B$4,Grades!$BO:$BO)=0,"-",IF(AND($B$4="Salary Points 3 to 57",B177&gt;=Thresholds_Rates!$C$16),$C177*Thresholds_Rates!$F$15,IF(AND(OR($B$4="New Consultant Contract"),$B177&lt;&gt;""),$C177*Thresholds_Rates!$F$15,IF(AND(OR($B$4="Clinical Lecturer / Medical Research Fellow",$B$4="Clinical Consultant - Old Contract (GP)"),$B177&lt;&gt;""),$C177*Thresholds_Rates!$F$15,IF(OR($B$4="APM Level 7",$B$4="R&amp;T Level 7"),$C177*Thresholds_Rates!$F$15,IF(SUMIF(Grades!$A:$A,$B$4,Grades!$BO:$BO)=1,$C177*Thresholds_Rates!$F$15,""))))))))</f>
        <v/>
      </c>
      <c r="L177" s="25" t="str">
        <f t="shared" si="23"/>
        <v/>
      </c>
      <c r="M177" s="25" t="str">
        <f t="shared" si="26"/>
        <v/>
      </c>
      <c r="N177" s="25" t="str">
        <f t="shared" si="27"/>
        <v/>
      </c>
      <c r="O177" s="25" t="str">
        <f t="shared" si="24"/>
        <v/>
      </c>
      <c r="P177" s="25" t="str">
        <f t="shared" si="25"/>
        <v/>
      </c>
    </row>
    <row r="178" spans="5:16" x14ac:dyDescent="0.25">
      <c r="E178" s="25" t="str">
        <f>IF($B178="","",IF(AND($B$4="Salary Points 3 to 57",B178&lt;Thresholds_Rates!$C$16),"-",IF(SUMIF(Grades!$A:$A,$B$4,Grades!$BO:$BO)=0,"-",IF(AND($B$4="Salary Points 3 to 57",B178&gt;=Thresholds_Rates!$C$16),$C178*Thresholds_Rates!$F$15,IF(AND(OR($B$4="New Consultant Contract"),$B178&lt;&gt;""),$C178*Thresholds_Rates!$F$15,IF(AND(OR($B$4="Clinical Lecturer / Medical Research Fellow",$B$4="Clinical Consultant - Old Contract (GP)"),$B178&lt;&gt;""),$C178*Thresholds_Rates!$F$15,IF(OR($B$4="APM Level 7",$B$4="R&amp;T Level 7"),$C178*Thresholds_Rates!$F$15,IF(SUMIF(Grades!$A:$A,$B$4,Grades!$BO:$BO)=1,$C178*Thresholds_Rates!$F$15,""))))))))</f>
        <v/>
      </c>
      <c r="L178" s="25" t="str">
        <f t="shared" si="23"/>
        <v/>
      </c>
      <c r="M178" s="25" t="str">
        <f t="shared" si="26"/>
        <v/>
      </c>
      <c r="N178" s="25" t="str">
        <f t="shared" si="27"/>
        <v/>
      </c>
      <c r="O178" s="25" t="str">
        <f t="shared" si="24"/>
        <v/>
      </c>
      <c r="P178" s="25" t="str">
        <f t="shared" si="25"/>
        <v/>
      </c>
    </row>
    <row r="179" spans="5:16" x14ac:dyDescent="0.25">
      <c r="E179" s="25" t="str">
        <f>IF($B179="","",IF(AND($B$4="Salary Points 3 to 57",B179&lt;Thresholds_Rates!$C$16),"-",IF(SUMIF(Grades!$A:$A,$B$4,Grades!$BO:$BO)=0,"-",IF(AND($B$4="Salary Points 3 to 57",B179&gt;=Thresholds_Rates!$C$16),$C179*Thresholds_Rates!$F$15,IF(AND(OR($B$4="New Consultant Contract"),$B179&lt;&gt;""),$C179*Thresholds_Rates!$F$15,IF(AND(OR($B$4="Clinical Lecturer / Medical Research Fellow",$B$4="Clinical Consultant - Old Contract (GP)"),$B179&lt;&gt;""),$C179*Thresholds_Rates!$F$15,IF(OR($B$4="APM Level 7",$B$4="R&amp;T Level 7"),$C179*Thresholds_Rates!$F$15,IF(SUMIF(Grades!$A:$A,$B$4,Grades!$BO:$BO)=1,$C179*Thresholds_Rates!$F$15,""))))))))</f>
        <v/>
      </c>
      <c r="L179" s="25" t="str">
        <f t="shared" si="23"/>
        <v/>
      </c>
      <c r="M179" s="25" t="str">
        <f t="shared" si="26"/>
        <v/>
      </c>
      <c r="N179" s="25" t="str">
        <f t="shared" si="27"/>
        <v/>
      </c>
      <c r="O179" s="25" t="str">
        <f t="shared" si="24"/>
        <v/>
      </c>
      <c r="P179" s="25" t="str">
        <f t="shared" si="25"/>
        <v/>
      </c>
    </row>
    <row r="180" spans="5:16" x14ac:dyDescent="0.25">
      <c r="E180" s="25" t="str">
        <f>IF($B180="","",IF(AND($B$4="Salary Points 3 to 57",B180&lt;Thresholds_Rates!$C$16),"-",IF(SUMIF(Grades!$A:$A,$B$4,Grades!$BO:$BO)=0,"-",IF(AND($B$4="Salary Points 3 to 57",B180&gt;=Thresholds_Rates!$C$16),$C180*Thresholds_Rates!$F$15,IF(AND(OR($B$4="New Consultant Contract"),$B180&lt;&gt;""),$C180*Thresholds_Rates!$F$15,IF(AND(OR($B$4="Clinical Lecturer / Medical Research Fellow",$B$4="Clinical Consultant - Old Contract (GP)"),$B180&lt;&gt;""),$C180*Thresholds_Rates!$F$15,IF(OR($B$4="APM Level 7",$B$4="R&amp;T Level 7"),$C180*Thresholds_Rates!$F$15,IF(SUMIF(Grades!$A:$A,$B$4,Grades!$BO:$BO)=1,$C180*Thresholds_Rates!$F$15,""))))))))</f>
        <v/>
      </c>
      <c r="L180" s="25" t="str">
        <f t="shared" si="23"/>
        <v/>
      </c>
      <c r="M180" s="25" t="str">
        <f t="shared" si="26"/>
        <v/>
      </c>
      <c r="N180" s="25" t="str">
        <f t="shared" si="27"/>
        <v/>
      </c>
      <c r="O180" s="25" t="str">
        <f t="shared" si="24"/>
        <v/>
      </c>
      <c r="P180" s="25" t="str">
        <f t="shared" si="25"/>
        <v/>
      </c>
    </row>
    <row r="181" spans="5:16" x14ac:dyDescent="0.25">
      <c r="E181" s="25" t="str">
        <f>IF($B181="","",IF(AND($B$4="Salary Points 3 to 57",B181&lt;Thresholds_Rates!$C$16),"-",IF(SUMIF(Grades!$A:$A,$B$4,Grades!$BO:$BO)=0,"-",IF(AND($B$4="Salary Points 3 to 57",B181&gt;=Thresholds_Rates!$C$16),$C181*Thresholds_Rates!$F$15,IF(AND(OR($B$4="New Consultant Contract"),$B181&lt;&gt;""),$C181*Thresholds_Rates!$F$15,IF(AND(OR($B$4="Clinical Lecturer / Medical Research Fellow",$B$4="Clinical Consultant - Old Contract (GP)"),$B181&lt;&gt;""),$C181*Thresholds_Rates!$F$15,IF(OR($B$4="APM Level 7",$B$4="R&amp;T Level 7"),$C181*Thresholds_Rates!$F$15,IF(SUMIF(Grades!$A:$A,$B$4,Grades!$BO:$BO)=1,$C181*Thresholds_Rates!$F$15,""))))))))</f>
        <v/>
      </c>
      <c r="L181" s="25" t="str">
        <f t="shared" si="23"/>
        <v/>
      </c>
      <c r="M181" s="25" t="str">
        <f t="shared" si="26"/>
        <v/>
      </c>
      <c r="N181" s="25" t="str">
        <f t="shared" si="27"/>
        <v/>
      </c>
      <c r="O181" s="25" t="str">
        <f t="shared" si="24"/>
        <v/>
      </c>
      <c r="P181" s="25" t="str">
        <f t="shared" si="25"/>
        <v/>
      </c>
    </row>
    <row r="182" spans="5:16" x14ac:dyDescent="0.25">
      <c r="E182" s="25" t="str">
        <f>IF($B182="","",IF(AND($B$4="Salary Points 3 to 57",B182&lt;Thresholds_Rates!$C$16),"-",IF(SUMIF(Grades!$A:$A,$B$4,Grades!$BO:$BO)=0,"-",IF(AND($B$4="Salary Points 3 to 57",B182&gt;=Thresholds_Rates!$C$16),$C182*Thresholds_Rates!$F$15,IF(AND(OR($B$4="New Consultant Contract"),$B182&lt;&gt;""),$C182*Thresholds_Rates!$F$15,IF(AND(OR($B$4="Clinical Lecturer / Medical Research Fellow",$B$4="Clinical Consultant - Old Contract (GP)"),$B182&lt;&gt;""),$C182*Thresholds_Rates!$F$15,IF(OR($B$4="APM Level 7",$B$4="R&amp;T Level 7"),$C182*Thresholds_Rates!$F$15,IF(SUMIF(Grades!$A:$A,$B$4,Grades!$BO:$BO)=1,$C182*Thresholds_Rates!$F$15,""))))))))</f>
        <v/>
      </c>
      <c r="L182" s="25" t="str">
        <f t="shared" si="23"/>
        <v/>
      </c>
      <c r="M182" s="25" t="str">
        <f t="shared" si="26"/>
        <v/>
      </c>
      <c r="N182" s="25" t="str">
        <f t="shared" si="27"/>
        <v/>
      </c>
      <c r="O182" s="25" t="str">
        <f t="shared" si="24"/>
        <v/>
      </c>
      <c r="P182" s="25" t="str">
        <f t="shared" si="25"/>
        <v/>
      </c>
    </row>
    <row r="183" spans="5:16" x14ac:dyDescent="0.25">
      <c r="E183" s="25" t="str">
        <f>IF($B183="","",IF(AND($B$4="Salary Points 3 to 57",B183&lt;Thresholds_Rates!$C$16),"-",IF(SUMIF(Grades!$A:$A,$B$4,Grades!$BO:$BO)=0,"-",IF(AND($B$4="Salary Points 3 to 57",B183&gt;=Thresholds_Rates!$C$16),$C183*Thresholds_Rates!$F$15,IF(AND(OR($B$4="New Consultant Contract"),$B183&lt;&gt;""),$C183*Thresholds_Rates!$F$15,IF(AND(OR($B$4="Clinical Lecturer / Medical Research Fellow",$B$4="Clinical Consultant - Old Contract (GP)"),$B183&lt;&gt;""),$C183*Thresholds_Rates!$F$15,IF(OR($B$4="APM Level 7",$B$4="R&amp;T Level 7"),$C183*Thresholds_Rates!$F$15,IF(SUMIF(Grades!$A:$A,$B$4,Grades!$BO:$BO)=1,$C183*Thresholds_Rates!$F$15,""))))))))</f>
        <v/>
      </c>
      <c r="L183" s="25" t="str">
        <f t="shared" si="23"/>
        <v/>
      </c>
      <c r="M183" s="25" t="str">
        <f t="shared" si="26"/>
        <v/>
      </c>
      <c r="N183" s="25" t="str">
        <f t="shared" si="27"/>
        <v/>
      </c>
      <c r="O183" s="25" t="str">
        <f t="shared" si="24"/>
        <v/>
      </c>
      <c r="P183" s="25" t="str">
        <f t="shared" si="25"/>
        <v/>
      </c>
    </row>
    <row r="184" spans="5:16" x14ac:dyDescent="0.25">
      <c r="E184" s="25" t="str">
        <f>IF($B184="","",IF(AND($B$4="Salary Points 3 to 57",B184&lt;Thresholds_Rates!$C$16),"-",IF(SUMIF(Grades!$A:$A,$B$4,Grades!$BO:$BO)=0,"-",IF(AND($B$4="Salary Points 3 to 57",B184&gt;=Thresholds_Rates!$C$16),$C184*Thresholds_Rates!$F$15,IF(AND(OR($B$4="New Consultant Contract"),$B184&lt;&gt;""),$C184*Thresholds_Rates!$F$15,IF(AND(OR($B$4="Clinical Lecturer / Medical Research Fellow",$B$4="Clinical Consultant - Old Contract (GP)"),$B184&lt;&gt;""),$C184*Thresholds_Rates!$F$15,IF(OR($B$4="APM Level 7",$B$4="R&amp;T Level 7"),$C184*Thresholds_Rates!$F$15,IF(SUMIF(Grades!$A:$A,$B$4,Grades!$BO:$BO)=1,$C184*Thresholds_Rates!$F$15,""))))))))</f>
        <v/>
      </c>
      <c r="L184" s="25" t="str">
        <f t="shared" si="23"/>
        <v/>
      </c>
      <c r="M184" s="25" t="str">
        <f t="shared" si="26"/>
        <v/>
      </c>
      <c r="N184" s="25" t="str">
        <f t="shared" si="27"/>
        <v/>
      </c>
      <c r="O184" s="25" t="str">
        <f t="shared" si="24"/>
        <v/>
      </c>
      <c r="P184" s="25" t="str">
        <f t="shared" si="25"/>
        <v/>
      </c>
    </row>
    <row r="185" spans="5:16" x14ac:dyDescent="0.25">
      <c r="E185" s="25" t="str">
        <f>IF($B185="","",IF(AND($B$4="Salary Points 3 to 57",B185&lt;Thresholds_Rates!$C$16),"-",IF(SUMIF(Grades!$A:$A,$B$4,Grades!$BO:$BO)=0,"-",IF(AND($B$4="Salary Points 3 to 57",B185&gt;=Thresholds_Rates!$C$16),$C185*Thresholds_Rates!$F$15,IF(AND(OR($B$4="New Consultant Contract"),$B185&lt;&gt;""),$C185*Thresholds_Rates!$F$15,IF(AND(OR($B$4="Clinical Lecturer / Medical Research Fellow",$B$4="Clinical Consultant - Old Contract (GP)"),$B185&lt;&gt;""),$C185*Thresholds_Rates!$F$15,IF(OR($B$4="APM Level 7",$B$4="R&amp;T Level 7"),$C185*Thresholds_Rates!$F$15,IF(SUMIF(Grades!$A:$A,$B$4,Grades!$BO:$BO)=1,$C185*Thresholds_Rates!$F$15,""))))))))</f>
        <v/>
      </c>
      <c r="L185" s="25" t="str">
        <f t="shared" si="23"/>
        <v/>
      </c>
      <c r="M185" s="25" t="str">
        <f t="shared" si="26"/>
        <v/>
      </c>
      <c r="N185" s="25" t="str">
        <f t="shared" si="27"/>
        <v/>
      </c>
      <c r="O185" s="25" t="str">
        <f t="shared" si="24"/>
        <v/>
      </c>
      <c r="P185" s="25" t="str">
        <f t="shared" si="25"/>
        <v/>
      </c>
    </row>
    <row r="186" spans="5:16" x14ac:dyDescent="0.25">
      <c r="E186" s="25" t="str">
        <f>IF($B186="","",IF(AND($B$4="Salary Points 3 to 57",B186&lt;Thresholds_Rates!$C$16),"-",IF(SUMIF(Grades!$A:$A,$B$4,Grades!$BO:$BO)=0,"-",IF(AND($B$4="Salary Points 3 to 57",B186&gt;=Thresholds_Rates!$C$16),$C186*Thresholds_Rates!$F$15,IF(AND(OR($B$4="New Consultant Contract"),$B186&lt;&gt;""),$C186*Thresholds_Rates!$F$15,IF(AND(OR($B$4="Clinical Lecturer / Medical Research Fellow",$B$4="Clinical Consultant - Old Contract (GP)"),$B186&lt;&gt;""),$C186*Thresholds_Rates!$F$15,IF(OR($B$4="APM Level 7",$B$4="R&amp;T Level 7"),$C186*Thresholds_Rates!$F$15,IF(SUMIF(Grades!$A:$A,$B$4,Grades!$BO:$BO)=1,$C186*Thresholds_Rates!$F$15,""))))))))</f>
        <v/>
      </c>
      <c r="L186" s="25" t="str">
        <f t="shared" si="23"/>
        <v/>
      </c>
      <c r="M186" s="25" t="str">
        <f t="shared" si="26"/>
        <v/>
      </c>
      <c r="N186" s="25" t="str">
        <f t="shared" si="27"/>
        <v/>
      </c>
      <c r="O186" s="25" t="str">
        <f t="shared" si="24"/>
        <v/>
      </c>
      <c r="P186" s="25" t="str">
        <f t="shared" si="25"/>
        <v/>
      </c>
    </row>
    <row r="187" spans="5:16" x14ac:dyDescent="0.25">
      <c r="E187" s="25" t="str">
        <f>IF($B187="","",IF(AND($B$4="Salary Points 3 to 57",B187&lt;Thresholds_Rates!$C$16),"-",IF(SUMIF(Grades!$A:$A,$B$4,Grades!$BO:$BO)=0,"-",IF(AND($B$4="Salary Points 3 to 57",B187&gt;=Thresholds_Rates!$C$16),$C187*Thresholds_Rates!$F$15,IF(AND(OR($B$4="New Consultant Contract"),$B187&lt;&gt;""),$C187*Thresholds_Rates!$F$15,IF(AND(OR($B$4="Clinical Lecturer / Medical Research Fellow",$B$4="Clinical Consultant - Old Contract (GP)"),$B187&lt;&gt;""),$C187*Thresholds_Rates!$F$15,IF(OR($B$4="APM Level 7",$B$4="R&amp;T Level 7"),$C187*Thresholds_Rates!$F$15,IF(SUMIF(Grades!$A:$A,$B$4,Grades!$BO:$BO)=1,$C187*Thresholds_Rates!$F$15,""))))))))</f>
        <v/>
      </c>
      <c r="L187" s="25" t="str">
        <f t="shared" si="23"/>
        <v/>
      </c>
      <c r="M187" s="25" t="str">
        <f t="shared" si="26"/>
        <v/>
      </c>
      <c r="N187" s="25" t="str">
        <f t="shared" si="27"/>
        <v/>
      </c>
      <c r="O187" s="25" t="str">
        <f t="shared" si="24"/>
        <v/>
      </c>
      <c r="P187" s="25" t="str">
        <f t="shared" si="25"/>
        <v/>
      </c>
    </row>
    <row r="188" spans="5:16" x14ac:dyDescent="0.25">
      <c r="E188" s="25" t="str">
        <f>IF($B188="","",IF(AND($B$4="Salary Points 3 to 57",B188&lt;Thresholds_Rates!$C$16),"-",IF(SUMIF(Grades!$A:$A,$B$4,Grades!$BO:$BO)=0,"-",IF(AND($B$4="Salary Points 3 to 57",B188&gt;=Thresholds_Rates!$C$16),$C188*Thresholds_Rates!$F$15,IF(AND(OR($B$4="New Consultant Contract"),$B188&lt;&gt;""),$C188*Thresholds_Rates!$F$15,IF(AND(OR($B$4="Clinical Lecturer / Medical Research Fellow",$B$4="Clinical Consultant - Old Contract (GP)"),$B188&lt;&gt;""),$C188*Thresholds_Rates!$F$15,IF(OR($B$4="APM Level 7",$B$4="R&amp;T Level 7"),$C188*Thresholds_Rates!$F$15,IF(SUMIF(Grades!$A:$A,$B$4,Grades!$BO:$BO)=1,$C188*Thresholds_Rates!$F$15,""))))))))</f>
        <v/>
      </c>
      <c r="L188" s="25" t="str">
        <f t="shared" si="23"/>
        <v/>
      </c>
      <c r="M188" s="25" t="str">
        <f t="shared" si="26"/>
        <v/>
      </c>
      <c r="N188" s="25" t="str">
        <f t="shared" si="27"/>
        <v/>
      </c>
      <c r="O188" s="25" t="str">
        <f t="shared" si="24"/>
        <v/>
      </c>
      <c r="P188" s="25" t="str">
        <f t="shared" si="25"/>
        <v/>
      </c>
    </row>
    <row r="189" spans="5:16" x14ac:dyDescent="0.25">
      <c r="E189" s="25" t="str">
        <f>IF($B189="","",IF(AND($B$4="Salary Points 3 to 57",B189&lt;Thresholds_Rates!$C$16),"-",IF(SUMIF(Grades!$A:$A,$B$4,Grades!$BO:$BO)=0,"-",IF(AND($B$4="Salary Points 3 to 57",B189&gt;=Thresholds_Rates!$C$16),$C189*Thresholds_Rates!$F$15,IF(AND(OR($B$4="New Consultant Contract"),$B189&lt;&gt;""),$C189*Thresholds_Rates!$F$15,IF(AND(OR($B$4="Clinical Lecturer / Medical Research Fellow",$B$4="Clinical Consultant - Old Contract (GP)"),$B189&lt;&gt;""),$C189*Thresholds_Rates!$F$15,IF(OR($B$4="APM Level 7",$B$4="R&amp;T Level 7"),$C189*Thresholds_Rates!$F$15,IF(SUMIF(Grades!$A:$A,$B$4,Grades!$BO:$BO)=1,$C189*Thresholds_Rates!$F$15,""))))))))</f>
        <v/>
      </c>
      <c r="L189" s="25" t="str">
        <f t="shared" si="23"/>
        <v/>
      </c>
      <c r="M189" s="25" t="str">
        <f t="shared" si="26"/>
        <v/>
      </c>
      <c r="N189" s="25" t="str">
        <f t="shared" si="27"/>
        <v/>
      </c>
      <c r="O189" s="25" t="str">
        <f t="shared" si="24"/>
        <v/>
      </c>
      <c r="P189" s="25" t="str">
        <f t="shared" si="25"/>
        <v/>
      </c>
    </row>
    <row r="190" spans="5:16" x14ac:dyDescent="0.25">
      <c r="E190" s="25" t="str">
        <f>IF($B190="","",IF(AND($B$4="Salary Points 3 to 57",B190&lt;Thresholds_Rates!$C$16),"-",IF(SUMIF(Grades!$A:$A,$B$4,Grades!$BO:$BO)=0,"-",IF(AND($B$4="Salary Points 3 to 57",B190&gt;=Thresholds_Rates!$C$16),$C190*Thresholds_Rates!$F$15,IF(AND(OR($B$4="New Consultant Contract"),$B190&lt;&gt;""),$C190*Thresholds_Rates!$F$15,IF(AND(OR($B$4="Clinical Lecturer / Medical Research Fellow",$B$4="Clinical Consultant - Old Contract (GP)"),$B190&lt;&gt;""),$C190*Thresholds_Rates!$F$15,IF(OR($B$4="APM Level 7",$B$4="R&amp;T Level 7"),$C190*Thresholds_Rates!$F$15,IF(SUMIF(Grades!$A:$A,$B$4,Grades!$BO:$BO)=1,$C190*Thresholds_Rates!$F$15,""))))))))</f>
        <v/>
      </c>
      <c r="L190" s="25" t="str">
        <f t="shared" si="23"/>
        <v/>
      </c>
      <c r="M190" s="25" t="str">
        <f t="shared" si="26"/>
        <v/>
      </c>
      <c r="N190" s="25" t="str">
        <f t="shared" si="27"/>
        <v/>
      </c>
      <c r="O190" s="25" t="str">
        <f t="shared" si="24"/>
        <v/>
      </c>
      <c r="P190" s="25" t="str">
        <f t="shared" si="25"/>
        <v/>
      </c>
    </row>
    <row r="191" spans="5:16" x14ac:dyDescent="0.25">
      <c r="E191" s="25" t="str">
        <f>IF($B191="","",IF(AND($B$4="Salary Points 3 to 57",B191&lt;Thresholds_Rates!$C$16),"-",IF(SUMIF(Grades!$A:$A,$B$4,Grades!$BO:$BO)=0,"-",IF(AND($B$4="Salary Points 3 to 57",B191&gt;=Thresholds_Rates!$C$16),$C191*Thresholds_Rates!$F$15,IF(AND(OR($B$4="New Consultant Contract"),$B191&lt;&gt;""),$C191*Thresholds_Rates!$F$15,IF(AND(OR($B$4="Clinical Lecturer / Medical Research Fellow",$B$4="Clinical Consultant - Old Contract (GP)"),$B191&lt;&gt;""),$C191*Thresholds_Rates!$F$15,IF(OR($B$4="APM Level 7",$B$4="R&amp;T Level 7"),$C191*Thresholds_Rates!$F$15,IF(SUMIF(Grades!$A:$A,$B$4,Grades!$BO:$BO)=1,$C191*Thresholds_Rates!$F$15,""))))))))</f>
        <v/>
      </c>
      <c r="L191" s="25" t="str">
        <f t="shared" si="23"/>
        <v/>
      </c>
      <c r="M191" s="25" t="str">
        <f t="shared" si="26"/>
        <v/>
      </c>
      <c r="N191" s="25" t="str">
        <f t="shared" si="27"/>
        <v/>
      </c>
      <c r="O191" s="25" t="str">
        <f t="shared" si="24"/>
        <v/>
      </c>
      <c r="P191" s="25" t="str">
        <f t="shared" si="25"/>
        <v/>
      </c>
    </row>
    <row r="192" spans="5:16" x14ac:dyDescent="0.25">
      <c r="E192" s="25" t="str">
        <f>IF($B192="","",IF(AND($B$4="Salary Points 3 to 57",B192&lt;Thresholds_Rates!$C$16),"-",IF(SUMIF(Grades!$A:$A,$B$4,Grades!$BO:$BO)=0,"-",IF(AND($B$4="Salary Points 3 to 57",B192&gt;=Thresholds_Rates!$C$16),$C192*Thresholds_Rates!$F$15,IF(AND(OR($B$4="New Consultant Contract"),$B192&lt;&gt;""),$C192*Thresholds_Rates!$F$15,IF(AND(OR($B$4="Clinical Lecturer / Medical Research Fellow",$B$4="Clinical Consultant - Old Contract (GP)"),$B192&lt;&gt;""),$C192*Thresholds_Rates!$F$15,IF(OR($B$4="APM Level 7",$B$4="R&amp;T Level 7"),$C192*Thresholds_Rates!$F$15,IF(SUMIF(Grades!$A:$A,$B$4,Grades!$BO:$BO)=1,$C192*Thresholds_Rates!$F$15,""))))))))</f>
        <v/>
      </c>
      <c r="L192" s="25" t="str">
        <f t="shared" si="23"/>
        <v/>
      </c>
      <c r="M192" s="25" t="str">
        <f t="shared" si="26"/>
        <v/>
      </c>
      <c r="N192" s="25" t="str">
        <f t="shared" si="27"/>
        <v/>
      </c>
      <c r="O192" s="25" t="str">
        <f t="shared" si="24"/>
        <v/>
      </c>
      <c r="P192" s="25" t="str">
        <f t="shared" si="25"/>
        <v/>
      </c>
    </row>
    <row r="193" spans="5:16" x14ac:dyDescent="0.25">
      <c r="E193" s="25" t="str">
        <f>IF($B193="","",IF(AND($B$4="Salary Points 3 to 57",B193&lt;Thresholds_Rates!$C$16),"-",IF(SUMIF(Grades!$A:$A,$B$4,Grades!$BO:$BO)=0,"-",IF(AND($B$4="Salary Points 3 to 57",B193&gt;=Thresholds_Rates!$C$16),$C193*Thresholds_Rates!$F$15,IF(AND(OR($B$4="New Consultant Contract"),$B193&lt;&gt;""),$C193*Thresholds_Rates!$F$15,IF(AND(OR($B$4="Clinical Lecturer / Medical Research Fellow",$B$4="Clinical Consultant - Old Contract (GP)"),$B193&lt;&gt;""),$C193*Thresholds_Rates!$F$15,IF(OR($B$4="APM Level 7",$B$4="R&amp;T Level 7"),$C193*Thresholds_Rates!$F$15,IF(SUMIF(Grades!$A:$A,$B$4,Grades!$BO:$BO)=1,$C193*Thresholds_Rates!$F$15,""))))))))</f>
        <v/>
      </c>
      <c r="L193" s="25" t="str">
        <f t="shared" si="23"/>
        <v/>
      </c>
      <c r="M193" s="25" t="str">
        <f t="shared" si="26"/>
        <v/>
      </c>
      <c r="N193" s="25" t="str">
        <f t="shared" si="27"/>
        <v/>
      </c>
      <c r="O193" s="25" t="str">
        <f t="shared" si="24"/>
        <v/>
      </c>
      <c r="P193" s="25" t="str">
        <f t="shared" si="25"/>
        <v/>
      </c>
    </row>
    <row r="194" spans="5:16" x14ac:dyDescent="0.25">
      <c r="E194" s="25" t="str">
        <f>IF($B194="","",IF(AND($B$4="Salary Points 3 to 57",B194&lt;Thresholds_Rates!$C$16),"-",IF(SUMIF(Grades!$A:$A,$B$4,Grades!$BO:$BO)=0,"-",IF(AND($B$4="Salary Points 3 to 57",B194&gt;=Thresholds_Rates!$C$16),$C194*Thresholds_Rates!$F$15,IF(AND(OR($B$4="New Consultant Contract"),$B194&lt;&gt;""),$C194*Thresholds_Rates!$F$15,IF(AND(OR($B$4="Clinical Lecturer / Medical Research Fellow",$B$4="Clinical Consultant - Old Contract (GP)"),$B194&lt;&gt;""),$C194*Thresholds_Rates!$F$15,IF(OR($B$4="APM Level 7",$B$4="R&amp;T Level 7"),$C194*Thresholds_Rates!$F$15,IF(SUMIF(Grades!$A:$A,$B$4,Grades!$BO:$BO)=1,$C194*Thresholds_Rates!$F$15,""))))))))</f>
        <v/>
      </c>
      <c r="L194" s="25" t="str">
        <f t="shared" si="23"/>
        <v/>
      </c>
      <c r="M194" s="25" t="str">
        <f t="shared" si="26"/>
        <v/>
      </c>
      <c r="N194" s="25" t="str">
        <f t="shared" si="27"/>
        <v/>
      </c>
      <c r="O194" s="25" t="str">
        <f t="shared" si="24"/>
        <v/>
      </c>
      <c r="P194" s="25" t="str">
        <f t="shared" si="25"/>
        <v/>
      </c>
    </row>
    <row r="195" spans="5:16" x14ac:dyDescent="0.25">
      <c r="E195" s="25" t="str">
        <f>IF($B195="","",IF(AND($B$4="Salary Points 3 to 57",B195&lt;Thresholds_Rates!$C$16),"-",IF(SUMIF(Grades!$A:$A,$B$4,Grades!$BO:$BO)=0,"-",IF(AND($B$4="Salary Points 3 to 57",B195&gt;=Thresholds_Rates!$C$16),$C195*Thresholds_Rates!$F$15,IF(AND(OR($B$4="New Consultant Contract"),$B195&lt;&gt;""),$C195*Thresholds_Rates!$F$15,IF(AND(OR($B$4="Clinical Lecturer / Medical Research Fellow",$B$4="Clinical Consultant - Old Contract (GP)"),$B195&lt;&gt;""),$C195*Thresholds_Rates!$F$15,IF(OR($B$4="APM Level 7",$B$4="R&amp;T Level 7"),$C195*Thresholds_Rates!$F$15,IF(SUMIF(Grades!$A:$A,$B$4,Grades!$BO:$BO)=1,$C195*Thresholds_Rates!$F$15,""))))))))</f>
        <v/>
      </c>
      <c r="L195" s="25" t="str">
        <f t="shared" si="23"/>
        <v/>
      </c>
      <c r="M195" s="25" t="str">
        <f t="shared" si="26"/>
        <v/>
      </c>
      <c r="N195" s="25" t="str">
        <f t="shared" si="27"/>
        <v/>
      </c>
      <c r="O195" s="25" t="str">
        <f t="shared" si="24"/>
        <v/>
      </c>
      <c r="P195" s="25" t="str">
        <f t="shared" si="25"/>
        <v/>
      </c>
    </row>
    <row r="196" spans="5:16" x14ac:dyDescent="0.25">
      <c r="E196" s="25" t="str">
        <f>IF($B196="","",IF(AND($B$4="Salary Points 3 to 57",B196&lt;Thresholds_Rates!$C$16),"-",IF(SUMIF(Grades!$A:$A,$B$4,Grades!$BO:$BO)=0,"-",IF(AND($B$4="Salary Points 3 to 57",B196&gt;=Thresholds_Rates!$C$16),$C196*Thresholds_Rates!$F$15,IF(AND(OR($B$4="New Consultant Contract"),$B196&lt;&gt;""),$C196*Thresholds_Rates!$F$15,IF(AND(OR($B$4="Clinical Lecturer / Medical Research Fellow",$B$4="Clinical Consultant - Old Contract (GP)"),$B196&lt;&gt;""),$C196*Thresholds_Rates!$F$15,IF(OR($B$4="APM Level 7",$B$4="R&amp;T Level 7"),$C196*Thresholds_Rates!$F$15,IF(SUMIF(Grades!$A:$A,$B$4,Grades!$BO:$BO)=1,$C196*Thresholds_Rates!$F$15,""))))))))</f>
        <v/>
      </c>
      <c r="L196" s="25" t="str">
        <f t="shared" si="23"/>
        <v/>
      </c>
      <c r="M196" s="25" t="str">
        <f t="shared" si="26"/>
        <v/>
      </c>
      <c r="N196" s="25" t="str">
        <f t="shared" si="27"/>
        <v/>
      </c>
      <c r="O196" s="25" t="str">
        <f t="shared" si="24"/>
        <v/>
      </c>
      <c r="P196" s="25" t="str">
        <f t="shared" si="25"/>
        <v/>
      </c>
    </row>
    <row r="197" spans="5:16" x14ac:dyDescent="0.25">
      <c r="E197" s="25" t="str">
        <f>IF($B197="","",IF(AND($B$4="Salary Points 3 to 57",B197&lt;Thresholds_Rates!$C$16),"-",IF(SUMIF(Grades!$A:$A,$B$4,Grades!$BO:$BO)=0,"-",IF(AND($B$4="Salary Points 3 to 57",B197&gt;=Thresholds_Rates!$C$16),$C197*Thresholds_Rates!$F$15,IF(AND(OR($B$4="New Consultant Contract"),$B197&lt;&gt;""),$C197*Thresholds_Rates!$F$15,IF(AND(OR($B$4="Clinical Lecturer / Medical Research Fellow",$B$4="Clinical Consultant - Old Contract (GP)"),$B197&lt;&gt;""),$C197*Thresholds_Rates!$F$15,IF(OR($B$4="APM Level 7",$B$4="R&amp;T Level 7"),$C197*Thresholds_Rates!$F$15,IF(SUMIF(Grades!$A:$A,$B$4,Grades!$BO:$BO)=1,$C197*Thresholds_Rates!$F$15,""))))))))</f>
        <v/>
      </c>
      <c r="L197" s="25" t="str">
        <f t="shared" si="23"/>
        <v/>
      </c>
      <c r="M197" s="25" t="str">
        <f t="shared" si="26"/>
        <v/>
      </c>
      <c r="N197" s="25" t="str">
        <f t="shared" si="27"/>
        <v/>
      </c>
      <c r="O197" s="25" t="str">
        <f t="shared" si="24"/>
        <v/>
      </c>
      <c r="P197" s="25" t="str">
        <f t="shared" si="25"/>
        <v/>
      </c>
    </row>
    <row r="198" spans="5:16" x14ac:dyDescent="0.25">
      <c r="E198" s="25" t="str">
        <f>IF($B198="","",IF(AND($B$4="Salary Points 3 to 57",B198&lt;Thresholds_Rates!$C$16),"-",IF(SUMIF(Grades!$A:$A,$B$4,Grades!$BO:$BO)=0,"-",IF(AND($B$4="Salary Points 3 to 57",B198&gt;=Thresholds_Rates!$C$16),$C198*Thresholds_Rates!$F$15,IF(AND(OR($B$4="New Consultant Contract"),$B198&lt;&gt;""),$C198*Thresholds_Rates!$F$15,IF(AND(OR($B$4="Clinical Lecturer / Medical Research Fellow",$B$4="Clinical Consultant - Old Contract (GP)"),$B198&lt;&gt;""),$C198*Thresholds_Rates!$F$15,IF(OR($B$4="APM Level 7",$B$4="R&amp;T Level 7"),$C198*Thresholds_Rates!$F$15,IF(SUMIF(Grades!$A:$A,$B$4,Grades!$BO:$BO)=1,$C198*Thresholds_Rates!$F$15,""))))))))</f>
        <v/>
      </c>
      <c r="L198" s="25" t="str">
        <f t="shared" si="23"/>
        <v/>
      </c>
      <c r="M198" s="25" t="str">
        <f t="shared" si="26"/>
        <v/>
      </c>
      <c r="N198" s="25" t="str">
        <f t="shared" si="27"/>
        <v/>
      </c>
      <c r="O198" s="25" t="str">
        <f t="shared" si="24"/>
        <v/>
      </c>
      <c r="P198" s="25" t="str">
        <f t="shared" si="25"/>
        <v/>
      </c>
    </row>
    <row r="199" spans="5:16" x14ac:dyDescent="0.25">
      <c r="E199" s="25" t="str">
        <f>IF($B199="","",IF(AND($B$4="Salary Points 3 to 57",B199&lt;Thresholds_Rates!$C$16),"-",IF(SUMIF(Grades!$A:$A,$B$4,Grades!$BO:$BO)=0,"-",IF(AND($B$4="Salary Points 3 to 57",B199&gt;=Thresholds_Rates!$C$16),$C199*Thresholds_Rates!$F$15,IF(AND(OR($B$4="New Consultant Contract"),$B199&lt;&gt;""),$C199*Thresholds_Rates!$F$15,IF(AND(OR($B$4="Clinical Lecturer / Medical Research Fellow",$B$4="Clinical Consultant - Old Contract (GP)"),$B199&lt;&gt;""),$C199*Thresholds_Rates!$F$15,IF(OR($B$4="APM Level 7",$B$4="R&amp;T Level 7"),$C199*Thresholds_Rates!$F$15,IF(SUMIF(Grades!$A:$A,$B$4,Grades!$BO:$BO)=1,$C199*Thresholds_Rates!$F$15,""))))))))</f>
        <v/>
      </c>
      <c r="L199" s="25" t="str">
        <f t="shared" si="23"/>
        <v/>
      </c>
      <c r="M199" s="25" t="str">
        <f t="shared" si="26"/>
        <v/>
      </c>
      <c r="N199" s="25" t="str">
        <f t="shared" si="27"/>
        <v/>
      </c>
      <c r="O199" s="25" t="str">
        <f t="shared" si="24"/>
        <v/>
      </c>
      <c r="P199" s="25" t="str">
        <f t="shared" si="25"/>
        <v/>
      </c>
    </row>
    <row r="200" spans="5:16" x14ac:dyDescent="0.25">
      <c r="E200" s="25" t="str">
        <f>IF($B200="","",IF(AND($B$4="Salary Points 3 to 57",B200&lt;Thresholds_Rates!$C$16),"-",IF(SUMIF(Grades!$A:$A,$B$4,Grades!$BO:$BO)=0,"-",IF(AND($B$4="Salary Points 3 to 57",B200&gt;=Thresholds_Rates!$C$16),$C200*Thresholds_Rates!$F$15,IF(AND(OR($B$4="New Consultant Contract"),$B200&lt;&gt;""),$C200*Thresholds_Rates!$F$15,IF(AND(OR($B$4="Clinical Lecturer / Medical Research Fellow",$B$4="Clinical Consultant - Old Contract (GP)"),$B200&lt;&gt;""),$C200*Thresholds_Rates!$F$15,IF(OR($B$4="APM Level 7",$B$4="R&amp;T Level 7"),$C200*Thresholds_Rates!$F$15,IF(SUMIF(Grades!$A:$A,$B$4,Grades!$BO:$BO)=1,$C200*Thresholds_Rates!$F$15,""))))))))</f>
        <v/>
      </c>
      <c r="L200" s="25" t="str">
        <f t="shared" si="23"/>
        <v/>
      </c>
      <c r="M200" s="25" t="str">
        <f t="shared" si="26"/>
        <v/>
      </c>
      <c r="N200" s="25" t="str">
        <f t="shared" si="27"/>
        <v/>
      </c>
      <c r="O200" s="25" t="str">
        <f t="shared" si="24"/>
        <v/>
      </c>
      <c r="P200" s="25" t="str">
        <f t="shared" si="25"/>
        <v/>
      </c>
    </row>
    <row r="201" spans="5:16" x14ac:dyDescent="0.25">
      <c r="E201" s="25" t="str">
        <f>IF($B201="","",IF(AND($B$4="Salary Points 3 to 57",B201&lt;Thresholds_Rates!$C$16),"-",IF(SUMIF(Grades!$A:$A,$B$4,Grades!$BO:$BO)=0,"-",IF(AND($B$4="Salary Points 3 to 57",B201&gt;=Thresholds_Rates!$C$16),$C201*Thresholds_Rates!$F$15,IF(AND(OR($B$4="New Consultant Contract"),$B201&lt;&gt;""),$C201*Thresholds_Rates!$F$15,IF(AND(OR($B$4="Clinical Lecturer / Medical Research Fellow",$B$4="Clinical Consultant - Old Contract (GP)"),$B201&lt;&gt;""),$C201*Thresholds_Rates!$F$15,IF(OR($B$4="APM Level 7",$B$4="R&amp;T Level 7"),$C201*Thresholds_Rates!$F$15,IF(SUMIF(Grades!$A:$A,$B$4,Grades!$BO:$BO)=1,$C201*Thresholds_Rates!$F$15,""))))))))</f>
        <v/>
      </c>
      <c r="L201" s="25" t="str">
        <f t="shared" ref="L201:L264" si="28">IF(B201="","",IF(E201="-","-",$C201+$H201+E201))</f>
        <v/>
      </c>
      <c r="M201" s="25" t="str">
        <f t="shared" ref="M201:M264" si="29">IF(B201="","",IF(F201="-","-",$C201+$H201+F201))</f>
        <v/>
      </c>
      <c r="N201" s="25" t="str">
        <f t="shared" ref="N201:N264" si="30">IF(B201="","",IF(G201="-","-",$C201+$H201+G201))</f>
        <v/>
      </c>
      <c r="O201" s="25" t="str">
        <f t="shared" ref="O201:O264" si="31">IF(B201="","",IF(J201="-","-",$C201+$H201+J201))</f>
        <v/>
      </c>
      <c r="P201" s="25" t="str">
        <f t="shared" ref="P201:P264" si="32">IF(B201="","",C201+H201)</f>
        <v/>
      </c>
    </row>
    <row r="202" spans="5:16" x14ac:dyDescent="0.25">
      <c r="E202" s="25" t="str">
        <f>IF($B202="","",IF(AND($B$4="Salary Points 3 to 57",B202&lt;Thresholds_Rates!$C$16),"-",IF(SUMIF(Grades!$A:$A,$B$4,Grades!$BO:$BO)=0,"-",IF(AND($B$4="Salary Points 3 to 57",B202&gt;=Thresholds_Rates!$C$16),$C202*Thresholds_Rates!$F$15,IF(AND(OR($B$4="New Consultant Contract"),$B202&lt;&gt;""),$C202*Thresholds_Rates!$F$15,IF(AND(OR($B$4="Clinical Lecturer / Medical Research Fellow",$B$4="Clinical Consultant - Old Contract (GP)"),$B202&lt;&gt;""),$C202*Thresholds_Rates!$F$15,IF(OR($B$4="APM Level 7",$B$4="R&amp;T Level 7"),$C202*Thresholds_Rates!$F$15,IF(SUMIF(Grades!$A:$A,$B$4,Grades!$BO:$BO)=1,$C202*Thresholds_Rates!$F$15,""))))))))</f>
        <v/>
      </c>
      <c r="L202" s="25" t="str">
        <f t="shared" si="28"/>
        <v/>
      </c>
      <c r="M202" s="25" t="str">
        <f t="shared" si="29"/>
        <v/>
      </c>
      <c r="N202" s="25" t="str">
        <f t="shared" si="30"/>
        <v/>
      </c>
      <c r="O202" s="25" t="str">
        <f t="shared" si="31"/>
        <v/>
      </c>
      <c r="P202" s="25" t="str">
        <f t="shared" si="32"/>
        <v/>
      </c>
    </row>
    <row r="203" spans="5:16" x14ac:dyDescent="0.25">
      <c r="E203" s="25" t="str">
        <f>IF($B203="","",IF(AND($B$4="Salary Points 3 to 57",B203&lt;Thresholds_Rates!$C$16),"-",IF(SUMIF(Grades!$A:$A,$B$4,Grades!$BO:$BO)=0,"-",IF(AND($B$4="Salary Points 3 to 57",B203&gt;=Thresholds_Rates!$C$16),$C203*Thresholds_Rates!$F$15,IF(AND(OR($B$4="New Consultant Contract"),$B203&lt;&gt;""),$C203*Thresholds_Rates!$F$15,IF(AND(OR($B$4="Clinical Lecturer / Medical Research Fellow",$B$4="Clinical Consultant - Old Contract (GP)"),$B203&lt;&gt;""),$C203*Thresholds_Rates!$F$15,IF(OR($B$4="APM Level 7",$B$4="R&amp;T Level 7"),$C203*Thresholds_Rates!$F$15,IF(SUMIF(Grades!$A:$A,$B$4,Grades!$BO:$BO)=1,$C203*Thresholds_Rates!$F$15,""))))))))</f>
        <v/>
      </c>
      <c r="L203" s="25" t="str">
        <f t="shared" si="28"/>
        <v/>
      </c>
      <c r="M203" s="25" t="str">
        <f t="shared" si="29"/>
        <v/>
      </c>
      <c r="N203" s="25" t="str">
        <f t="shared" si="30"/>
        <v/>
      </c>
      <c r="O203" s="25" t="str">
        <f t="shared" si="31"/>
        <v/>
      </c>
      <c r="P203" s="25" t="str">
        <f t="shared" si="32"/>
        <v/>
      </c>
    </row>
    <row r="204" spans="5:16" x14ac:dyDescent="0.25">
      <c r="E204" s="25" t="str">
        <f>IF($B204="","",IF(AND($B$4="Salary Points 3 to 57",B204&lt;Thresholds_Rates!$C$16),"-",IF(SUMIF(Grades!$A:$A,$B$4,Grades!$BO:$BO)=0,"-",IF(AND($B$4="Salary Points 3 to 57",B204&gt;=Thresholds_Rates!$C$16),$C204*Thresholds_Rates!$F$15,IF(AND(OR($B$4="New Consultant Contract"),$B204&lt;&gt;""),$C204*Thresholds_Rates!$F$15,IF(AND(OR($B$4="Clinical Lecturer / Medical Research Fellow",$B$4="Clinical Consultant - Old Contract (GP)"),$B204&lt;&gt;""),$C204*Thresholds_Rates!$F$15,IF(OR($B$4="APM Level 7",$B$4="R&amp;T Level 7"),$C204*Thresholds_Rates!$F$15,IF(SUMIF(Grades!$A:$A,$B$4,Grades!$BO:$BO)=1,$C204*Thresholds_Rates!$F$15,""))))))))</f>
        <v/>
      </c>
      <c r="L204" s="25" t="str">
        <f t="shared" si="28"/>
        <v/>
      </c>
      <c r="M204" s="25" t="str">
        <f t="shared" si="29"/>
        <v/>
      </c>
      <c r="N204" s="25" t="str">
        <f t="shared" si="30"/>
        <v/>
      </c>
      <c r="O204" s="25" t="str">
        <f t="shared" si="31"/>
        <v/>
      </c>
      <c r="P204" s="25" t="str">
        <f t="shared" si="32"/>
        <v/>
      </c>
    </row>
    <row r="205" spans="5:16" x14ac:dyDescent="0.25">
      <c r="E205" s="25" t="str">
        <f>IF($B205="","",IF(AND($B$4="Salary Points 3 to 57",B205&lt;Thresholds_Rates!$C$16),"-",IF(SUMIF(Grades!$A:$A,$B$4,Grades!$BO:$BO)=0,"-",IF(AND($B$4="Salary Points 3 to 57",B205&gt;=Thresholds_Rates!$C$16),$C205*Thresholds_Rates!$F$15,IF(AND(OR($B$4="New Consultant Contract"),$B205&lt;&gt;""),$C205*Thresholds_Rates!$F$15,IF(AND(OR($B$4="Clinical Lecturer / Medical Research Fellow",$B$4="Clinical Consultant - Old Contract (GP)"),$B205&lt;&gt;""),$C205*Thresholds_Rates!$F$15,IF(OR($B$4="APM Level 7",$B$4="R&amp;T Level 7"),$C205*Thresholds_Rates!$F$15,IF(SUMIF(Grades!$A:$A,$B$4,Grades!$BO:$BO)=1,$C205*Thresholds_Rates!$F$15,""))))))))</f>
        <v/>
      </c>
      <c r="L205" s="25" t="str">
        <f t="shared" si="28"/>
        <v/>
      </c>
      <c r="M205" s="25" t="str">
        <f t="shared" si="29"/>
        <v/>
      </c>
      <c r="N205" s="25" t="str">
        <f t="shared" si="30"/>
        <v/>
      </c>
      <c r="O205" s="25" t="str">
        <f t="shared" si="31"/>
        <v/>
      </c>
      <c r="P205" s="25" t="str">
        <f t="shared" si="32"/>
        <v/>
      </c>
    </row>
    <row r="206" spans="5:16" x14ac:dyDescent="0.25">
      <c r="E206" s="25" t="str">
        <f>IF($B206="","",IF(AND($B$4="Salary Points 3 to 57",B206&lt;Thresholds_Rates!$C$16),"-",IF(SUMIF(Grades!$A:$A,$B$4,Grades!$BO:$BO)=0,"-",IF(AND($B$4="Salary Points 3 to 57",B206&gt;=Thresholds_Rates!$C$16),$C206*Thresholds_Rates!$F$15,IF(AND(OR($B$4="New Consultant Contract"),$B206&lt;&gt;""),$C206*Thresholds_Rates!$F$15,IF(AND(OR($B$4="Clinical Lecturer / Medical Research Fellow",$B$4="Clinical Consultant - Old Contract (GP)"),$B206&lt;&gt;""),$C206*Thresholds_Rates!$F$15,IF(OR($B$4="APM Level 7",$B$4="R&amp;T Level 7"),$C206*Thresholds_Rates!$F$15,IF(SUMIF(Grades!$A:$A,$B$4,Grades!$BO:$BO)=1,$C206*Thresholds_Rates!$F$15,""))))))))</f>
        <v/>
      </c>
      <c r="L206" s="25" t="str">
        <f t="shared" si="28"/>
        <v/>
      </c>
      <c r="M206" s="25" t="str">
        <f t="shared" si="29"/>
        <v/>
      </c>
      <c r="N206" s="25" t="str">
        <f t="shared" si="30"/>
        <v/>
      </c>
      <c r="O206" s="25" t="str">
        <f t="shared" si="31"/>
        <v/>
      </c>
      <c r="P206" s="25" t="str">
        <f t="shared" si="32"/>
        <v/>
      </c>
    </row>
    <row r="207" spans="5:16" x14ac:dyDescent="0.25">
      <c r="E207" s="25" t="str">
        <f>IF($B207="","",IF(AND($B$4="Salary Points 3 to 57",B207&lt;Thresholds_Rates!$C$16),"-",IF(SUMIF(Grades!$A:$A,$B$4,Grades!$BO:$BO)=0,"-",IF(AND($B$4="Salary Points 3 to 57",B207&gt;=Thresholds_Rates!$C$16),$C207*Thresholds_Rates!$F$15,IF(AND(OR($B$4="New Consultant Contract"),$B207&lt;&gt;""),$C207*Thresholds_Rates!$F$15,IF(AND(OR($B$4="Clinical Lecturer / Medical Research Fellow",$B$4="Clinical Consultant - Old Contract (GP)"),$B207&lt;&gt;""),$C207*Thresholds_Rates!$F$15,IF(OR($B$4="APM Level 7",$B$4="R&amp;T Level 7"),$C207*Thresholds_Rates!$F$15,IF(SUMIF(Grades!$A:$A,$B$4,Grades!$BO:$BO)=1,$C207*Thresholds_Rates!$F$15,""))))))))</f>
        <v/>
      </c>
      <c r="L207" s="25" t="str">
        <f t="shared" si="28"/>
        <v/>
      </c>
      <c r="M207" s="25" t="str">
        <f t="shared" si="29"/>
        <v/>
      </c>
      <c r="N207" s="25" t="str">
        <f t="shared" si="30"/>
        <v/>
      </c>
      <c r="O207" s="25" t="str">
        <f t="shared" si="31"/>
        <v/>
      </c>
      <c r="P207" s="25" t="str">
        <f t="shared" si="32"/>
        <v/>
      </c>
    </row>
    <row r="208" spans="5:16" x14ac:dyDescent="0.25">
      <c r="E208" s="25" t="str">
        <f>IF($B208="","",IF(AND($B$4="Salary Points 3 to 57",B208&lt;Thresholds_Rates!$C$16),"-",IF(SUMIF(Grades!$A:$A,$B$4,Grades!$BO:$BO)=0,"-",IF(AND($B$4="Salary Points 3 to 57",B208&gt;=Thresholds_Rates!$C$16),$C208*Thresholds_Rates!$F$15,IF(AND(OR($B$4="New Consultant Contract"),$B208&lt;&gt;""),$C208*Thresholds_Rates!$F$15,IF(AND(OR($B$4="Clinical Lecturer / Medical Research Fellow",$B$4="Clinical Consultant - Old Contract (GP)"),$B208&lt;&gt;""),$C208*Thresholds_Rates!$F$15,IF(OR($B$4="APM Level 7",$B$4="R&amp;T Level 7"),$C208*Thresholds_Rates!$F$15,IF(SUMIF(Grades!$A:$A,$B$4,Grades!$BO:$BO)=1,$C208*Thresholds_Rates!$F$15,""))))))))</f>
        <v/>
      </c>
      <c r="L208" s="25" t="str">
        <f t="shared" si="28"/>
        <v/>
      </c>
      <c r="M208" s="25" t="str">
        <f t="shared" si="29"/>
        <v/>
      </c>
      <c r="N208" s="25" t="str">
        <f t="shared" si="30"/>
        <v/>
      </c>
      <c r="O208" s="25" t="str">
        <f t="shared" si="31"/>
        <v/>
      </c>
      <c r="P208" s="25" t="str">
        <f t="shared" si="32"/>
        <v/>
      </c>
    </row>
    <row r="209" spans="5:16" x14ac:dyDescent="0.25">
      <c r="E209" s="25" t="str">
        <f>IF($B209="","",IF(AND($B$4="Salary Points 3 to 57",B209&lt;Thresholds_Rates!$C$16),"-",IF(SUMIF(Grades!$A:$A,$B$4,Grades!$BO:$BO)=0,"-",IF(AND($B$4="Salary Points 3 to 57",B209&gt;=Thresholds_Rates!$C$16),$C209*Thresholds_Rates!$F$15,IF(AND(OR($B$4="New Consultant Contract"),$B209&lt;&gt;""),$C209*Thresholds_Rates!$F$15,IF(AND(OR($B$4="Clinical Lecturer / Medical Research Fellow",$B$4="Clinical Consultant - Old Contract (GP)"),$B209&lt;&gt;""),$C209*Thresholds_Rates!$F$15,IF(OR($B$4="APM Level 7",$B$4="R&amp;T Level 7"),$C209*Thresholds_Rates!$F$15,IF(SUMIF(Grades!$A:$A,$B$4,Grades!$BO:$BO)=1,$C209*Thresholds_Rates!$F$15,""))))))))</f>
        <v/>
      </c>
      <c r="L209" s="25" t="str">
        <f t="shared" si="28"/>
        <v/>
      </c>
      <c r="M209" s="25" t="str">
        <f t="shared" si="29"/>
        <v/>
      </c>
      <c r="N209" s="25" t="str">
        <f t="shared" si="30"/>
        <v/>
      </c>
      <c r="O209" s="25" t="str">
        <f t="shared" si="31"/>
        <v/>
      </c>
      <c r="P209" s="25" t="str">
        <f t="shared" si="32"/>
        <v/>
      </c>
    </row>
    <row r="210" spans="5:16" x14ac:dyDescent="0.25">
      <c r="E210" s="25" t="str">
        <f>IF($B210="","",IF(AND($B$4="Salary Points 3 to 57",B210&lt;Thresholds_Rates!$C$16),"-",IF(SUMIF(Grades!$A:$A,$B$4,Grades!$BO:$BO)=0,"-",IF(AND($B$4="Salary Points 3 to 57",B210&gt;=Thresholds_Rates!$C$16),$C210*Thresholds_Rates!$F$15,IF(AND(OR($B$4="New Consultant Contract"),$B210&lt;&gt;""),$C210*Thresholds_Rates!$F$15,IF(AND(OR($B$4="Clinical Lecturer / Medical Research Fellow",$B$4="Clinical Consultant - Old Contract (GP)"),$B210&lt;&gt;""),$C210*Thresholds_Rates!$F$15,IF(OR($B$4="APM Level 7",$B$4="R&amp;T Level 7"),$C210*Thresholds_Rates!$F$15,IF(SUMIF(Grades!$A:$A,$B$4,Grades!$BO:$BO)=1,$C210*Thresholds_Rates!$F$15,""))))))))</f>
        <v/>
      </c>
      <c r="L210" s="25" t="str">
        <f t="shared" si="28"/>
        <v/>
      </c>
      <c r="M210" s="25" t="str">
        <f t="shared" si="29"/>
        <v/>
      </c>
      <c r="N210" s="25" t="str">
        <f t="shared" si="30"/>
        <v/>
      </c>
      <c r="O210" s="25" t="str">
        <f t="shared" si="31"/>
        <v/>
      </c>
      <c r="P210" s="25" t="str">
        <f t="shared" si="32"/>
        <v/>
      </c>
    </row>
    <row r="211" spans="5:16" x14ac:dyDescent="0.25">
      <c r="E211" s="25" t="str">
        <f>IF($B211="","",IF(AND($B$4="Salary Points 3 to 57",B211&lt;Thresholds_Rates!$C$16),"-",IF(SUMIF(Grades!$A:$A,$B$4,Grades!$BO:$BO)=0,"-",IF(AND($B$4="Salary Points 3 to 57",B211&gt;=Thresholds_Rates!$C$16),$C211*Thresholds_Rates!$F$15,IF(AND(OR($B$4="New Consultant Contract"),$B211&lt;&gt;""),$C211*Thresholds_Rates!$F$15,IF(AND(OR($B$4="Clinical Lecturer / Medical Research Fellow",$B$4="Clinical Consultant - Old Contract (GP)"),$B211&lt;&gt;""),$C211*Thresholds_Rates!$F$15,IF(OR($B$4="APM Level 7",$B$4="R&amp;T Level 7"),$C211*Thresholds_Rates!$F$15,IF(SUMIF(Grades!$A:$A,$B$4,Grades!$BO:$BO)=1,$C211*Thresholds_Rates!$F$15,""))))))))</f>
        <v/>
      </c>
      <c r="L211" s="25" t="str">
        <f t="shared" si="28"/>
        <v/>
      </c>
      <c r="M211" s="25" t="str">
        <f t="shared" si="29"/>
        <v/>
      </c>
      <c r="N211" s="25" t="str">
        <f t="shared" si="30"/>
        <v/>
      </c>
      <c r="O211" s="25" t="str">
        <f t="shared" si="31"/>
        <v/>
      </c>
      <c r="P211" s="25" t="str">
        <f t="shared" si="32"/>
        <v/>
      </c>
    </row>
    <row r="212" spans="5:16" x14ac:dyDescent="0.25">
      <c r="E212" s="25" t="str">
        <f>IF($B212="","",IF(AND($B$4="Salary Points 3 to 57",B212&lt;Thresholds_Rates!$C$16),"-",IF(SUMIF(Grades!$A:$A,$B$4,Grades!$BO:$BO)=0,"-",IF(AND($B$4="Salary Points 3 to 57",B212&gt;=Thresholds_Rates!$C$16),$C212*Thresholds_Rates!$F$15,IF(AND(OR($B$4="New Consultant Contract"),$B212&lt;&gt;""),$C212*Thresholds_Rates!$F$15,IF(AND(OR($B$4="Clinical Lecturer / Medical Research Fellow",$B$4="Clinical Consultant - Old Contract (GP)"),$B212&lt;&gt;""),$C212*Thresholds_Rates!$F$15,IF(OR($B$4="APM Level 7",$B$4="R&amp;T Level 7"),$C212*Thresholds_Rates!$F$15,IF(SUMIF(Grades!$A:$A,$B$4,Grades!$BO:$BO)=1,$C212*Thresholds_Rates!$F$15,""))))))))</f>
        <v/>
      </c>
      <c r="L212" s="25" t="str">
        <f t="shared" si="28"/>
        <v/>
      </c>
      <c r="M212" s="25" t="str">
        <f t="shared" si="29"/>
        <v/>
      </c>
      <c r="N212" s="25" t="str">
        <f t="shared" si="30"/>
        <v/>
      </c>
      <c r="O212" s="25" t="str">
        <f t="shared" si="31"/>
        <v/>
      </c>
      <c r="P212" s="25" t="str">
        <f t="shared" si="32"/>
        <v/>
      </c>
    </row>
    <row r="213" spans="5:16" x14ac:dyDescent="0.25">
      <c r="E213" s="25" t="str">
        <f>IF($B213="","",IF(AND($B$4="Salary Points 3 to 57",B213&lt;Thresholds_Rates!$C$16),"-",IF(SUMIF(Grades!$A:$A,$B$4,Grades!$BO:$BO)=0,"-",IF(AND($B$4="Salary Points 3 to 57",B213&gt;=Thresholds_Rates!$C$16),$C213*Thresholds_Rates!$F$15,IF(AND(OR($B$4="New Consultant Contract"),$B213&lt;&gt;""),$C213*Thresholds_Rates!$F$15,IF(AND(OR($B$4="Clinical Lecturer / Medical Research Fellow",$B$4="Clinical Consultant - Old Contract (GP)"),$B213&lt;&gt;""),$C213*Thresholds_Rates!$F$15,IF(OR($B$4="APM Level 7",$B$4="R&amp;T Level 7"),$C213*Thresholds_Rates!$F$15,IF(SUMIF(Grades!$A:$A,$B$4,Grades!$BO:$BO)=1,$C213*Thresholds_Rates!$F$15,""))))))))</f>
        <v/>
      </c>
      <c r="L213" s="25" t="str">
        <f t="shared" si="28"/>
        <v/>
      </c>
      <c r="M213" s="25" t="str">
        <f t="shared" si="29"/>
        <v/>
      </c>
      <c r="N213" s="25" t="str">
        <f t="shared" si="30"/>
        <v/>
      </c>
      <c r="O213" s="25" t="str">
        <f t="shared" si="31"/>
        <v/>
      </c>
      <c r="P213" s="25" t="str">
        <f t="shared" si="32"/>
        <v/>
      </c>
    </row>
    <row r="214" spans="5:16" x14ac:dyDescent="0.25">
      <c r="E214" s="25" t="str">
        <f>IF($B214="","",IF(AND($B$4="Salary Points 3 to 57",B214&lt;Thresholds_Rates!$C$16),"-",IF(SUMIF(Grades!$A:$A,$B$4,Grades!$BO:$BO)=0,"-",IF(AND($B$4="Salary Points 3 to 57",B214&gt;=Thresholds_Rates!$C$16),$C214*Thresholds_Rates!$F$15,IF(AND(OR($B$4="New Consultant Contract"),$B214&lt;&gt;""),$C214*Thresholds_Rates!$F$15,IF(AND(OR($B$4="Clinical Lecturer / Medical Research Fellow",$B$4="Clinical Consultant - Old Contract (GP)"),$B214&lt;&gt;""),$C214*Thresholds_Rates!$F$15,IF(OR($B$4="APM Level 7",$B$4="R&amp;T Level 7"),$C214*Thresholds_Rates!$F$15,IF(SUMIF(Grades!$A:$A,$B$4,Grades!$BO:$BO)=1,$C214*Thresholds_Rates!$F$15,""))))))))</f>
        <v/>
      </c>
      <c r="L214" s="25" t="str">
        <f t="shared" si="28"/>
        <v/>
      </c>
      <c r="M214" s="25" t="str">
        <f t="shared" si="29"/>
        <v/>
      </c>
      <c r="N214" s="25" t="str">
        <f t="shared" si="30"/>
        <v/>
      </c>
      <c r="O214" s="25" t="str">
        <f t="shared" si="31"/>
        <v/>
      </c>
      <c r="P214" s="25" t="str">
        <f t="shared" si="32"/>
        <v/>
      </c>
    </row>
    <row r="215" spans="5:16" x14ac:dyDescent="0.25">
      <c r="E215" s="25" t="str">
        <f>IF($B215="","",IF(AND($B$4="Salary Points 3 to 57",B215&lt;Thresholds_Rates!$C$16),"-",IF(SUMIF(Grades!$A:$A,$B$4,Grades!$BO:$BO)=0,"-",IF(AND($B$4="Salary Points 3 to 57",B215&gt;=Thresholds_Rates!$C$16),$C215*Thresholds_Rates!$F$15,IF(AND(OR($B$4="New Consultant Contract"),$B215&lt;&gt;""),$C215*Thresholds_Rates!$F$15,IF(AND(OR($B$4="Clinical Lecturer / Medical Research Fellow",$B$4="Clinical Consultant - Old Contract (GP)"),$B215&lt;&gt;""),$C215*Thresholds_Rates!$F$15,IF(OR($B$4="APM Level 7",$B$4="R&amp;T Level 7"),$C215*Thresholds_Rates!$F$15,IF(SUMIF(Grades!$A:$A,$B$4,Grades!$BO:$BO)=1,$C215*Thresholds_Rates!$F$15,""))))))))</f>
        <v/>
      </c>
      <c r="L215" s="25" t="str">
        <f t="shared" si="28"/>
        <v/>
      </c>
      <c r="M215" s="25" t="str">
        <f t="shared" si="29"/>
        <v/>
      </c>
      <c r="N215" s="25" t="str">
        <f t="shared" si="30"/>
        <v/>
      </c>
      <c r="O215" s="25" t="str">
        <f t="shared" si="31"/>
        <v/>
      </c>
      <c r="P215" s="25" t="str">
        <f t="shared" si="32"/>
        <v/>
      </c>
    </row>
    <row r="216" spans="5:16" x14ac:dyDescent="0.25">
      <c r="E216" s="25" t="str">
        <f>IF($B216="","",IF(AND($B$4="Salary Points 3 to 57",B216&lt;Thresholds_Rates!$C$16),"-",IF(SUMIF(Grades!$A:$A,$B$4,Grades!$BO:$BO)=0,"-",IF(AND($B$4="Salary Points 3 to 57",B216&gt;=Thresholds_Rates!$C$16),$C216*Thresholds_Rates!$F$15,IF(AND(OR($B$4="New Consultant Contract"),$B216&lt;&gt;""),$C216*Thresholds_Rates!$F$15,IF(AND(OR($B$4="Clinical Lecturer / Medical Research Fellow",$B$4="Clinical Consultant - Old Contract (GP)"),$B216&lt;&gt;""),$C216*Thresholds_Rates!$F$15,IF(OR($B$4="APM Level 7",$B$4="R&amp;T Level 7"),$C216*Thresholds_Rates!$F$15,IF(SUMIF(Grades!$A:$A,$B$4,Grades!$BO:$BO)=1,$C216*Thresholds_Rates!$F$15,""))))))))</f>
        <v/>
      </c>
      <c r="L216" s="25" t="str">
        <f t="shared" si="28"/>
        <v/>
      </c>
      <c r="M216" s="25" t="str">
        <f t="shared" si="29"/>
        <v/>
      </c>
      <c r="N216" s="25" t="str">
        <f t="shared" si="30"/>
        <v/>
      </c>
      <c r="O216" s="25" t="str">
        <f t="shared" si="31"/>
        <v/>
      </c>
      <c r="P216" s="25" t="str">
        <f t="shared" si="32"/>
        <v/>
      </c>
    </row>
    <row r="217" spans="5:16" x14ac:dyDescent="0.25">
      <c r="E217" s="25" t="str">
        <f>IF($B217="","",IF(AND($B$4="Salary Points 3 to 57",B217&lt;Thresholds_Rates!$C$16),"-",IF(SUMIF(Grades!$A:$A,$B$4,Grades!$BO:$BO)=0,"-",IF(AND($B$4="Salary Points 3 to 57",B217&gt;=Thresholds_Rates!$C$16),$C217*Thresholds_Rates!$F$15,IF(AND(OR($B$4="New Consultant Contract"),$B217&lt;&gt;""),$C217*Thresholds_Rates!$F$15,IF(AND(OR($B$4="Clinical Lecturer / Medical Research Fellow",$B$4="Clinical Consultant - Old Contract (GP)"),$B217&lt;&gt;""),$C217*Thresholds_Rates!$F$15,IF(OR($B$4="APM Level 7",$B$4="R&amp;T Level 7"),$C217*Thresholds_Rates!$F$15,IF(SUMIF(Grades!$A:$A,$B$4,Grades!$BO:$BO)=1,$C217*Thresholds_Rates!$F$15,""))))))))</f>
        <v/>
      </c>
      <c r="L217" s="25" t="str">
        <f t="shared" si="28"/>
        <v/>
      </c>
      <c r="M217" s="25" t="str">
        <f t="shared" si="29"/>
        <v/>
      </c>
      <c r="N217" s="25" t="str">
        <f t="shared" si="30"/>
        <v/>
      </c>
      <c r="O217" s="25" t="str">
        <f t="shared" si="31"/>
        <v/>
      </c>
      <c r="P217" s="25" t="str">
        <f t="shared" si="32"/>
        <v/>
      </c>
    </row>
    <row r="218" spans="5:16" x14ac:dyDescent="0.25">
      <c r="E218" s="25" t="str">
        <f>IF($B218="","",IF(AND($B$4="Salary Points 3 to 57",B218&lt;Thresholds_Rates!$C$16),"-",IF(SUMIF(Grades!$A:$A,$B$4,Grades!$BO:$BO)=0,"-",IF(AND($B$4="Salary Points 3 to 57",B218&gt;=Thresholds_Rates!$C$16),$C218*Thresholds_Rates!$F$15,IF(AND(OR($B$4="New Consultant Contract"),$B218&lt;&gt;""),$C218*Thresholds_Rates!$F$15,IF(AND(OR($B$4="Clinical Lecturer / Medical Research Fellow",$B$4="Clinical Consultant - Old Contract (GP)"),$B218&lt;&gt;""),$C218*Thresholds_Rates!$F$15,IF(OR($B$4="APM Level 7",$B$4="R&amp;T Level 7"),$C218*Thresholds_Rates!$F$15,IF(SUMIF(Grades!$A:$A,$B$4,Grades!$BO:$BO)=1,$C218*Thresholds_Rates!$F$15,""))))))))</f>
        <v/>
      </c>
      <c r="L218" s="25" t="str">
        <f t="shared" si="28"/>
        <v/>
      </c>
      <c r="M218" s="25" t="str">
        <f t="shared" si="29"/>
        <v/>
      </c>
      <c r="N218" s="25" t="str">
        <f t="shared" si="30"/>
        <v/>
      </c>
      <c r="O218" s="25" t="str">
        <f t="shared" si="31"/>
        <v/>
      </c>
      <c r="P218" s="25" t="str">
        <f t="shared" si="32"/>
        <v/>
      </c>
    </row>
    <row r="219" spans="5:16" x14ac:dyDescent="0.25">
      <c r="E219" s="25" t="str">
        <f>IF($B219="","",IF(AND($B$4="Salary Points 3 to 57",B219&lt;Thresholds_Rates!$C$16),"-",IF(SUMIF(Grades!$A:$A,$B$4,Grades!$BO:$BO)=0,"-",IF(AND($B$4="Salary Points 3 to 57",B219&gt;=Thresholds_Rates!$C$16),$C219*Thresholds_Rates!$F$15,IF(AND(OR($B$4="New Consultant Contract"),$B219&lt;&gt;""),$C219*Thresholds_Rates!$F$15,IF(AND(OR($B$4="Clinical Lecturer / Medical Research Fellow",$B$4="Clinical Consultant - Old Contract (GP)"),$B219&lt;&gt;""),$C219*Thresholds_Rates!$F$15,IF(OR($B$4="APM Level 7",$B$4="R&amp;T Level 7"),$C219*Thresholds_Rates!$F$15,IF(SUMIF(Grades!$A:$A,$B$4,Grades!$BO:$BO)=1,$C219*Thresholds_Rates!$F$15,""))))))))</f>
        <v/>
      </c>
      <c r="L219" s="25" t="str">
        <f t="shared" si="28"/>
        <v/>
      </c>
      <c r="M219" s="25" t="str">
        <f t="shared" si="29"/>
        <v/>
      </c>
      <c r="N219" s="25" t="str">
        <f t="shared" si="30"/>
        <v/>
      </c>
      <c r="O219" s="25" t="str">
        <f t="shared" si="31"/>
        <v/>
      </c>
      <c r="P219" s="25" t="str">
        <f t="shared" si="32"/>
        <v/>
      </c>
    </row>
    <row r="220" spans="5:16" x14ac:dyDescent="0.25">
      <c r="E220" s="25" t="str">
        <f>IF($B220="","",IF(AND($B$4="Salary Points 3 to 57",B220&lt;Thresholds_Rates!$C$16),"-",IF(SUMIF(Grades!$A:$A,$B$4,Grades!$BO:$BO)=0,"-",IF(AND($B$4="Salary Points 3 to 57",B220&gt;=Thresholds_Rates!$C$16),$C220*Thresholds_Rates!$F$15,IF(AND(OR($B$4="New Consultant Contract"),$B220&lt;&gt;""),$C220*Thresholds_Rates!$F$15,IF(AND(OR($B$4="Clinical Lecturer / Medical Research Fellow",$B$4="Clinical Consultant - Old Contract (GP)"),$B220&lt;&gt;""),$C220*Thresholds_Rates!$F$15,IF(OR($B$4="APM Level 7",$B$4="R&amp;T Level 7"),$C220*Thresholds_Rates!$F$15,IF(SUMIF(Grades!$A:$A,$B$4,Grades!$BO:$BO)=1,$C220*Thresholds_Rates!$F$15,""))))))))</f>
        <v/>
      </c>
      <c r="L220" s="25" t="str">
        <f t="shared" si="28"/>
        <v/>
      </c>
      <c r="M220" s="25" t="str">
        <f t="shared" si="29"/>
        <v/>
      </c>
      <c r="N220" s="25" t="str">
        <f t="shared" si="30"/>
        <v/>
      </c>
      <c r="O220" s="25" t="str">
        <f t="shared" si="31"/>
        <v/>
      </c>
      <c r="P220" s="25" t="str">
        <f t="shared" si="32"/>
        <v/>
      </c>
    </row>
    <row r="221" spans="5:16" x14ac:dyDescent="0.25">
      <c r="E221" s="25" t="str">
        <f>IF($B221="","",IF(AND($B$4="Salary Points 3 to 57",B221&lt;Thresholds_Rates!$C$16),"-",IF(SUMIF(Grades!$A:$A,$B$4,Grades!$BO:$BO)=0,"-",IF(AND($B$4="Salary Points 3 to 57",B221&gt;=Thresholds_Rates!$C$16),$C221*Thresholds_Rates!$F$15,IF(AND(OR($B$4="New Consultant Contract"),$B221&lt;&gt;""),$C221*Thresholds_Rates!$F$15,IF(AND(OR($B$4="Clinical Lecturer / Medical Research Fellow",$B$4="Clinical Consultant - Old Contract (GP)"),$B221&lt;&gt;""),$C221*Thresholds_Rates!$F$15,IF(OR($B$4="APM Level 7",$B$4="R&amp;T Level 7"),$C221*Thresholds_Rates!$F$15,IF(SUMIF(Grades!$A:$A,$B$4,Grades!$BO:$BO)=1,$C221*Thresholds_Rates!$F$15,""))))))))</f>
        <v/>
      </c>
      <c r="L221" s="25" t="str">
        <f t="shared" si="28"/>
        <v/>
      </c>
      <c r="M221" s="25" t="str">
        <f t="shared" si="29"/>
        <v/>
      </c>
      <c r="N221" s="25" t="str">
        <f t="shared" si="30"/>
        <v/>
      </c>
      <c r="O221" s="25" t="str">
        <f t="shared" si="31"/>
        <v/>
      </c>
      <c r="P221" s="25" t="str">
        <f t="shared" si="32"/>
        <v/>
      </c>
    </row>
    <row r="222" spans="5:16" x14ac:dyDescent="0.25">
      <c r="E222" s="25" t="str">
        <f>IF($B222="","",IF(AND($B$4="Salary Points 3 to 57",B222&lt;Thresholds_Rates!$C$16),"-",IF(SUMIF(Grades!$A:$A,$B$4,Grades!$BO:$BO)=0,"-",IF(AND($B$4="Salary Points 3 to 57",B222&gt;=Thresholds_Rates!$C$16),$C222*Thresholds_Rates!$F$15,IF(AND(OR($B$4="New Consultant Contract"),$B222&lt;&gt;""),$C222*Thresholds_Rates!$F$15,IF(AND(OR($B$4="Clinical Lecturer / Medical Research Fellow",$B$4="Clinical Consultant - Old Contract (GP)"),$B222&lt;&gt;""),$C222*Thresholds_Rates!$F$15,IF(OR($B$4="APM Level 7",$B$4="R&amp;T Level 7"),$C222*Thresholds_Rates!$F$15,IF(SUMIF(Grades!$A:$A,$B$4,Grades!$BO:$BO)=1,$C222*Thresholds_Rates!$F$15,""))))))))</f>
        <v/>
      </c>
      <c r="L222" s="25" t="str">
        <f t="shared" si="28"/>
        <v/>
      </c>
      <c r="M222" s="25" t="str">
        <f t="shared" si="29"/>
        <v/>
      </c>
      <c r="N222" s="25" t="str">
        <f t="shared" si="30"/>
        <v/>
      </c>
      <c r="O222" s="25" t="str">
        <f t="shared" si="31"/>
        <v/>
      </c>
      <c r="P222" s="25" t="str">
        <f t="shared" si="32"/>
        <v/>
      </c>
    </row>
    <row r="223" spans="5:16" x14ac:dyDescent="0.25">
      <c r="E223" s="25" t="str">
        <f>IF($B223="","",IF(AND($B$4="Salary Points 3 to 57",B223&lt;Thresholds_Rates!$C$16),"-",IF(SUMIF(Grades!$A:$A,$B$4,Grades!$BO:$BO)=0,"-",IF(AND($B$4="Salary Points 3 to 57",B223&gt;=Thresholds_Rates!$C$16),$C223*Thresholds_Rates!$F$15,IF(AND(OR($B$4="New Consultant Contract"),$B223&lt;&gt;""),$C223*Thresholds_Rates!$F$15,IF(AND(OR($B$4="Clinical Lecturer / Medical Research Fellow",$B$4="Clinical Consultant - Old Contract (GP)"),$B223&lt;&gt;""),$C223*Thresholds_Rates!$F$15,IF(OR($B$4="APM Level 7",$B$4="R&amp;T Level 7"),$C223*Thresholds_Rates!$F$15,IF(SUMIF(Grades!$A:$A,$B$4,Grades!$BO:$BO)=1,$C223*Thresholds_Rates!$F$15,""))))))))</f>
        <v/>
      </c>
      <c r="L223" s="25" t="str">
        <f t="shared" si="28"/>
        <v/>
      </c>
      <c r="M223" s="25" t="str">
        <f t="shared" si="29"/>
        <v/>
      </c>
      <c r="N223" s="25" t="str">
        <f t="shared" si="30"/>
        <v/>
      </c>
      <c r="O223" s="25" t="str">
        <f t="shared" si="31"/>
        <v/>
      </c>
      <c r="P223" s="25" t="str">
        <f t="shared" si="32"/>
        <v/>
      </c>
    </row>
    <row r="224" spans="5:16" x14ac:dyDescent="0.25">
      <c r="E224" s="25" t="str">
        <f>IF($B224="","",IF(AND($B$4="Salary Points 3 to 57",B224&lt;Thresholds_Rates!$C$16),"-",IF(SUMIF(Grades!$A:$A,$B$4,Grades!$BO:$BO)=0,"-",IF(AND($B$4="Salary Points 3 to 57",B224&gt;=Thresholds_Rates!$C$16),$C224*Thresholds_Rates!$F$15,IF(AND(OR($B$4="New Consultant Contract"),$B224&lt;&gt;""),$C224*Thresholds_Rates!$F$15,IF(AND(OR($B$4="Clinical Lecturer / Medical Research Fellow",$B$4="Clinical Consultant - Old Contract (GP)"),$B224&lt;&gt;""),$C224*Thresholds_Rates!$F$15,IF(OR($B$4="APM Level 7",$B$4="R&amp;T Level 7"),$C224*Thresholds_Rates!$F$15,IF(SUMIF(Grades!$A:$A,$B$4,Grades!$BO:$BO)=1,$C224*Thresholds_Rates!$F$15,""))))))))</f>
        <v/>
      </c>
      <c r="L224" s="25" t="str">
        <f t="shared" si="28"/>
        <v/>
      </c>
      <c r="M224" s="25" t="str">
        <f t="shared" si="29"/>
        <v/>
      </c>
      <c r="N224" s="25" t="str">
        <f t="shared" si="30"/>
        <v/>
      </c>
      <c r="O224" s="25" t="str">
        <f t="shared" si="31"/>
        <v/>
      </c>
      <c r="P224" s="25" t="str">
        <f t="shared" si="32"/>
        <v/>
      </c>
    </row>
    <row r="225" spans="5:16" x14ac:dyDescent="0.25">
      <c r="E225" s="25" t="str">
        <f>IF($B225="","",IF(AND($B$4="Salary Points 3 to 57",B225&lt;Thresholds_Rates!$C$16),"-",IF(SUMIF(Grades!$A:$A,$B$4,Grades!$BO:$BO)=0,"-",IF(AND($B$4="Salary Points 3 to 57",B225&gt;=Thresholds_Rates!$C$16),$C225*Thresholds_Rates!$F$15,IF(AND(OR($B$4="New Consultant Contract"),$B225&lt;&gt;""),$C225*Thresholds_Rates!$F$15,IF(AND(OR($B$4="Clinical Lecturer / Medical Research Fellow",$B$4="Clinical Consultant - Old Contract (GP)"),$B225&lt;&gt;""),$C225*Thresholds_Rates!$F$15,IF(OR($B$4="APM Level 7",$B$4="R&amp;T Level 7"),$C225*Thresholds_Rates!$F$15,IF(SUMIF(Grades!$A:$A,$B$4,Grades!$BO:$BO)=1,$C225*Thresholds_Rates!$F$15,""))))))))</f>
        <v/>
      </c>
      <c r="L225" s="25" t="str">
        <f t="shared" si="28"/>
        <v/>
      </c>
      <c r="M225" s="25" t="str">
        <f t="shared" si="29"/>
        <v/>
      </c>
      <c r="N225" s="25" t="str">
        <f t="shared" si="30"/>
        <v/>
      </c>
      <c r="O225" s="25" t="str">
        <f t="shared" si="31"/>
        <v/>
      </c>
      <c r="P225" s="25" t="str">
        <f t="shared" si="32"/>
        <v/>
      </c>
    </row>
    <row r="226" spans="5:16" x14ac:dyDescent="0.25">
      <c r="E226" s="25" t="str">
        <f>IF($B226="","",IF(AND($B$4="Salary Points 3 to 57",B226&lt;Thresholds_Rates!$C$16),"-",IF(SUMIF(Grades!$A:$A,$B$4,Grades!$BO:$BO)=0,"-",IF(AND($B$4="Salary Points 3 to 57",B226&gt;=Thresholds_Rates!$C$16),$C226*Thresholds_Rates!$F$15,IF(AND(OR($B$4="New Consultant Contract"),$B226&lt;&gt;""),$C226*Thresholds_Rates!$F$15,IF(AND(OR($B$4="Clinical Lecturer / Medical Research Fellow",$B$4="Clinical Consultant - Old Contract (GP)"),$B226&lt;&gt;""),$C226*Thresholds_Rates!$F$15,IF(OR($B$4="APM Level 7",$B$4="R&amp;T Level 7"),$C226*Thresholds_Rates!$F$15,IF(SUMIF(Grades!$A:$A,$B$4,Grades!$BO:$BO)=1,$C226*Thresholds_Rates!$F$15,""))))))))</f>
        <v/>
      </c>
      <c r="L226" s="25" t="str">
        <f t="shared" si="28"/>
        <v/>
      </c>
      <c r="M226" s="25" t="str">
        <f t="shared" si="29"/>
        <v/>
      </c>
      <c r="N226" s="25" t="str">
        <f t="shared" si="30"/>
        <v/>
      </c>
      <c r="O226" s="25" t="str">
        <f t="shared" si="31"/>
        <v/>
      </c>
      <c r="P226" s="25" t="str">
        <f t="shared" si="32"/>
        <v/>
      </c>
    </row>
    <row r="227" spans="5:16" x14ac:dyDescent="0.25">
      <c r="E227" s="25" t="str">
        <f>IF($B227="","",IF(AND($B$4="Salary Points 3 to 57",B227&lt;Thresholds_Rates!$C$16),"-",IF(SUMIF(Grades!$A:$A,$B$4,Grades!$BO:$BO)=0,"-",IF(AND($B$4="Salary Points 3 to 57",B227&gt;=Thresholds_Rates!$C$16),$C227*Thresholds_Rates!$F$15,IF(AND(OR($B$4="New Consultant Contract"),$B227&lt;&gt;""),$C227*Thresholds_Rates!$F$15,IF(AND(OR($B$4="Clinical Lecturer / Medical Research Fellow",$B$4="Clinical Consultant - Old Contract (GP)"),$B227&lt;&gt;""),$C227*Thresholds_Rates!$F$15,IF(OR($B$4="APM Level 7",$B$4="R&amp;T Level 7"),$C227*Thresholds_Rates!$F$15,IF(SUMIF(Grades!$A:$A,$B$4,Grades!$BO:$BO)=1,$C227*Thresholds_Rates!$F$15,""))))))))</f>
        <v/>
      </c>
      <c r="L227" s="25" t="str">
        <f t="shared" si="28"/>
        <v/>
      </c>
      <c r="M227" s="25" t="str">
        <f t="shared" si="29"/>
        <v/>
      </c>
      <c r="N227" s="25" t="str">
        <f t="shared" si="30"/>
        <v/>
      </c>
      <c r="O227" s="25" t="str">
        <f t="shared" si="31"/>
        <v/>
      </c>
      <c r="P227" s="25" t="str">
        <f t="shared" si="32"/>
        <v/>
      </c>
    </row>
    <row r="228" spans="5:16" x14ac:dyDescent="0.25">
      <c r="E228" s="25" t="str">
        <f>IF($B228="","",IF(AND($B$4="Salary Points 3 to 57",B228&lt;Thresholds_Rates!$C$16),"-",IF(SUMIF(Grades!$A:$A,$B$4,Grades!$BO:$BO)=0,"-",IF(AND($B$4="Salary Points 3 to 57",B228&gt;=Thresholds_Rates!$C$16),$C228*Thresholds_Rates!$F$15,IF(AND(OR($B$4="New Consultant Contract"),$B228&lt;&gt;""),$C228*Thresholds_Rates!$F$15,IF(AND(OR($B$4="Clinical Lecturer / Medical Research Fellow",$B$4="Clinical Consultant - Old Contract (GP)"),$B228&lt;&gt;""),$C228*Thresholds_Rates!$F$15,IF(OR($B$4="APM Level 7",$B$4="R&amp;T Level 7"),$C228*Thresholds_Rates!$F$15,IF(SUMIF(Grades!$A:$A,$B$4,Grades!$BO:$BO)=1,$C228*Thresholds_Rates!$F$15,""))))))))</f>
        <v/>
      </c>
      <c r="L228" s="25" t="str">
        <f t="shared" si="28"/>
        <v/>
      </c>
      <c r="M228" s="25" t="str">
        <f t="shared" si="29"/>
        <v/>
      </c>
      <c r="N228" s="25" t="str">
        <f t="shared" si="30"/>
        <v/>
      </c>
      <c r="O228" s="25" t="str">
        <f t="shared" si="31"/>
        <v/>
      </c>
      <c r="P228" s="25" t="str">
        <f t="shared" si="32"/>
        <v/>
      </c>
    </row>
    <row r="229" spans="5:16" x14ac:dyDescent="0.25">
      <c r="E229" s="25" t="str">
        <f>IF($B229="","",IF(AND($B$4="Salary Points 3 to 57",B229&lt;Thresholds_Rates!$C$16),"-",IF(SUMIF(Grades!$A:$A,$B$4,Grades!$BO:$BO)=0,"-",IF(AND($B$4="Salary Points 3 to 57",B229&gt;=Thresholds_Rates!$C$16),$C229*Thresholds_Rates!$F$15,IF(AND(OR($B$4="New Consultant Contract"),$B229&lt;&gt;""),$C229*Thresholds_Rates!$F$15,IF(AND(OR($B$4="Clinical Lecturer / Medical Research Fellow",$B$4="Clinical Consultant - Old Contract (GP)"),$B229&lt;&gt;""),$C229*Thresholds_Rates!$F$15,IF(OR($B$4="APM Level 7",$B$4="R&amp;T Level 7"),$C229*Thresholds_Rates!$F$15,IF(SUMIF(Grades!$A:$A,$B$4,Grades!$BO:$BO)=1,$C229*Thresholds_Rates!$F$15,""))))))))</f>
        <v/>
      </c>
      <c r="L229" s="25" t="str">
        <f t="shared" si="28"/>
        <v/>
      </c>
      <c r="M229" s="25" t="str">
        <f t="shared" si="29"/>
        <v/>
      </c>
      <c r="N229" s="25" t="str">
        <f t="shared" si="30"/>
        <v/>
      </c>
      <c r="O229" s="25" t="str">
        <f t="shared" si="31"/>
        <v/>
      </c>
      <c r="P229" s="25" t="str">
        <f t="shared" si="32"/>
        <v/>
      </c>
    </row>
    <row r="230" spans="5:16" x14ac:dyDescent="0.25">
      <c r="E230" s="25" t="str">
        <f>IF($B230="","",IF(AND($B$4="Salary Points 3 to 57",B230&lt;Thresholds_Rates!$C$16),"-",IF(SUMIF(Grades!$A:$A,$B$4,Grades!$BO:$BO)=0,"-",IF(AND($B$4="Salary Points 3 to 57",B230&gt;=Thresholds_Rates!$C$16),$C230*Thresholds_Rates!$F$15,IF(AND(OR($B$4="New Consultant Contract"),$B230&lt;&gt;""),$C230*Thresholds_Rates!$F$15,IF(AND(OR($B$4="Clinical Lecturer / Medical Research Fellow",$B$4="Clinical Consultant - Old Contract (GP)"),$B230&lt;&gt;""),$C230*Thresholds_Rates!$F$15,IF(OR($B$4="APM Level 7",$B$4="R&amp;T Level 7"),$C230*Thresholds_Rates!$F$15,IF(SUMIF(Grades!$A:$A,$B$4,Grades!$BO:$BO)=1,$C230*Thresholds_Rates!$F$15,""))))))))</f>
        <v/>
      </c>
      <c r="L230" s="25" t="str">
        <f t="shared" si="28"/>
        <v/>
      </c>
      <c r="M230" s="25" t="str">
        <f t="shared" si="29"/>
        <v/>
      </c>
      <c r="N230" s="25" t="str">
        <f t="shared" si="30"/>
        <v/>
      </c>
      <c r="O230" s="25" t="str">
        <f t="shared" si="31"/>
        <v/>
      </c>
      <c r="P230" s="25" t="str">
        <f t="shared" si="32"/>
        <v/>
      </c>
    </row>
    <row r="231" spans="5:16" x14ac:dyDescent="0.25">
      <c r="E231" s="25" t="str">
        <f>IF($B231="","",IF(AND($B$4="Salary Points 3 to 57",B231&lt;Thresholds_Rates!$C$16),"-",IF(SUMIF(Grades!$A:$A,$B$4,Grades!$BO:$BO)=0,"-",IF(AND($B$4="Salary Points 3 to 57",B231&gt;=Thresholds_Rates!$C$16),$C231*Thresholds_Rates!$F$15,IF(AND(OR($B$4="New Consultant Contract"),$B231&lt;&gt;""),$C231*Thresholds_Rates!$F$15,IF(AND(OR($B$4="Clinical Lecturer / Medical Research Fellow",$B$4="Clinical Consultant - Old Contract (GP)"),$B231&lt;&gt;""),$C231*Thresholds_Rates!$F$15,IF(OR($B$4="APM Level 7",$B$4="R&amp;T Level 7"),$C231*Thresholds_Rates!$F$15,IF(SUMIF(Grades!$A:$A,$B$4,Grades!$BO:$BO)=1,$C231*Thresholds_Rates!$F$15,""))))))))</f>
        <v/>
      </c>
      <c r="L231" s="25" t="str">
        <f t="shared" si="28"/>
        <v/>
      </c>
      <c r="M231" s="25" t="str">
        <f t="shared" si="29"/>
        <v/>
      </c>
      <c r="N231" s="25" t="str">
        <f t="shared" si="30"/>
        <v/>
      </c>
      <c r="O231" s="25" t="str">
        <f t="shared" si="31"/>
        <v/>
      </c>
      <c r="P231" s="25" t="str">
        <f t="shared" si="32"/>
        <v/>
      </c>
    </row>
    <row r="232" spans="5:16" x14ac:dyDescent="0.25">
      <c r="E232" s="25" t="str">
        <f>IF($B232="","",IF(AND($B$4="Salary Points 3 to 57",B232&lt;Thresholds_Rates!$C$16),"-",IF(SUMIF(Grades!$A:$A,$B$4,Grades!$BO:$BO)=0,"-",IF(AND($B$4="Salary Points 3 to 57",B232&gt;=Thresholds_Rates!$C$16),$C232*Thresholds_Rates!$F$15,IF(AND(OR($B$4="New Consultant Contract"),$B232&lt;&gt;""),$C232*Thresholds_Rates!$F$15,IF(AND(OR($B$4="Clinical Lecturer / Medical Research Fellow",$B$4="Clinical Consultant - Old Contract (GP)"),$B232&lt;&gt;""),$C232*Thresholds_Rates!$F$15,IF(OR($B$4="APM Level 7",$B$4="R&amp;T Level 7"),$C232*Thresholds_Rates!$F$15,IF(SUMIF(Grades!$A:$A,$B$4,Grades!$BO:$BO)=1,$C232*Thresholds_Rates!$F$15,""))))))))</f>
        <v/>
      </c>
      <c r="L232" s="25" t="str">
        <f t="shared" si="28"/>
        <v/>
      </c>
      <c r="M232" s="25" t="str">
        <f t="shared" si="29"/>
        <v/>
      </c>
      <c r="N232" s="25" t="str">
        <f t="shared" si="30"/>
        <v/>
      </c>
      <c r="O232" s="25" t="str">
        <f t="shared" si="31"/>
        <v/>
      </c>
      <c r="P232" s="25" t="str">
        <f t="shared" si="32"/>
        <v/>
      </c>
    </row>
    <row r="233" spans="5:16" x14ac:dyDescent="0.25">
      <c r="E233" s="25" t="str">
        <f>IF($B233="","",IF(AND($B$4="Salary Points 3 to 57",B233&lt;Thresholds_Rates!$C$16),"-",IF(SUMIF(Grades!$A:$A,$B$4,Grades!$BO:$BO)=0,"-",IF(AND($B$4="Salary Points 3 to 57",B233&gt;=Thresholds_Rates!$C$16),$C233*Thresholds_Rates!$F$15,IF(AND(OR($B$4="New Consultant Contract"),$B233&lt;&gt;""),$C233*Thresholds_Rates!$F$15,IF(AND(OR($B$4="Clinical Lecturer / Medical Research Fellow",$B$4="Clinical Consultant - Old Contract (GP)"),$B233&lt;&gt;""),$C233*Thresholds_Rates!$F$15,IF(OR($B$4="APM Level 7",$B$4="R&amp;T Level 7"),$C233*Thresholds_Rates!$F$15,IF(SUMIF(Grades!$A:$A,$B$4,Grades!$BO:$BO)=1,$C233*Thresholds_Rates!$F$15,""))))))))</f>
        <v/>
      </c>
      <c r="L233" s="25" t="str">
        <f t="shared" si="28"/>
        <v/>
      </c>
      <c r="M233" s="25" t="str">
        <f t="shared" si="29"/>
        <v/>
      </c>
      <c r="N233" s="25" t="str">
        <f t="shared" si="30"/>
        <v/>
      </c>
      <c r="O233" s="25" t="str">
        <f t="shared" si="31"/>
        <v/>
      </c>
      <c r="P233" s="25" t="str">
        <f t="shared" si="32"/>
        <v/>
      </c>
    </row>
    <row r="234" spans="5:16" x14ac:dyDescent="0.25">
      <c r="E234" s="25" t="str">
        <f>IF($B234="","",IF(AND($B$4="Salary Points 3 to 57",B234&lt;Thresholds_Rates!$C$16),"-",IF(SUMIF(Grades!$A:$A,$B$4,Grades!$BO:$BO)=0,"-",IF(AND($B$4="Salary Points 3 to 57",B234&gt;=Thresholds_Rates!$C$16),$C234*Thresholds_Rates!$F$15,IF(AND(OR($B$4="New Consultant Contract"),$B234&lt;&gt;""),$C234*Thresholds_Rates!$F$15,IF(AND(OR($B$4="Clinical Lecturer / Medical Research Fellow",$B$4="Clinical Consultant - Old Contract (GP)"),$B234&lt;&gt;""),$C234*Thresholds_Rates!$F$15,IF(OR($B$4="APM Level 7",$B$4="R&amp;T Level 7"),$C234*Thresholds_Rates!$F$15,IF(SUMIF(Grades!$A:$A,$B$4,Grades!$BO:$BO)=1,$C234*Thresholds_Rates!$F$15,""))))))))</f>
        <v/>
      </c>
      <c r="L234" s="25" t="str">
        <f t="shared" si="28"/>
        <v/>
      </c>
      <c r="M234" s="25" t="str">
        <f t="shared" si="29"/>
        <v/>
      </c>
      <c r="N234" s="25" t="str">
        <f t="shared" si="30"/>
        <v/>
      </c>
      <c r="O234" s="25" t="str">
        <f t="shared" si="31"/>
        <v/>
      </c>
      <c r="P234" s="25" t="str">
        <f t="shared" si="32"/>
        <v/>
      </c>
    </row>
    <row r="235" spans="5:16" x14ac:dyDescent="0.25">
      <c r="E235" s="25" t="str">
        <f>IF($B235="","",IF(AND($B$4="Salary Points 3 to 57",B235&lt;Thresholds_Rates!$C$16),"-",IF(SUMIF(Grades!$A:$A,$B$4,Grades!$BO:$BO)=0,"-",IF(AND($B$4="Salary Points 3 to 57",B235&gt;=Thresholds_Rates!$C$16),$C235*Thresholds_Rates!$F$15,IF(AND(OR($B$4="New Consultant Contract"),$B235&lt;&gt;""),$C235*Thresholds_Rates!$F$15,IF(AND(OR($B$4="Clinical Lecturer / Medical Research Fellow",$B$4="Clinical Consultant - Old Contract (GP)"),$B235&lt;&gt;""),$C235*Thresholds_Rates!$F$15,IF(OR($B$4="APM Level 7",$B$4="R&amp;T Level 7"),$C235*Thresholds_Rates!$F$15,IF(SUMIF(Grades!$A:$A,$B$4,Grades!$BO:$BO)=1,$C235*Thresholds_Rates!$F$15,""))))))))</f>
        <v/>
      </c>
      <c r="L235" s="25" t="str">
        <f t="shared" si="28"/>
        <v/>
      </c>
      <c r="M235" s="25" t="str">
        <f t="shared" si="29"/>
        <v/>
      </c>
      <c r="N235" s="25" t="str">
        <f t="shared" si="30"/>
        <v/>
      </c>
      <c r="O235" s="25" t="str">
        <f t="shared" si="31"/>
        <v/>
      </c>
      <c r="P235" s="25" t="str">
        <f t="shared" si="32"/>
        <v/>
      </c>
    </row>
    <row r="236" spans="5:16" x14ac:dyDescent="0.25">
      <c r="E236" s="25" t="str">
        <f>IF($B236="","",IF(AND($B$4="Salary Points 3 to 57",B236&lt;Thresholds_Rates!$C$16),"-",IF(SUMIF(Grades!$A:$A,$B$4,Grades!$BO:$BO)=0,"-",IF(AND($B$4="Salary Points 3 to 57",B236&gt;=Thresholds_Rates!$C$16),$C236*Thresholds_Rates!$F$15,IF(AND(OR($B$4="New Consultant Contract"),$B236&lt;&gt;""),$C236*Thresholds_Rates!$F$15,IF(AND(OR($B$4="Clinical Lecturer / Medical Research Fellow",$B$4="Clinical Consultant - Old Contract (GP)"),$B236&lt;&gt;""),$C236*Thresholds_Rates!$F$15,IF(OR($B$4="APM Level 7",$B$4="R&amp;T Level 7"),$C236*Thresholds_Rates!$F$15,IF(SUMIF(Grades!$A:$A,$B$4,Grades!$BO:$BO)=1,$C236*Thresholds_Rates!$F$15,""))))))))</f>
        <v/>
      </c>
      <c r="L236" s="25" t="str">
        <f t="shared" si="28"/>
        <v/>
      </c>
      <c r="M236" s="25" t="str">
        <f t="shared" si="29"/>
        <v/>
      </c>
      <c r="N236" s="25" t="str">
        <f t="shared" si="30"/>
        <v/>
      </c>
      <c r="O236" s="25" t="str">
        <f t="shared" si="31"/>
        <v/>
      </c>
      <c r="P236" s="25" t="str">
        <f t="shared" si="32"/>
        <v/>
      </c>
    </row>
    <row r="237" spans="5:16" x14ac:dyDescent="0.25">
      <c r="E237" s="25" t="str">
        <f>IF($B237="","",IF(AND($B$4="Salary Points 3 to 57",B237&lt;Thresholds_Rates!$C$16),"-",IF(SUMIF(Grades!$A:$A,$B$4,Grades!$BO:$BO)=0,"-",IF(AND($B$4="Salary Points 3 to 57",B237&gt;=Thresholds_Rates!$C$16),$C237*Thresholds_Rates!$F$15,IF(AND(OR($B$4="New Consultant Contract"),$B237&lt;&gt;""),$C237*Thresholds_Rates!$F$15,IF(AND(OR($B$4="Clinical Lecturer / Medical Research Fellow",$B$4="Clinical Consultant - Old Contract (GP)"),$B237&lt;&gt;""),$C237*Thresholds_Rates!$F$15,IF(OR($B$4="APM Level 7",$B$4="R&amp;T Level 7"),$C237*Thresholds_Rates!$F$15,IF(SUMIF(Grades!$A:$A,$B$4,Grades!$BO:$BO)=1,$C237*Thresholds_Rates!$F$15,""))))))))</f>
        <v/>
      </c>
      <c r="L237" s="25" t="str">
        <f t="shared" si="28"/>
        <v/>
      </c>
      <c r="M237" s="25" t="str">
        <f t="shared" si="29"/>
        <v/>
      </c>
      <c r="N237" s="25" t="str">
        <f t="shared" si="30"/>
        <v/>
      </c>
      <c r="O237" s="25" t="str">
        <f t="shared" si="31"/>
        <v/>
      </c>
      <c r="P237" s="25" t="str">
        <f t="shared" si="32"/>
        <v/>
      </c>
    </row>
    <row r="238" spans="5:16" x14ac:dyDescent="0.25">
      <c r="E238" s="25" t="str">
        <f>IF($B238="","",IF(AND($B$4="Salary Points 3 to 57",B238&lt;Thresholds_Rates!$C$16),"-",IF(SUMIF(Grades!$A:$A,$B$4,Grades!$BO:$BO)=0,"-",IF(AND($B$4="Salary Points 3 to 57",B238&gt;=Thresholds_Rates!$C$16),$C238*Thresholds_Rates!$F$15,IF(AND(OR($B$4="New Consultant Contract"),$B238&lt;&gt;""),$C238*Thresholds_Rates!$F$15,IF(AND(OR($B$4="Clinical Lecturer / Medical Research Fellow",$B$4="Clinical Consultant - Old Contract (GP)"),$B238&lt;&gt;""),$C238*Thresholds_Rates!$F$15,IF(OR($B$4="APM Level 7",$B$4="R&amp;T Level 7"),$C238*Thresholds_Rates!$F$15,IF(SUMIF(Grades!$A:$A,$B$4,Grades!$BO:$BO)=1,$C238*Thresholds_Rates!$F$15,""))))))))</f>
        <v/>
      </c>
      <c r="L238" s="25" t="str">
        <f t="shared" si="28"/>
        <v/>
      </c>
      <c r="M238" s="25" t="str">
        <f t="shared" si="29"/>
        <v/>
      </c>
      <c r="N238" s="25" t="str">
        <f t="shared" si="30"/>
        <v/>
      </c>
      <c r="O238" s="25" t="str">
        <f t="shared" si="31"/>
        <v/>
      </c>
      <c r="P238" s="25" t="str">
        <f t="shared" si="32"/>
        <v/>
      </c>
    </row>
    <row r="239" spans="5:16" x14ac:dyDescent="0.25">
      <c r="E239" s="25" t="str">
        <f>IF($B239="","",IF(AND($B$4="Salary Points 3 to 57",B239&lt;Thresholds_Rates!$C$16),"-",IF(SUMIF(Grades!$A:$A,$B$4,Grades!$BO:$BO)=0,"-",IF(AND($B$4="Salary Points 3 to 57",B239&gt;=Thresholds_Rates!$C$16),$C239*Thresholds_Rates!$F$15,IF(AND(OR($B$4="New Consultant Contract"),$B239&lt;&gt;""),$C239*Thresholds_Rates!$F$15,IF(AND(OR($B$4="Clinical Lecturer / Medical Research Fellow",$B$4="Clinical Consultant - Old Contract (GP)"),$B239&lt;&gt;""),$C239*Thresholds_Rates!$F$15,IF(OR($B$4="APM Level 7",$B$4="R&amp;T Level 7"),$C239*Thresholds_Rates!$F$15,IF(SUMIF(Grades!$A:$A,$B$4,Grades!$BO:$BO)=1,$C239*Thresholds_Rates!$F$15,""))))))))</f>
        <v/>
      </c>
      <c r="L239" s="25" t="str">
        <f t="shared" si="28"/>
        <v/>
      </c>
      <c r="M239" s="25" t="str">
        <f t="shared" si="29"/>
        <v/>
      </c>
      <c r="N239" s="25" t="str">
        <f t="shared" si="30"/>
        <v/>
      </c>
      <c r="O239" s="25" t="str">
        <f t="shared" si="31"/>
        <v/>
      </c>
      <c r="P239" s="25" t="str">
        <f t="shared" si="32"/>
        <v/>
      </c>
    </row>
    <row r="240" spans="5:16" x14ac:dyDescent="0.25">
      <c r="E240" s="25" t="str">
        <f>IF($B240="","",IF(AND($B$4="Salary Points 3 to 57",B240&lt;Thresholds_Rates!$C$16),"-",IF(SUMIF(Grades!$A:$A,$B$4,Grades!$BO:$BO)=0,"-",IF(AND($B$4="Salary Points 3 to 57",B240&gt;=Thresholds_Rates!$C$16),$C240*Thresholds_Rates!$F$15,IF(AND(OR($B$4="New Consultant Contract"),$B240&lt;&gt;""),$C240*Thresholds_Rates!$F$15,IF(AND(OR($B$4="Clinical Lecturer / Medical Research Fellow",$B$4="Clinical Consultant - Old Contract (GP)"),$B240&lt;&gt;""),$C240*Thresholds_Rates!$F$15,IF(OR($B$4="APM Level 7",$B$4="R&amp;T Level 7"),$C240*Thresholds_Rates!$F$15,IF(SUMIF(Grades!$A:$A,$B$4,Grades!$BO:$BO)=1,$C240*Thresholds_Rates!$F$15,""))))))))</f>
        <v/>
      </c>
      <c r="L240" s="25" t="str">
        <f t="shared" si="28"/>
        <v/>
      </c>
      <c r="M240" s="25" t="str">
        <f t="shared" si="29"/>
        <v/>
      </c>
      <c r="N240" s="25" t="str">
        <f t="shared" si="30"/>
        <v/>
      </c>
      <c r="O240" s="25" t="str">
        <f t="shared" si="31"/>
        <v/>
      </c>
      <c r="P240" s="25" t="str">
        <f t="shared" si="32"/>
        <v/>
      </c>
    </row>
    <row r="241" spans="5:16" x14ac:dyDescent="0.25">
      <c r="E241" s="25" t="str">
        <f>IF($B241="","",IF(AND($B$4="Salary Points 3 to 57",B241&lt;Thresholds_Rates!$C$16),"-",IF(SUMIF(Grades!$A:$A,$B$4,Grades!$BO:$BO)=0,"-",IF(AND($B$4="Salary Points 3 to 57",B241&gt;=Thresholds_Rates!$C$16),$C241*Thresholds_Rates!$F$15,IF(AND(OR($B$4="New Consultant Contract"),$B241&lt;&gt;""),$C241*Thresholds_Rates!$F$15,IF(AND(OR($B$4="Clinical Lecturer / Medical Research Fellow",$B$4="Clinical Consultant - Old Contract (GP)"),$B241&lt;&gt;""),$C241*Thresholds_Rates!$F$15,IF(OR($B$4="APM Level 7",$B$4="R&amp;T Level 7"),$C241*Thresholds_Rates!$F$15,IF(SUMIF(Grades!$A:$A,$B$4,Grades!$BO:$BO)=1,$C241*Thresholds_Rates!$F$15,""))))))))</f>
        <v/>
      </c>
      <c r="L241" s="25" t="str">
        <f t="shared" si="28"/>
        <v/>
      </c>
      <c r="M241" s="25" t="str">
        <f t="shared" si="29"/>
        <v/>
      </c>
      <c r="N241" s="25" t="str">
        <f t="shared" si="30"/>
        <v/>
      </c>
      <c r="O241" s="25" t="str">
        <f t="shared" si="31"/>
        <v/>
      </c>
      <c r="P241" s="25" t="str">
        <f t="shared" si="32"/>
        <v/>
      </c>
    </row>
    <row r="242" spans="5:16" x14ac:dyDescent="0.25">
      <c r="E242" s="25" t="str">
        <f>IF($B242="","",IF(AND($B$4="Salary Points 3 to 57",B242&lt;Thresholds_Rates!$C$16),"-",IF(SUMIF(Grades!$A:$A,$B$4,Grades!$BO:$BO)=0,"-",IF(AND($B$4="Salary Points 3 to 57",B242&gt;=Thresholds_Rates!$C$16),$C242*Thresholds_Rates!$F$15,IF(AND(OR($B$4="New Consultant Contract"),$B242&lt;&gt;""),$C242*Thresholds_Rates!$F$15,IF(AND(OR($B$4="Clinical Lecturer / Medical Research Fellow",$B$4="Clinical Consultant - Old Contract (GP)"),$B242&lt;&gt;""),$C242*Thresholds_Rates!$F$15,IF(OR($B$4="APM Level 7",$B$4="R&amp;T Level 7"),$C242*Thresholds_Rates!$F$15,IF(SUMIF(Grades!$A:$A,$B$4,Grades!$BO:$BO)=1,$C242*Thresholds_Rates!$F$15,""))))))))</f>
        <v/>
      </c>
      <c r="L242" s="25" t="str">
        <f t="shared" si="28"/>
        <v/>
      </c>
      <c r="M242" s="25" t="str">
        <f t="shared" si="29"/>
        <v/>
      </c>
      <c r="N242" s="25" t="str">
        <f t="shared" si="30"/>
        <v/>
      </c>
      <c r="O242" s="25" t="str">
        <f t="shared" si="31"/>
        <v/>
      </c>
      <c r="P242" s="25" t="str">
        <f t="shared" si="32"/>
        <v/>
      </c>
    </row>
    <row r="243" spans="5:16" x14ac:dyDescent="0.25">
      <c r="E243" s="25" t="str">
        <f>IF($B243="","",IF(AND($B$4="Salary Points 3 to 57",B243&lt;Thresholds_Rates!$C$16),"-",IF(SUMIF(Grades!$A:$A,$B$4,Grades!$BO:$BO)=0,"-",IF(AND($B$4="Salary Points 3 to 57",B243&gt;=Thresholds_Rates!$C$16),$C243*Thresholds_Rates!$F$15,IF(AND(OR($B$4="New Consultant Contract"),$B243&lt;&gt;""),$C243*Thresholds_Rates!$F$15,IF(AND(OR($B$4="Clinical Lecturer / Medical Research Fellow",$B$4="Clinical Consultant - Old Contract (GP)"),$B243&lt;&gt;""),$C243*Thresholds_Rates!$F$15,IF(OR($B$4="APM Level 7",$B$4="R&amp;T Level 7"),$C243*Thresholds_Rates!$F$15,IF(SUMIF(Grades!$A:$A,$B$4,Grades!$BO:$BO)=1,$C243*Thresholds_Rates!$F$15,""))))))))</f>
        <v/>
      </c>
      <c r="L243" s="25" t="str">
        <f t="shared" si="28"/>
        <v/>
      </c>
      <c r="M243" s="25" t="str">
        <f t="shared" si="29"/>
        <v/>
      </c>
      <c r="N243" s="25" t="str">
        <f t="shared" si="30"/>
        <v/>
      </c>
      <c r="O243" s="25" t="str">
        <f t="shared" si="31"/>
        <v/>
      </c>
      <c r="P243" s="25" t="str">
        <f t="shared" si="32"/>
        <v/>
      </c>
    </row>
    <row r="244" spans="5:16" x14ac:dyDescent="0.25">
      <c r="E244" s="25" t="str">
        <f>IF($B244="","",IF(AND($B$4="Salary Points 3 to 57",B244&lt;Thresholds_Rates!$C$16),"-",IF(SUMIF(Grades!$A:$A,$B$4,Grades!$BO:$BO)=0,"-",IF(AND($B$4="Salary Points 3 to 57",B244&gt;=Thresholds_Rates!$C$16),$C244*Thresholds_Rates!$F$15,IF(AND(OR($B$4="New Consultant Contract"),$B244&lt;&gt;""),$C244*Thresholds_Rates!$F$15,IF(AND(OR($B$4="Clinical Lecturer / Medical Research Fellow",$B$4="Clinical Consultant - Old Contract (GP)"),$B244&lt;&gt;""),$C244*Thresholds_Rates!$F$15,IF(OR($B$4="APM Level 7",$B$4="R&amp;T Level 7"),$C244*Thresholds_Rates!$F$15,IF(SUMIF(Grades!$A:$A,$B$4,Grades!$BO:$BO)=1,$C244*Thresholds_Rates!$F$15,""))))))))</f>
        <v/>
      </c>
      <c r="L244" s="25" t="str">
        <f t="shared" si="28"/>
        <v/>
      </c>
      <c r="M244" s="25" t="str">
        <f t="shared" si="29"/>
        <v/>
      </c>
      <c r="N244" s="25" t="str">
        <f t="shared" si="30"/>
        <v/>
      </c>
      <c r="O244" s="25" t="str">
        <f t="shared" si="31"/>
        <v/>
      </c>
      <c r="P244" s="25" t="str">
        <f t="shared" si="32"/>
        <v/>
      </c>
    </row>
    <row r="245" spans="5:16" x14ac:dyDescent="0.25">
      <c r="E245" s="25" t="str">
        <f>IF($B245="","",IF(AND($B$4="Salary Points 3 to 57",B245&lt;Thresholds_Rates!$C$16),"-",IF(SUMIF(Grades!$A:$A,$B$4,Grades!$BO:$BO)=0,"-",IF(AND($B$4="Salary Points 3 to 57",B245&gt;=Thresholds_Rates!$C$16),$C245*Thresholds_Rates!$F$15,IF(AND(OR($B$4="New Consultant Contract"),$B245&lt;&gt;""),$C245*Thresholds_Rates!$F$15,IF(AND(OR($B$4="Clinical Lecturer / Medical Research Fellow",$B$4="Clinical Consultant - Old Contract (GP)"),$B245&lt;&gt;""),$C245*Thresholds_Rates!$F$15,IF(OR($B$4="APM Level 7",$B$4="R&amp;T Level 7"),$C245*Thresholds_Rates!$F$15,IF(SUMIF(Grades!$A:$A,$B$4,Grades!$BO:$BO)=1,$C245*Thresholds_Rates!$F$15,""))))))))</f>
        <v/>
      </c>
      <c r="L245" s="25" t="str">
        <f t="shared" si="28"/>
        <v/>
      </c>
      <c r="M245" s="25" t="str">
        <f t="shared" si="29"/>
        <v/>
      </c>
      <c r="N245" s="25" t="str">
        <f t="shared" si="30"/>
        <v/>
      </c>
      <c r="O245" s="25" t="str">
        <f t="shared" si="31"/>
        <v/>
      </c>
      <c r="P245" s="25" t="str">
        <f t="shared" si="32"/>
        <v/>
      </c>
    </row>
    <row r="246" spans="5:16" x14ac:dyDescent="0.25">
      <c r="E246" s="25" t="str">
        <f>IF($B246="","",IF(AND($B$4="Salary Points 3 to 57",B246&lt;Thresholds_Rates!$C$16),"-",IF(SUMIF(Grades!$A:$A,$B$4,Grades!$BO:$BO)=0,"-",IF(AND($B$4="Salary Points 3 to 57",B246&gt;=Thresholds_Rates!$C$16),$C246*Thresholds_Rates!$F$15,IF(AND(OR($B$4="New Consultant Contract"),$B246&lt;&gt;""),$C246*Thresholds_Rates!$F$15,IF(AND(OR($B$4="Clinical Lecturer / Medical Research Fellow",$B$4="Clinical Consultant - Old Contract (GP)"),$B246&lt;&gt;""),$C246*Thresholds_Rates!$F$15,IF(OR($B$4="APM Level 7",$B$4="R&amp;T Level 7"),$C246*Thresholds_Rates!$F$15,IF(SUMIF(Grades!$A:$A,$B$4,Grades!$BO:$BO)=1,$C246*Thresholds_Rates!$F$15,""))))))))</f>
        <v/>
      </c>
      <c r="L246" s="25" t="str">
        <f t="shared" si="28"/>
        <v/>
      </c>
      <c r="M246" s="25" t="str">
        <f t="shared" si="29"/>
        <v/>
      </c>
      <c r="N246" s="25" t="str">
        <f t="shared" si="30"/>
        <v/>
      </c>
      <c r="O246" s="25" t="str">
        <f t="shared" si="31"/>
        <v/>
      </c>
      <c r="P246" s="25" t="str">
        <f t="shared" si="32"/>
        <v/>
      </c>
    </row>
    <row r="247" spans="5:16" x14ac:dyDescent="0.25">
      <c r="E247" s="25" t="str">
        <f>IF($B247="","",IF(AND($B$4="Salary Points 3 to 57",B247&lt;Thresholds_Rates!$C$16),"-",IF(SUMIF(Grades!$A:$A,$B$4,Grades!$BO:$BO)=0,"-",IF(AND($B$4="Salary Points 3 to 57",B247&gt;=Thresholds_Rates!$C$16),$C247*Thresholds_Rates!$F$15,IF(AND(OR($B$4="New Consultant Contract"),$B247&lt;&gt;""),$C247*Thresholds_Rates!$F$15,IF(AND(OR($B$4="Clinical Lecturer / Medical Research Fellow",$B$4="Clinical Consultant - Old Contract (GP)"),$B247&lt;&gt;""),$C247*Thresholds_Rates!$F$15,IF(OR($B$4="APM Level 7",$B$4="R&amp;T Level 7"),$C247*Thresholds_Rates!$F$15,IF(SUMIF(Grades!$A:$A,$B$4,Grades!$BO:$BO)=1,$C247*Thresholds_Rates!$F$15,""))))))))</f>
        <v/>
      </c>
      <c r="L247" s="25" t="str">
        <f t="shared" si="28"/>
        <v/>
      </c>
      <c r="M247" s="25" t="str">
        <f t="shared" si="29"/>
        <v/>
      </c>
      <c r="N247" s="25" t="str">
        <f t="shared" si="30"/>
        <v/>
      </c>
      <c r="O247" s="25" t="str">
        <f t="shared" si="31"/>
        <v/>
      </c>
      <c r="P247" s="25" t="str">
        <f t="shared" si="32"/>
        <v/>
      </c>
    </row>
    <row r="248" spans="5:16" x14ac:dyDescent="0.25">
      <c r="E248" s="25" t="str">
        <f>IF($B248="","",IF(AND($B$4="Salary Points 3 to 57",B248&lt;Thresholds_Rates!$C$16),"-",IF(SUMIF(Grades!$A:$A,$B$4,Grades!$BO:$BO)=0,"-",IF(AND($B$4="Salary Points 3 to 57",B248&gt;=Thresholds_Rates!$C$16),$C248*Thresholds_Rates!$F$15,IF(AND(OR($B$4="New Consultant Contract"),$B248&lt;&gt;""),$C248*Thresholds_Rates!$F$15,IF(AND(OR($B$4="Clinical Lecturer / Medical Research Fellow",$B$4="Clinical Consultant - Old Contract (GP)"),$B248&lt;&gt;""),$C248*Thresholds_Rates!$F$15,IF(OR($B$4="APM Level 7",$B$4="R&amp;T Level 7"),$C248*Thresholds_Rates!$F$15,IF(SUMIF(Grades!$A:$A,$B$4,Grades!$BO:$BO)=1,$C248*Thresholds_Rates!$F$15,""))))))))</f>
        <v/>
      </c>
      <c r="L248" s="25" t="str">
        <f t="shared" si="28"/>
        <v/>
      </c>
      <c r="M248" s="25" t="str">
        <f t="shared" si="29"/>
        <v/>
      </c>
      <c r="N248" s="25" t="str">
        <f t="shared" si="30"/>
        <v/>
      </c>
      <c r="O248" s="25" t="str">
        <f t="shared" si="31"/>
        <v/>
      </c>
      <c r="P248" s="25" t="str">
        <f t="shared" si="32"/>
        <v/>
      </c>
    </row>
    <row r="249" spans="5:16" x14ac:dyDescent="0.25">
      <c r="E249" s="25" t="str">
        <f>IF($B249="","",IF(AND($B$4="Salary Points 3 to 57",B249&lt;Thresholds_Rates!$C$16),"-",IF(SUMIF(Grades!$A:$A,$B$4,Grades!$BO:$BO)=0,"-",IF(AND($B$4="Salary Points 3 to 57",B249&gt;=Thresholds_Rates!$C$16),$C249*Thresholds_Rates!$F$15,IF(AND(OR($B$4="New Consultant Contract"),$B249&lt;&gt;""),$C249*Thresholds_Rates!$F$15,IF(AND(OR($B$4="Clinical Lecturer / Medical Research Fellow",$B$4="Clinical Consultant - Old Contract (GP)"),$B249&lt;&gt;""),$C249*Thresholds_Rates!$F$15,IF(OR($B$4="APM Level 7",$B$4="R&amp;T Level 7"),$C249*Thresholds_Rates!$F$15,IF(SUMIF(Grades!$A:$A,$B$4,Grades!$BO:$BO)=1,$C249*Thresholds_Rates!$F$15,""))))))))</f>
        <v/>
      </c>
      <c r="L249" s="25" t="str">
        <f t="shared" si="28"/>
        <v/>
      </c>
      <c r="M249" s="25" t="str">
        <f t="shared" si="29"/>
        <v/>
      </c>
      <c r="N249" s="25" t="str">
        <f t="shared" si="30"/>
        <v/>
      </c>
      <c r="O249" s="25" t="str">
        <f t="shared" si="31"/>
        <v/>
      </c>
      <c r="P249" s="25" t="str">
        <f t="shared" si="32"/>
        <v/>
      </c>
    </row>
    <row r="250" spans="5:16" x14ac:dyDescent="0.25">
      <c r="E250" s="25" t="str">
        <f>IF($B250="","",IF(AND($B$4="Salary Points 3 to 57",B250&lt;Thresholds_Rates!$C$16),"-",IF(SUMIF(Grades!$A:$A,$B$4,Grades!$BO:$BO)=0,"-",IF(AND($B$4="Salary Points 3 to 57",B250&gt;=Thresholds_Rates!$C$16),$C250*Thresholds_Rates!$F$15,IF(AND(OR($B$4="New Consultant Contract"),$B250&lt;&gt;""),$C250*Thresholds_Rates!$F$15,IF(AND(OR($B$4="Clinical Lecturer / Medical Research Fellow",$B$4="Clinical Consultant - Old Contract (GP)"),$B250&lt;&gt;""),$C250*Thresholds_Rates!$F$15,IF(OR($B$4="APM Level 7",$B$4="R&amp;T Level 7"),$C250*Thresholds_Rates!$F$15,IF(SUMIF(Grades!$A:$A,$B$4,Grades!$BO:$BO)=1,$C250*Thresholds_Rates!$F$15,""))))))))</f>
        <v/>
      </c>
      <c r="L250" s="25" t="str">
        <f t="shared" si="28"/>
        <v/>
      </c>
      <c r="M250" s="25" t="str">
        <f t="shared" si="29"/>
        <v/>
      </c>
      <c r="N250" s="25" t="str">
        <f t="shared" si="30"/>
        <v/>
      </c>
      <c r="O250" s="25" t="str">
        <f t="shared" si="31"/>
        <v/>
      </c>
      <c r="P250" s="25" t="str">
        <f t="shared" si="32"/>
        <v/>
      </c>
    </row>
    <row r="251" spans="5:16" x14ac:dyDescent="0.25">
      <c r="E251" s="25" t="str">
        <f>IF($B251="","",IF(AND($B$4="Salary Points 3 to 57",B251&lt;Thresholds_Rates!$C$16),"-",IF(SUMIF(Grades!$A:$A,$B$4,Grades!$BO:$BO)=0,"-",IF(AND($B$4="Salary Points 3 to 57",B251&gt;=Thresholds_Rates!$C$16),$C251*Thresholds_Rates!$F$15,IF(AND(OR($B$4="New Consultant Contract"),$B251&lt;&gt;""),$C251*Thresholds_Rates!$F$15,IF(AND(OR($B$4="Clinical Lecturer / Medical Research Fellow",$B$4="Clinical Consultant - Old Contract (GP)"),$B251&lt;&gt;""),$C251*Thresholds_Rates!$F$15,IF(OR($B$4="APM Level 7",$B$4="R&amp;T Level 7"),$C251*Thresholds_Rates!$F$15,IF(SUMIF(Grades!$A:$A,$B$4,Grades!$BO:$BO)=1,$C251*Thresholds_Rates!$F$15,""))))))))</f>
        <v/>
      </c>
      <c r="L251" s="25" t="str">
        <f t="shared" si="28"/>
        <v/>
      </c>
      <c r="M251" s="25" t="str">
        <f t="shared" si="29"/>
        <v/>
      </c>
      <c r="N251" s="25" t="str">
        <f t="shared" si="30"/>
        <v/>
      </c>
      <c r="O251" s="25" t="str">
        <f t="shared" si="31"/>
        <v/>
      </c>
      <c r="P251" s="25" t="str">
        <f t="shared" si="32"/>
        <v/>
      </c>
    </row>
    <row r="252" spans="5:16" x14ac:dyDescent="0.25">
      <c r="E252" s="25" t="str">
        <f>IF($B252="","",IF(AND($B$4="Salary Points 3 to 57",B252&lt;Thresholds_Rates!$C$16),"-",IF(SUMIF(Grades!$A:$A,$B$4,Grades!$BO:$BO)=0,"-",IF(AND($B$4="Salary Points 3 to 57",B252&gt;=Thresholds_Rates!$C$16),$C252*Thresholds_Rates!$F$15,IF(AND(OR($B$4="New Consultant Contract"),$B252&lt;&gt;""),$C252*Thresholds_Rates!$F$15,IF(AND(OR($B$4="Clinical Lecturer / Medical Research Fellow",$B$4="Clinical Consultant - Old Contract (GP)"),$B252&lt;&gt;""),$C252*Thresholds_Rates!$F$15,IF(OR($B$4="APM Level 7",$B$4="R&amp;T Level 7"),$C252*Thresholds_Rates!$F$15,IF(SUMIF(Grades!$A:$A,$B$4,Grades!$BO:$BO)=1,$C252*Thresholds_Rates!$F$15,""))))))))</f>
        <v/>
      </c>
      <c r="L252" s="25" t="str">
        <f t="shared" si="28"/>
        <v/>
      </c>
      <c r="M252" s="25" t="str">
        <f t="shared" si="29"/>
        <v/>
      </c>
      <c r="N252" s="25" t="str">
        <f t="shared" si="30"/>
        <v/>
      </c>
      <c r="O252" s="25" t="str">
        <f t="shared" si="31"/>
        <v/>
      </c>
      <c r="P252" s="25" t="str">
        <f t="shared" si="32"/>
        <v/>
      </c>
    </row>
    <row r="253" spans="5:16" x14ac:dyDescent="0.25">
      <c r="E253" s="25" t="str">
        <f>IF($B253="","",IF(AND($B$4="Salary Points 3 to 57",B253&lt;Thresholds_Rates!$C$16),"-",IF(SUMIF(Grades!$A:$A,$B$4,Grades!$BO:$BO)=0,"-",IF(AND($B$4="Salary Points 3 to 57",B253&gt;=Thresholds_Rates!$C$16),$C253*Thresholds_Rates!$F$15,IF(AND(OR($B$4="New Consultant Contract"),$B253&lt;&gt;""),$C253*Thresholds_Rates!$F$15,IF(AND(OR($B$4="Clinical Lecturer / Medical Research Fellow",$B$4="Clinical Consultant - Old Contract (GP)"),$B253&lt;&gt;""),$C253*Thresholds_Rates!$F$15,IF(OR($B$4="APM Level 7",$B$4="R&amp;T Level 7"),$C253*Thresholds_Rates!$F$15,IF(SUMIF(Grades!$A:$A,$B$4,Grades!$BO:$BO)=1,$C253*Thresholds_Rates!$F$15,""))))))))</f>
        <v/>
      </c>
      <c r="L253" s="25" t="str">
        <f t="shared" si="28"/>
        <v/>
      </c>
      <c r="M253" s="25" t="str">
        <f t="shared" si="29"/>
        <v/>
      </c>
      <c r="N253" s="25" t="str">
        <f t="shared" si="30"/>
        <v/>
      </c>
      <c r="O253" s="25" t="str">
        <f t="shared" si="31"/>
        <v/>
      </c>
      <c r="P253" s="25" t="str">
        <f t="shared" si="32"/>
        <v/>
      </c>
    </row>
    <row r="254" spans="5:16" x14ac:dyDescent="0.25">
      <c r="E254" s="25" t="str">
        <f>IF($B254="","",IF(AND($B$4="Salary Points 3 to 57",B254&lt;Thresholds_Rates!$C$16),"-",IF(SUMIF(Grades!$A:$A,$B$4,Grades!$BO:$BO)=0,"-",IF(AND($B$4="Salary Points 3 to 57",B254&gt;=Thresholds_Rates!$C$16),$C254*Thresholds_Rates!$F$15,IF(AND(OR($B$4="New Consultant Contract"),$B254&lt;&gt;""),$C254*Thresholds_Rates!$F$15,IF(AND(OR($B$4="Clinical Lecturer / Medical Research Fellow",$B$4="Clinical Consultant - Old Contract (GP)"),$B254&lt;&gt;""),$C254*Thresholds_Rates!$F$15,IF(OR($B$4="APM Level 7",$B$4="R&amp;T Level 7"),$C254*Thresholds_Rates!$F$15,IF(SUMIF(Grades!$A:$A,$B$4,Grades!$BO:$BO)=1,$C254*Thresholds_Rates!$F$15,""))))))))</f>
        <v/>
      </c>
      <c r="L254" s="25" t="str">
        <f t="shared" si="28"/>
        <v/>
      </c>
      <c r="M254" s="25" t="str">
        <f t="shared" si="29"/>
        <v/>
      </c>
      <c r="N254" s="25" t="str">
        <f t="shared" si="30"/>
        <v/>
      </c>
      <c r="O254" s="25" t="str">
        <f t="shared" si="31"/>
        <v/>
      </c>
      <c r="P254" s="25" t="str">
        <f t="shared" si="32"/>
        <v/>
      </c>
    </row>
    <row r="255" spans="5:16" x14ac:dyDescent="0.25">
      <c r="E255" s="25" t="str">
        <f>IF($B255="","",IF(AND($B$4="Salary Points 3 to 57",B255&lt;Thresholds_Rates!$C$16),"-",IF(SUMIF(Grades!$A:$A,$B$4,Grades!$BO:$BO)=0,"-",IF(AND($B$4="Salary Points 3 to 57",B255&gt;=Thresholds_Rates!$C$16),$C255*Thresholds_Rates!$F$15,IF(AND(OR($B$4="New Consultant Contract"),$B255&lt;&gt;""),$C255*Thresholds_Rates!$F$15,IF(AND(OR($B$4="Clinical Lecturer / Medical Research Fellow",$B$4="Clinical Consultant - Old Contract (GP)"),$B255&lt;&gt;""),$C255*Thresholds_Rates!$F$15,IF(OR($B$4="APM Level 7",$B$4="R&amp;T Level 7"),$C255*Thresholds_Rates!$F$15,IF(SUMIF(Grades!$A:$A,$B$4,Grades!$BO:$BO)=1,$C255*Thresholds_Rates!$F$15,""))))))))</f>
        <v/>
      </c>
      <c r="L255" s="25" t="str">
        <f t="shared" si="28"/>
        <v/>
      </c>
      <c r="M255" s="25" t="str">
        <f t="shared" si="29"/>
        <v/>
      </c>
      <c r="N255" s="25" t="str">
        <f t="shared" si="30"/>
        <v/>
      </c>
      <c r="O255" s="25" t="str">
        <f t="shared" si="31"/>
        <v/>
      </c>
      <c r="P255" s="25" t="str">
        <f t="shared" si="32"/>
        <v/>
      </c>
    </row>
    <row r="256" spans="5:16" x14ac:dyDescent="0.25">
      <c r="E256" s="25" t="str">
        <f>IF($B256="","",IF(AND($B$4="Salary Points 3 to 57",B256&lt;Thresholds_Rates!$C$16),"-",IF(SUMIF(Grades!$A:$A,$B$4,Grades!$BO:$BO)=0,"-",IF(AND($B$4="Salary Points 3 to 57",B256&gt;=Thresholds_Rates!$C$16),$C256*Thresholds_Rates!$F$15,IF(AND(OR($B$4="New Consultant Contract"),$B256&lt;&gt;""),$C256*Thresholds_Rates!$F$15,IF(AND(OR($B$4="Clinical Lecturer / Medical Research Fellow",$B$4="Clinical Consultant - Old Contract (GP)"),$B256&lt;&gt;""),$C256*Thresholds_Rates!$F$15,IF(OR($B$4="APM Level 7",$B$4="R&amp;T Level 7"),$C256*Thresholds_Rates!$F$15,IF(SUMIF(Grades!$A:$A,$B$4,Grades!$BO:$BO)=1,$C256*Thresholds_Rates!$F$15,""))))))))</f>
        <v/>
      </c>
      <c r="L256" s="25" t="str">
        <f t="shared" si="28"/>
        <v/>
      </c>
      <c r="M256" s="25" t="str">
        <f t="shared" si="29"/>
        <v/>
      </c>
      <c r="N256" s="25" t="str">
        <f t="shared" si="30"/>
        <v/>
      </c>
      <c r="O256" s="25" t="str">
        <f t="shared" si="31"/>
        <v/>
      </c>
      <c r="P256" s="25" t="str">
        <f t="shared" si="32"/>
        <v/>
      </c>
    </row>
    <row r="257" spans="5:16" x14ac:dyDescent="0.25">
      <c r="E257" s="25" t="str">
        <f>IF($B257="","",IF(AND($B$4="Salary Points 3 to 57",B257&lt;Thresholds_Rates!$C$16),"-",IF(SUMIF(Grades!$A:$A,$B$4,Grades!$BO:$BO)=0,"-",IF(AND($B$4="Salary Points 3 to 57",B257&gt;=Thresholds_Rates!$C$16),$C257*Thresholds_Rates!$F$15,IF(AND(OR($B$4="New Consultant Contract"),$B257&lt;&gt;""),$C257*Thresholds_Rates!$F$15,IF(AND(OR($B$4="Clinical Lecturer / Medical Research Fellow",$B$4="Clinical Consultant - Old Contract (GP)"),$B257&lt;&gt;""),$C257*Thresholds_Rates!$F$15,IF(OR($B$4="APM Level 7",$B$4="R&amp;T Level 7"),$C257*Thresholds_Rates!$F$15,IF(SUMIF(Grades!$A:$A,$B$4,Grades!$BO:$BO)=1,$C257*Thresholds_Rates!$F$15,""))))))))</f>
        <v/>
      </c>
      <c r="L257" s="25" t="str">
        <f t="shared" si="28"/>
        <v/>
      </c>
      <c r="M257" s="25" t="str">
        <f t="shared" si="29"/>
        <v/>
      </c>
      <c r="N257" s="25" t="str">
        <f t="shared" si="30"/>
        <v/>
      </c>
      <c r="O257" s="25" t="str">
        <f t="shared" si="31"/>
        <v/>
      </c>
      <c r="P257" s="25" t="str">
        <f t="shared" si="32"/>
        <v/>
      </c>
    </row>
    <row r="258" spans="5:16" x14ac:dyDescent="0.25">
      <c r="E258" s="25" t="str">
        <f>IF($B258="","",IF(AND($B$4="Salary Points 3 to 57",B258&lt;Thresholds_Rates!$C$16),"-",IF(SUMIF(Grades!$A:$A,$B$4,Grades!$BO:$BO)=0,"-",IF(AND($B$4="Salary Points 3 to 57",B258&gt;=Thresholds_Rates!$C$16),$C258*Thresholds_Rates!$F$15,IF(AND(OR($B$4="New Consultant Contract"),$B258&lt;&gt;""),$C258*Thresholds_Rates!$F$15,IF(AND(OR($B$4="Clinical Lecturer / Medical Research Fellow",$B$4="Clinical Consultant - Old Contract (GP)"),$B258&lt;&gt;""),$C258*Thresholds_Rates!$F$15,IF(OR($B$4="APM Level 7",$B$4="R&amp;T Level 7"),$C258*Thresholds_Rates!$F$15,IF(SUMIF(Grades!$A:$A,$B$4,Grades!$BO:$BO)=1,$C258*Thresholds_Rates!$F$15,""))))))))</f>
        <v/>
      </c>
      <c r="L258" s="25" t="str">
        <f t="shared" si="28"/>
        <v/>
      </c>
      <c r="M258" s="25" t="str">
        <f t="shared" si="29"/>
        <v/>
      </c>
      <c r="N258" s="25" t="str">
        <f t="shared" si="30"/>
        <v/>
      </c>
      <c r="O258" s="25" t="str">
        <f t="shared" si="31"/>
        <v/>
      </c>
      <c r="P258" s="25" t="str">
        <f t="shared" si="32"/>
        <v/>
      </c>
    </row>
    <row r="259" spans="5:16" x14ac:dyDescent="0.25">
      <c r="E259" s="25" t="str">
        <f>IF($B259="","",IF(AND($B$4="Salary Points 3 to 57",B259&lt;Thresholds_Rates!$C$16),"-",IF(SUMIF(Grades!$A:$A,$B$4,Grades!$BO:$BO)=0,"-",IF(AND($B$4="Salary Points 3 to 57",B259&gt;=Thresholds_Rates!$C$16),$C259*Thresholds_Rates!$F$15,IF(AND(OR($B$4="New Consultant Contract"),$B259&lt;&gt;""),$C259*Thresholds_Rates!$F$15,IF(AND(OR($B$4="Clinical Lecturer / Medical Research Fellow",$B$4="Clinical Consultant - Old Contract (GP)"),$B259&lt;&gt;""),$C259*Thresholds_Rates!$F$15,IF(OR($B$4="APM Level 7",$B$4="R&amp;T Level 7"),$C259*Thresholds_Rates!$F$15,IF(SUMIF(Grades!$A:$A,$B$4,Grades!$BO:$BO)=1,$C259*Thresholds_Rates!$F$15,""))))))))</f>
        <v/>
      </c>
      <c r="L259" s="25" t="str">
        <f t="shared" si="28"/>
        <v/>
      </c>
      <c r="M259" s="25" t="str">
        <f t="shared" si="29"/>
        <v/>
      </c>
      <c r="N259" s="25" t="str">
        <f t="shared" si="30"/>
        <v/>
      </c>
      <c r="O259" s="25" t="str">
        <f t="shared" si="31"/>
        <v/>
      </c>
      <c r="P259" s="25" t="str">
        <f t="shared" si="32"/>
        <v/>
      </c>
    </row>
    <row r="260" spans="5:16" x14ac:dyDescent="0.25">
      <c r="E260" s="25" t="str">
        <f>IF($B260="","",IF(AND($B$4="Salary Points 3 to 57",B260&lt;Thresholds_Rates!$C$16),"-",IF(SUMIF(Grades!$A:$A,$B$4,Grades!$BO:$BO)=0,"-",IF(AND($B$4="Salary Points 3 to 57",B260&gt;=Thresholds_Rates!$C$16),$C260*Thresholds_Rates!$F$15,IF(AND(OR($B$4="New Consultant Contract"),$B260&lt;&gt;""),$C260*Thresholds_Rates!$F$15,IF(AND(OR($B$4="Clinical Lecturer / Medical Research Fellow",$B$4="Clinical Consultant - Old Contract (GP)"),$B260&lt;&gt;""),$C260*Thresholds_Rates!$F$15,IF(OR($B$4="APM Level 7",$B$4="R&amp;T Level 7"),$C260*Thresholds_Rates!$F$15,IF(SUMIF(Grades!$A:$A,$B$4,Grades!$BO:$BO)=1,$C260*Thresholds_Rates!$F$15,""))))))))</f>
        <v/>
      </c>
      <c r="L260" s="25" t="str">
        <f t="shared" si="28"/>
        <v/>
      </c>
      <c r="M260" s="25" t="str">
        <f t="shared" si="29"/>
        <v/>
      </c>
      <c r="N260" s="25" t="str">
        <f t="shared" si="30"/>
        <v/>
      </c>
      <c r="O260" s="25" t="str">
        <f t="shared" si="31"/>
        <v/>
      </c>
      <c r="P260" s="25" t="str">
        <f t="shared" si="32"/>
        <v/>
      </c>
    </row>
    <row r="261" spans="5:16" x14ac:dyDescent="0.25">
      <c r="E261" s="25" t="str">
        <f>IF($B261="","",IF(AND($B$4="Salary Points 3 to 57",B261&lt;Thresholds_Rates!$C$16),"-",IF(SUMIF(Grades!$A:$A,$B$4,Grades!$BO:$BO)=0,"-",IF(AND($B$4="Salary Points 3 to 57",B261&gt;=Thresholds_Rates!$C$16),$C261*Thresholds_Rates!$F$15,IF(AND(OR($B$4="New Consultant Contract"),$B261&lt;&gt;""),$C261*Thresholds_Rates!$F$15,IF(AND(OR($B$4="Clinical Lecturer / Medical Research Fellow",$B$4="Clinical Consultant - Old Contract (GP)"),$B261&lt;&gt;""),$C261*Thresholds_Rates!$F$15,IF(OR($B$4="APM Level 7",$B$4="R&amp;T Level 7"),$C261*Thresholds_Rates!$F$15,IF(SUMIF(Grades!$A:$A,$B$4,Grades!$BO:$BO)=1,$C261*Thresholds_Rates!$F$15,""))))))))</f>
        <v/>
      </c>
      <c r="L261" s="25" t="str">
        <f t="shared" si="28"/>
        <v/>
      </c>
      <c r="M261" s="25" t="str">
        <f t="shared" si="29"/>
        <v/>
      </c>
      <c r="N261" s="25" t="str">
        <f t="shared" si="30"/>
        <v/>
      </c>
      <c r="O261" s="25" t="str">
        <f t="shared" si="31"/>
        <v/>
      </c>
      <c r="P261" s="25" t="str">
        <f t="shared" si="32"/>
        <v/>
      </c>
    </row>
    <row r="262" spans="5:16" x14ac:dyDescent="0.25">
      <c r="E262" s="25" t="str">
        <f>IF($B262="","",IF(AND($B$4="Salary Points 3 to 57",B262&lt;Thresholds_Rates!$C$16),"-",IF(SUMIF(Grades!$A:$A,$B$4,Grades!$BO:$BO)=0,"-",IF(AND($B$4="Salary Points 3 to 57",B262&gt;=Thresholds_Rates!$C$16),$C262*Thresholds_Rates!$F$15,IF(AND(OR($B$4="New Consultant Contract"),$B262&lt;&gt;""),$C262*Thresholds_Rates!$F$15,IF(AND(OR($B$4="Clinical Lecturer / Medical Research Fellow",$B$4="Clinical Consultant - Old Contract (GP)"),$B262&lt;&gt;""),$C262*Thresholds_Rates!$F$15,IF(OR($B$4="APM Level 7",$B$4="R&amp;T Level 7"),$C262*Thresholds_Rates!$F$15,IF(SUMIF(Grades!$A:$A,$B$4,Grades!$BO:$BO)=1,$C262*Thresholds_Rates!$F$15,""))))))))</f>
        <v/>
      </c>
      <c r="L262" s="25" t="str">
        <f t="shared" si="28"/>
        <v/>
      </c>
      <c r="M262" s="25" t="str">
        <f t="shared" si="29"/>
        <v/>
      </c>
      <c r="N262" s="25" t="str">
        <f t="shared" si="30"/>
        <v/>
      </c>
      <c r="O262" s="25" t="str">
        <f t="shared" si="31"/>
        <v/>
      </c>
      <c r="P262" s="25" t="str">
        <f t="shared" si="32"/>
        <v/>
      </c>
    </row>
    <row r="263" spans="5:16" x14ac:dyDescent="0.25">
      <c r="E263" s="25" t="str">
        <f>IF($B263="","",IF(AND($B$4="Salary Points 3 to 57",B263&lt;Thresholds_Rates!$C$16),"-",IF(SUMIF(Grades!$A:$A,$B$4,Grades!$BO:$BO)=0,"-",IF(AND($B$4="Salary Points 3 to 57",B263&gt;=Thresholds_Rates!$C$16),$C263*Thresholds_Rates!$F$15,IF(AND(OR($B$4="New Consultant Contract"),$B263&lt;&gt;""),$C263*Thresholds_Rates!$F$15,IF(AND(OR($B$4="Clinical Lecturer / Medical Research Fellow",$B$4="Clinical Consultant - Old Contract (GP)"),$B263&lt;&gt;""),$C263*Thresholds_Rates!$F$15,IF(OR($B$4="APM Level 7",$B$4="R&amp;T Level 7"),$C263*Thresholds_Rates!$F$15,IF(SUMIF(Grades!$A:$A,$B$4,Grades!$BO:$BO)=1,$C263*Thresholds_Rates!$F$15,""))))))))</f>
        <v/>
      </c>
      <c r="L263" s="25" t="str">
        <f t="shared" si="28"/>
        <v/>
      </c>
      <c r="M263" s="25" t="str">
        <f t="shared" si="29"/>
        <v/>
      </c>
      <c r="N263" s="25" t="str">
        <f t="shared" si="30"/>
        <v/>
      </c>
      <c r="O263" s="25" t="str">
        <f t="shared" si="31"/>
        <v/>
      </c>
      <c r="P263" s="25" t="str">
        <f t="shared" si="32"/>
        <v/>
      </c>
    </row>
    <row r="264" spans="5:16" x14ac:dyDescent="0.25">
      <c r="E264" s="25" t="str">
        <f>IF($B264="","",IF(AND($B$4="Salary Points 3 to 57",B264&lt;Thresholds_Rates!$C$16),"-",IF(SUMIF(Grades!$A:$A,$B$4,Grades!$BO:$BO)=0,"-",IF(AND($B$4="Salary Points 3 to 57",B264&gt;=Thresholds_Rates!$C$16),$C264*Thresholds_Rates!$F$15,IF(AND(OR($B$4="New Consultant Contract"),$B264&lt;&gt;""),$C264*Thresholds_Rates!$F$15,IF(AND(OR($B$4="Clinical Lecturer / Medical Research Fellow",$B$4="Clinical Consultant - Old Contract (GP)"),$B264&lt;&gt;""),$C264*Thresholds_Rates!$F$15,IF(OR($B$4="APM Level 7",$B$4="R&amp;T Level 7"),$C264*Thresholds_Rates!$F$15,IF(SUMIF(Grades!$A:$A,$B$4,Grades!$BO:$BO)=1,$C264*Thresholds_Rates!$F$15,""))))))))</f>
        <v/>
      </c>
      <c r="L264" s="25" t="str">
        <f t="shared" si="28"/>
        <v/>
      </c>
      <c r="M264" s="25" t="str">
        <f t="shared" si="29"/>
        <v/>
      </c>
      <c r="N264" s="25" t="str">
        <f t="shared" si="30"/>
        <v/>
      </c>
      <c r="O264" s="25" t="str">
        <f t="shared" si="31"/>
        <v/>
      </c>
      <c r="P264" s="25" t="str">
        <f t="shared" si="32"/>
        <v/>
      </c>
    </row>
    <row r="265" spans="5:16" x14ac:dyDescent="0.25">
      <c r="E265" s="25" t="str">
        <f>IF($B265="","",IF(AND($B$4="Salary Points 3 to 57",B265&lt;Thresholds_Rates!$C$16),"-",IF(SUMIF(Grades!$A:$A,$B$4,Grades!$BO:$BO)=0,"-",IF(AND($B$4="Salary Points 3 to 57",B265&gt;=Thresholds_Rates!$C$16),$C265*Thresholds_Rates!$F$15,IF(AND(OR($B$4="New Consultant Contract"),$B265&lt;&gt;""),$C265*Thresholds_Rates!$F$15,IF(AND(OR($B$4="Clinical Lecturer / Medical Research Fellow",$B$4="Clinical Consultant - Old Contract (GP)"),$B265&lt;&gt;""),$C265*Thresholds_Rates!$F$15,IF(OR($B$4="APM Level 7",$B$4="R&amp;T Level 7"),$C265*Thresholds_Rates!$F$15,IF(SUMIF(Grades!$A:$A,$B$4,Grades!$BO:$BO)=1,$C265*Thresholds_Rates!$F$15,""))))))))</f>
        <v/>
      </c>
      <c r="L265" s="25" t="str">
        <f t="shared" ref="L265:L303" si="33">IF(B265="","",IF(E265="-","-",$C265+$H265+E265))</f>
        <v/>
      </c>
      <c r="M265" s="25" t="str">
        <f t="shared" ref="M265:M303" si="34">IF(B265="","",IF(F265="-","-",$C265+$H265+F265))</f>
        <v/>
      </c>
      <c r="N265" s="25" t="str">
        <f t="shared" ref="N265:N303" si="35">IF(B265="","",IF(G265="-","-",$C265+$H265+G265))</f>
        <v/>
      </c>
      <c r="O265" s="25" t="str">
        <f t="shared" ref="O265:O303" si="36">IF(B265="","",IF(J265="-","-",$C265+$H265+J265))</f>
        <v/>
      </c>
      <c r="P265" s="25" t="str">
        <f t="shared" ref="P265:P303" si="37">IF(B265="","",C265+H265)</f>
        <v/>
      </c>
    </row>
    <row r="266" spans="5:16" x14ac:dyDescent="0.25">
      <c r="E266" s="25" t="str">
        <f>IF($B266="","",IF(AND($B$4="Salary Points 3 to 57",B266&lt;Thresholds_Rates!$C$16),"-",IF(SUMIF(Grades!$A:$A,$B$4,Grades!$BO:$BO)=0,"-",IF(AND($B$4="Salary Points 3 to 57",B266&gt;=Thresholds_Rates!$C$16),$C266*Thresholds_Rates!$F$15,IF(AND(OR($B$4="New Consultant Contract"),$B266&lt;&gt;""),$C266*Thresholds_Rates!$F$15,IF(AND(OR($B$4="Clinical Lecturer / Medical Research Fellow",$B$4="Clinical Consultant - Old Contract (GP)"),$B266&lt;&gt;""),$C266*Thresholds_Rates!$F$15,IF(OR($B$4="APM Level 7",$B$4="R&amp;T Level 7"),$C266*Thresholds_Rates!$F$15,IF(SUMIF(Grades!$A:$A,$B$4,Grades!$BO:$BO)=1,$C266*Thresholds_Rates!$F$15,""))))))))</f>
        <v/>
      </c>
      <c r="L266" s="25" t="str">
        <f t="shared" si="33"/>
        <v/>
      </c>
      <c r="M266" s="25" t="str">
        <f t="shared" si="34"/>
        <v/>
      </c>
      <c r="N266" s="25" t="str">
        <f t="shared" si="35"/>
        <v/>
      </c>
      <c r="O266" s="25" t="str">
        <f t="shared" si="36"/>
        <v/>
      </c>
      <c r="P266" s="25" t="str">
        <f t="shared" si="37"/>
        <v/>
      </c>
    </row>
    <row r="267" spans="5:16" x14ac:dyDescent="0.25">
      <c r="E267" s="25" t="str">
        <f>IF($B267="","",IF(AND($B$4="Salary Points 3 to 57",B267&lt;Thresholds_Rates!$C$16),"-",IF(SUMIF(Grades!$A:$A,$B$4,Grades!$BO:$BO)=0,"-",IF(AND($B$4="Salary Points 3 to 57",B267&gt;=Thresholds_Rates!$C$16),$C267*Thresholds_Rates!$F$15,IF(AND(OR($B$4="New Consultant Contract"),$B267&lt;&gt;""),$C267*Thresholds_Rates!$F$15,IF(AND(OR($B$4="Clinical Lecturer / Medical Research Fellow",$B$4="Clinical Consultant - Old Contract (GP)"),$B267&lt;&gt;""),$C267*Thresholds_Rates!$F$15,IF(OR($B$4="APM Level 7",$B$4="R&amp;T Level 7"),$C267*Thresholds_Rates!$F$15,IF(SUMIF(Grades!$A:$A,$B$4,Grades!$BO:$BO)=1,$C267*Thresholds_Rates!$F$15,""))))))))</f>
        <v/>
      </c>
      <c r="L267" s="25" t="str">
        <f t="shared" si="33"/>
        <v/>
      </c>
      <c r="M267" s="25" t="str">
        <f t="shared" si="34"/>
        <v/>
      </c>
      <c r="N267" s="25" t="str">
        <f t="shared" si="35"/>
        <v/>
      </c>
      <c r="O267" s="25" t="str">
        <f t="shared" si="36"/>
        <v/>
      </c>
      <c r="P267" s="25" t="str">
        <f t="shared" si="37"/>
        <v/>
      </c>
    </row>
    <row r="268" spans="5:16" x14ac:dyDescent="0.25">
      <c r="E268" s="25" t="str">
        <f>IF($B268="","",IF(AND($B$4="Salary Points 3 to 57",B268&lt;Thresholds_Rates!$C$16),"-",IF(SUMIF(Grades!$A:$A,$B$4,Grades!$BO:$BO)=0,"-",IF(AND($B$4="Salary Points 3 to 57",B268&gt;=Thresholds_Rates!$C$16),$C268*Thresholds_Rates!$F$15,IF(AND(OR($B$4="New Consultant Contract"),$B268&lt;&gt;""),$C268*Thresholds_Rates!$F$15,IF(AND(OR($B$4="Clinical Lecturer / Medical Research Fellow",$B$4="Clinical Consultant - Old Contract (GP)"),$B268&lt;&gt;""),$C268*Thresholds_Rates!$F$15,IF(OR($B$4="APM Level 7",$B$4="R&amp;T Level 7"),$C268*Thresholds_Rates!$F$15,IF(SUMIF(Grades!$A:$A,$B$4,Grades!$BO:$BO)=1,$C268*Thresholds_Rates!$F$15,""))))))))</f>
        <v/>
      </c>
      <c r="L268" s="25" t="str">
        <f t="shared" si="33"/>
        <v/>
      </c>
      <c r="M268" s="25" t="str">
        <f t="shared" si="34"/>
        <v/>
      </c>
      <c r="N268" s="25" t="str">
        <f t="shared" si="35"/>
        <v/>
      </c>
      <c r="O268" s="25" t="str">
        <f t="shared" si="36"/>
        <v/>
      </c>
      <c r="P268" s="25" t="str">
        <f t="shared" si="37"/>
        <v/>
      </c>
    </row>
    <row r="269" spans="5:16" x14ac:dyDescent="0.25">
      <c r="E269" s="25" t="str">
        <f>IF($B269="","",IF(AND($B$4="Salary Points 3 to 57",B269&lt;Thresholds_Rates!$C$16),"-",IF(SUMIF(Grades!$A:$A,$B$4,Grades!$BO:$BO)=0,"-",IF(AND($B$4="Salary Points 3 to 57",B269&gt;=Thresholds_Rates!$C$16),$C269*Thresholds_Rates!$F$15,IF(AND(OR($B$4="New Consultant Contract"),$B269&lt;&gt;""),$C269*Thresholds_Rates!$F$15,IF(AND(OR($B$4="Clinical Lecturer / Medical Research Fellow",$B$4="Clinical Consultant - Old Contract (GP)"),$B269&lt;&gt;""),$C269*Thresholds_Rates!$F$15,IF(OR($B$4="APM Level 7",$B$4="R&amp;T Level 7"),$C269*Thresholds_Rates!$F$15,IF(SUMIF(Grades!$A:$A,$B$4,Grades!$BO:$BO)=1,$C269*Thresholds_Rates!$F$15,""))))))))</f>
        <v/>
      </c>
      <c r="L269" s="25" t="str">
        <f t="shared" si="33"/>
        <v/>
      </c>
      <c r="M269" s="25" t="str">
        <f t="shared" si="34"/>
        <v/>
      </c>
      <c r="N269" s="25" t="str">
        <f t="shared" si="35"/>
        <v/>
      </c>
      <c r="O269" s="25" t="str">
        <f t="shared" si="36"/>
        <v/>
      </c>
      <c r="P269" s="25" t="str">
        <f t="shared" si="37"/>
        <v/>
      </c>
    </row>
    <row r="270" spans="5:16" x14ac:dyDescent="0.25">
      <c r="E270" s="25" t="str">
        <f>IF($B270="","",IF(AND($B$4="Salary Points 3 to 57",B270&lt;Thresholds_Rates!$C$16),"-",IF(SUMIF(Grades!$A:$A,$B$4,Grades!$BO:$BO)=0,"-",IF(AND($B$4="Salary Points 3 to 57",B270&gt;=Thresholds_Rates!$C$16),$C270*Thresholds_Rates!$F$15,IF(AND(OR($B$4="New Consultant Contract"),$B270&lt;&gt;""),$C270*Thresholds_Rates!$F$15,IF(AND(OR($B$4="Clinical Lecturer / Medical Research Fellow",$B$4="Clinical Consultant - Old Contract (GP)"),$B270&lt;&gt;""),$C270*Thresholds_Rates!$F$15,IF(OR($B$4="APM Level 7",$B$4="R&amp;T Level 7"),$C270*Thresholds_Rates!$F$15,IF(SUMIF(Grades!$A:$A,$B$4,Grades!$BO:$BO)=1,$C270*Thresholds_Rates!$F$15,""))))))))</f>
        <v/>
      </c>
      <c r="L270" s="25" t="str">
        <f t="shared" si="33"/>
        <v/>
      </c>
      <c r="M270" s="25" t="str">
        <f t="shared" si="34"/>
        <v/>
      </c>
      <c r="N270" s="25" t="str">
        <f t="shared" si="35"/>
        <v/>
      </c>
      <c r="O270" s="25" t="str">
        <f t="shared" si="36"/>
        <v/>
      </c>
      <c r="P270" s="25" t="str">
        <f t="shared" si="37"/>
        <v/>
      </c>
    </row>
    <row r="271" spans="5:16" x14ac:dyDescent="0.25">
      <c r="E271" s="25" t="str">
        <f>IF($B271="","",IF(AND($B$4="Salary Points 3 to 57",B271&lt;Thresholds_Rates!$C$16),"-",IF(SUMIF(Grades!$A:$A,$B$4,Grades!$BO:$BO)=0,"-",IF(AND($B$4="Salary Points 3 to 57",B271&gt;=Thresholds_Rates!$C$16),$C271*Thresholds_Rates!$F$15,IF(AND(OR($B$4="New Consultant Contract"),$B271&lt;&gt;""),$C271*Thresholds_Rates!$F$15,IF(AND(OR($B$4="Clinical Lecturer / Medical Research Fellow",$B$4="Clinical Consultant - Old Contract (GP)"),$B271&lt;&gt;""),$C271*Thresholds_Rates!$F$15,IF(OR($B$4="APM Level 7",$B$4="R&amp;T Level 7"),$C271*Thresholds_Rates!$F$15,IF(SUMIF(Grades!$A:$A,$B$4,Grades!$BO:$BO)=1,$C271*Thresholds_Rates!$F$15,""))))))))</f>
        <v/>
      </c>
      <c r="L271" s="25" t="str">
        <f t="shared" si="33"/>
        <v/>
      </c>
      <c r="M271" s="25" t="str">
        <f t="shared" si="34"/>
        <v/>
      </c>
      <c r="N271" s="25" t="str">
        <f t="shared" si="35"/>
        <v/>
      </c>
      <c r="O271" s="25" t="str">
        <f t="shared" si="36"/>
        <v/>
      </c>
      <c r="P271" s="25" t="str">
        <f t="shared" si="37"/>
        <v/>
      </c>
    </row>
    <row r="272" spans="5:16" x14ac:dyDescent="0.25">
      <c r="E272" s="25" t="str">
        <f>IF($B272="","",IF(AND($B$4="Salary Points 3 to 57",B272&lt;Thresholds_Rates!$C$16),"-",IF(SUMIF(Grades!$A:$A,$B$4,Grades!$BO:$BO)=0,"-",IF(AND($B$4="Salary Points 3 to 57",B272&gt;=Thresholds_Rates!$C$16),$C272*Thresholds_Rates!$F$15,IF(AND(OR($B$4="New Consultant Contract"),$B272&lt;&gt;""),$C272*Thresholds_Rates!$F$15,IF(AND(OR($B$4="Clinical Lecturer / Medical Research Fellow",$B$4="Clinical Consultant - Old Contract (GP)"),$B272&lt;&gt;""),$C272*Thresholds_Rates!$F$15,IF(OR($B$4="APM Level 7",$B$4="R&amp;T Level 7"),$C272*Thresholds_Rates!$F$15,IF(SUMIF(Grades!$A:$A,$B$4,Grades!$BO:$BO)=1,$C272*Thresholds_Rates!$F$15,""))))))))</f>
        <v/>
      </c>
      <c r="L272" s="25" t="str">
        <f t="shared" si="33"/>
        <v/>
      </c>
      <c r="M272" s="25" t="str">
        <f t="shared" si="34"/>
        <v/>
      </c>
      <c r="N272" s="25" t="str">
        <f t="shared" si="35"/>
        <v/>
      </c>
      <c r="O272" s="25" t="str">
        <f t="shared" si="36"/>
        <v/>
      </c>
      <c r="P272" s="25" t="str">
        <f t="shared" si="37"/>
        <v/>
      </c>
    </row>
    <row r="273" spans="5:16" x14ac:dyDescent="0.25">
      <c r="E273" s="25" t="str">
        <f>IF($B273="","",IF(AND($B$4="Salary Points 3 to 57",B273&lt;Thresholds_Rates!$C$16),"-",IF(SUMIF(Grades!$A:$A,$B$4,Grades!$BO:$BO)=0,"-",IF(AND($B$4="Salary Points 3 to 57",B273&gt;=Thresholds_Rates!$C$16),$C273*Thresholds_Rates!$F$15,IF(AND(OR($B$4="New Consultant Contract"),$B273&lt;&gt;""),$C273*Thresholds_Rates!$F$15,IF(AND(OR($B$4="Clinical Lecturer / Medical Research Fellow",$B$4="Clinical Consultant - Old Contract (GP)"),$B273&lt;&gt;""),$C273*Thresholds_Rates!$F$15,IF(OR($B$4="APM Level 7",$B$4="R&amp;T Level 7"),$C273*Thresholds_Rates!$F$15,IF(SUMIF(Grades!$A:$A,$B$4,Grades!$BO:$BO)=1,$C273*Thresholds_Rates!$F$15,""))))))))</f>
        <v/>
      </c>
      <c r="L273" s="25" t="str">
        <f t="shared" si="33"/>
        <v/>
      </c>
      <c r="M273" s="25" t="str">
        <f t="shared" si="34"/>
        <v/>
      </c>
      <c r="N273" s="25" t="str">
        <f t="shared" si="35"/>
        <v/>
      </c>
      <c r="O273" s="25" t="str">
        <f t="shared" si="36"/>
        <v/>
      </c>
      <c r="P273" s="25" t="str">
        <f t="shared" si="37"/>
        <v/>
      </c>
    </row>
    <row r="274" spans="5:16" x14ac:dyDescent="0.25">
      <c r="E274" s="25" t="str">
        <f>IF($B274="","",IF(AND($B$4="Salary Points 3 to 57",B274&lt;Thresholds_Rates!$C$16),"-",IF(SUMIF(Grades!$A:$A,$B$4,Grades!$BO:$BO)=0,"-",IF(AND($B$4="Salary Points 3 to 57",B274&gt;=Thresholds_Rates!$C$16),$C274*Thresholds_Rates!$F$15,IF(AND(OR($B$4="New Consultant Contract"),$B274&lt;&gt;""),$C274*Thresholds_Rates!$F$15,IF(AND(OR($B$4="Clinical Lecturer / Medical Research Fellow",$B$4="Clinical Consultant - Old Contract (GP)"),$B274&lt;&gt;""),$C274*Thresholds_Rates!$F$15,IF(OR($B$4="APM Level 7",$B$4="R&amp;T Level 7"),$C274*Thresholds_Rates!$F$15,IF(SUMIF(Grades!$A:$A,$B$4,Grades!$BO:$BO)=1,$C274*Thresholds_Rates!$F$15,""))))))))</f>
        <v/>
      </c>
      <c r="L274" s="25" t="str">
        <f t="shared" si="33"/>
        <v/>
      </c>
      <c r="M274" s="25" t="str">
        <f t="shared" si="34"/>
        <v/>
      </c>
      <c r="N274" s="25" t="str">
        <f t="shared" si="35"/>
        <v/>
      </c>
      <c r="O274" s="25" t="str">
        <f t="shared" si="36"/>
        <v/>
      </c>
      <c r="P274" s="25" t="str">
        <f t="shared" si="37"/>
        <v/>
      </c>
    </row>
    <row r="275" spans="5:16" x14ac:dyDescent="0.25">
      <c r="E275" s="25" t="str">
        <f>IF($B275="","",IF(AND($B$4="Salary Points 3 to 57",B275&lt;Thresholds_Rates!$C$16),"-",IF(SUMIF(Grades!$A:$A,$B$4,Grades!$BO:$BO)=0,"-",IF(AND($B$4="Salary Points 3 to 57",B275&gt;=Thresholds_Rates!$C$16),$C275*Thresholds_Rates!$F$15,IF(AND(OR($B$4="New Consultant Contract"),$B275&lt;&gt;""),$C275*Thresholds_Rates!$F$15,IF(AND(OR($B$4="Clinical Lecturer / Medical Research Fellow",$B$4="Clinical Consultant - Old Contract (GP)"),$B275&lt;&gt;""),$C275*Thresholds_Rates!$F$15,IF(OR($B$4="APM Level 7",$B$4="R&amp;T Level 7"),$C275*Thresholds_Rates!$F$15,IF(SUMIF(Grades!$A:$A,$B$4,Grades!$BO:$BO)=1,$C275*Thresholds_Rates!$F$15,""))))))))</f>
        <v/>
      </c>
      <c r="L275" s="25" t="str">
        <f t="shared" si="33"/>
        <v/>
      </c>
      <c r="M275" s="25" t="str">
        <f t="shared" si="34"/>
        <v/>
      </c>
      <c r="N275" s="25" t="str">
        <f t="shared" si="35"/>
        <v/>
      </c>
      <c r="O275" s="25" t="str">
        <f t="shared" si="36"/>
        <v/>
      </c>
      <c r="P275" s="25" t="str">
        <f t="shared" si="37"/>
        <v/>
      </c>
    </row>
    <row r="276" spans="5:16" x14ac:dyDescent="0.25">
      <c r="E276" s="25" t="str">
        <f>IF($B276="","",IF(AND($B$4="Salary Points 3 to 57",B276&lt;Thresholds_Rates!$C$16),"-",IF(SUMIF(Grades!$A:$A,$B$4,Grades!$BO:$BO)=0,"-",IF(AND($B$4="Salary Points 3 to 57",B276&gt;=Thresholds_Rates!$C$16),$C276*Thresholds_Rates!$F$15,IF(AND(OR($B$4="New Consultant Contract"),$B276&lt;&gt;""),$C276*Thresholds_Rates!$F$15,IF(AND(OR($B$4="Clinical Lecturer / Medical Research Fellow",$B$4="Clinical Consultant - Old Contract (GP)"),$B276&lt;&gt;""),$C276*Thresholds_Rates!$F$15,IF(OR($B$4="APM Level 7",$B$4="R&amp;T Level 7"),$C276*Thresholds_Rates!$F$15,IF(SUMIF(Grades!$A:$A,$B$4,Grades!$BO:$BO)=1,$C276*Thresholds_Rates!$F$15,""))))))))</f>
        <v/>
      </c>
      <c r="L276" s="25" t="str">
        <f t="shared" si="33"/>
        <v/>
      </c>
      <c r="M276" s="25" t="str">
        <f t="shared" si="34"/>
        <v/>
      </c>
      <c r="N276" s="25" t="str">
        <f t="shared" si="35"/>
        <v/>
      </c>
      <c r="O276" s="25" t="str">
        <f t="shared" si="36"/>
        <v/>
      </c>
      <c r="P276" s="25" t="str">
        <f t="shared" si="37"/>
        <v/>
      </c>
    </row>
    <row r="277" spans="5:16" x14ac:dyDescent="0.25">
      <c r="E277" s="25" t="str">
        <f>IF($B277="","",IF(AND($B$4="Salary Points 3 to 57",B277&lt;Thresholds_Rates!$C$16),"-",IF(SUMIF(Grades!$A:$A,$B$4,Grades!$BO:$BO)=0,"-",IF(AND($B$4="Salary Points 3 to 57",B277&gt;=Thresholds_Rates!$C$16),$C277*Thresholds_Rates!$F$15,IF(AND(OR($B$4="New Consultant Contract"),$B277&lt;&gt;""),$C277*Thresholds_Rates!$F$15,IF(AND(OR($B$4="Clinical Lecturer / Medical Research Fellow",$B$4="Clinical Consultant - Old Contract (GP)"),$B277&lt;&gt;""),$C277*Thresholds_Rates!$F$15,IF(OR($B$4="APM Level 7",$B$4="R&amp;T Level 7"),$C277*Thresholds_Rates!$F$15,IF(SUMIF(Grades!$A:$A,$B$4,Grades!$BO:$BO)=1,$C277*Thresholds_Rates!$F$15,""))))))))</f>
        <v/>
      </c>
      <c r="L277" s="25" t="str">
        <f t="shared" si="33"/>
        <v/>
      </c>
      <c r="M277" s="25" t="str">
        <f t="shared" si="34"/>
        <v/>
      </c>
      <c r="N277" s="25" t="str">
        <f t="shared" si="35"/>
        <v/>
      </c>
      <c r="O277" s="25" t="str">
        <f t="shared" si="36"/>
        <v/>
      </c>
      <c r="P277" s="25" t="str">
        <f t="shared" si="37"/>
        <v/>
      </c>
    </row>
    <row r="278" spans="5:16" x14ac:dyDescent="0.25">
      <c r="E278" s="25" t="str">
        <f>IF($B278="","",IF(AND($B$4="Salary Points 3 to 57",B278&lt;Thresholds_Rates!$C$16),"-",IF(SUMIF(Grades!$A:$A,$B$4,Grades!$BO:$BO)=0,"-",IF(AND($B$4="Salary Points 3 to 57",B278&gt;=Thresholds_Rates!$C$16),$C278*Thresholds_Rates!$F$15,IF(AND(OR($B$4="New Consultant Contract"),$B278&lt;&gt;""),$C278*Thresholds_Rates!$F$15,IF(AND(OR($B$4="Clinical Lecturer / Medical Research Fellow",$B$4="Clinical Consultant - Old Contract (GP)"),$B278&lt;&gt;""),$C278*Thresholds_Rates!$F$15,IF(OR($B$4="APM Level 7",$B$4="R&amp;T Level 7"),$C278*Thresholds_Rates!$F$15,IF(SUMIF(Grades!$A:$A,$B$4,Grades!$BO:$BO)=1,$C278*Thresholds_Rates!$F$15,""))))))))</f>
        <v/>
      </c>
      <c r="L278" s="25" t="str">
        <f t="shared" si="33"/>
        <v/>
      </c>
      <c r="M278" s="25" t="str">
        <f t="shared" si="34"/>
        <v/>
      </c>
      <c r="N278" s="25" t="str">
        <f t="shared" si="35"/>
        <v/>
      </c>
      <c r="O278" s="25" t="str">
        <f t="shared" si="36"/>
        <v/>
      </c>
      <c r="P278" s="25" t="str">
        <f t="shared" si="37"/>
        <v/>
      </c>
    </row>
    <row r="279" spans="5:16" x14ac:dyDescent="0.25">
      <c r="E279" s="25" t="str">
        <f>IF($B279="","",IF(AND($B$4="Salary Points 3 to 57",B279&lt;Thresholds_Rates!$C$16),"-",IF(SUMIF(Grades!$A:$A,$B$4,Grades!$BO:$BO)=0,"-",IF(AND($B$4="Salary Points 3 to 57",B279&gt;=Thresholds_Rates!$C$16),$C279*Thresholds_Rates!$F$15,IF(AND(OR($B$4="New Consultant Contract"),$B279&lt;&gt;""),$C279*Thresholds_Rates!$F$15,IF(AND(OR($B$4="Clinical Lecturer / Medical Research Fellow",$B$4="Clinical Consultant - Old Contract (GP)"),$B279&lt;&gt;""),$C279*Thresholds_Rates!$F$15,IF(OR($B$4="APM Level 7",$B$4="R&amp;T Level 7"),$C279*Thresholds_Rates!$F$15,IF(SUMIF(Grades!$A:$A,$B$4,Grades!$BO:$BO)=1,$C279*Thresholds_Rates!$F$15,""))))))))</f>
        <v/>
      </c>
      <c r="L279" s="25" t="str">
        <f t="shared" si="33"/>
        <v/>
      </c>
      <c r="M279" s="25" t="str">
        <f t="shared" si="34"/>
        <v/>
      </c>
      <c r="N279" s="25" t="str">
        <f t="shared" si="35"/>
        <v/>
      </c>
      <c r="O279" s="25" t="str">
        <f t="shared" si="36"/>
        <v/>
      </c>
      <c r="P279" s="25" t="str">
        <f t="shared" si="37"/>
        <v/>
      </c>
    </row>
    <row r="280" spans="5:16" x14ac:dyDescent="0.25">
      <c r="E280" s="25" t="str">
        <f>IF($B280="","",IF(AND($B$4="Salary Points 3 to 57",B280&lt;Thresholds_Rates!$C$16),"-",IF(SUMIF(Grades!$A:$A,$B$4,Grades!$BO:$BO)=0,"-",IF(AND($B$4="Salary Points 3 to 57",B280&gt;=Thresholds_Rates!$C$16),$C280*Thresholds_Rates!$F$15,IF(AND(OR($B$4="New Consultant Contract"),$B280&lt;&gt;""),$C280*Thresholds_Rates!$F$15,IF(AND(OR($B$4="Clinical Lecturer / Medical Research Fellow",$B$4="Clinical Consultant - Old Contract (GP)"),$B280&lt;&gt;""),$C280*Thresholds_Rates!$F$15,IF(OR($B$4="APM Level 7",$B$4="R&amp;T Level 7"),$C280*Thresholds_Rates!$F$15,IF(SUMIF(Grades!$A:$A,$B$4,Grades!$BO:$BO)=1,$C280*Thresholds_Rates!$F$15,""))))))))</f>
        <v/>
      </c>
      <c r="L280" s="25" t="str">
        <f t="shared" si="33"/>
        <v/>
      </c>
      <c r="M280" s="25" t="str">
        <f t="shared" si="34"/>
        <v/>
      </c>
      <c r="N280" s="25" t="str">
        <f t="shared" si="35"/>
        <v/>
      </c>
      <c r="O280" s="25" t="str">
        <f t="shared" si="36"/>
        <v/>
      </c>
      <c r="P280" s="25" t="str">
        <f t="shared" si="37"/>
        <v/>
      </c>
    </row>
    <row r="281" spans="5:16" x14ac:dyDescent="0.25">
      <c r="E281" s="25" t="str">
        <f>IF($B281="","",IF(AND($B$4="Salary Points 3 to 57",B281&lt;Thresholds_Rates!$C$16),"-",IF(SUMIF(Grades!$A:$A,$B$4,Grades!$BO:$BO)=0,"-",IF(AND($B$4="Salary Points 3 to 57",B281&gt;=Thresholds_Rates!$C$16),$C281*Thresholds_Rates!$F$15,IF(AND(OR($B$4="New Consultant Contract"),$B281&lt;&gt;""),$C281*Thresholds_Rates!$F$15,IF(AND(OR($B$4="Clinical Lecturer / Medical Research Fellow",$B$4="Clinical Consultant - Old Contract (GP)"),$B281&lt;&gt;""),$C281*Thresholds_Rates!$F$15,IF(OR($B$4="APM Level 7",$B$4="R&amp;T Level 7"),$C281*Thresholds_Rates!$F$15,IF(SUMIF(Grades!$A:$A,$B$4,Grades!$BO:$BO)=1,$C281*Thresholds_Rates!$F$15,""))))))))</f>
        <v/>
      </c>
      <c r="L281" s="25" t="str">
        <f t="shared" si="33"/>
        <v/>
      </c>
      <c r="M281" s="25" t="str">
        <f t="shared" si="34"/>
        <v/>
      </c>
      <c r="N281" s="25" t="str">
        <f t="shared" si="35"/>
        <v/>
      </c>
      <c r="O281" s="25" t="str">
        <f t="shared" si="36"/>
        <v/>
      </c>
      <c r="P281" s="25" t="str">
        <f t="shared" si="37"/>
        <v/>
      </c>
    </row>
    <row r="282" spans="5:16" x14ac:dyDescent="0.25">
      <c r="E282" s="25" t="str">
        <f>IF($B282="","",IF(AND($B$4="Salary Points 3 to 57",B282&lt;Thresholds_Rates!$C$16),"-",IF(SUMIF(Grades!$A:$A,$B$4,Grades!$BO:$BO)=0,"-",IF(AND($B$4="Salary Points 3 to 57",B282&gt;=Thresholds_Rates!$C$16),$C282*Thresholds_Rates!$F$15,IF(AND(OR($B$4="New Consultant Contract"),$B282&lt;&gt;""),$C282*Thresholds_Rates!$F$15,IF(AND(OR($B$4="Clinical Lecturer / Medical Research Fellow",$B$4="Clinical Consultant - Old Contract (GP)"),$B282&lt;&gt;""),$C282*Thresholds_Rates!$F$15,IF(OR($B$4="APM Level 7",$B$4="R&amp;T Level 7"),$C282*Thresholds_Rates!$F$15,IF(SUMIF(Grades!$A:$A,$B$4,Grades!$BO:$BO)=1,$C282*Thresholds_Rates!$F$15,""))))))))</f>
        <v/>
      </c>
      <c r="L282" s="25" t="str">
        <f t="shared" si="33"/>
        <v/>
      </c>
      <c r="M282" s="25" t="str">
        <f t="shared" si="34"/>
        <v/>
      </c>
      <c r="N282" s="25" t="str">
        <f t="shared" si="35"/>
        <v/>
      </c>
      <c r="O282" s="25" t="str">
        <f t="shared" si="36"/>
        <v/>
      </c>
      <c r="P282" s="25" t="str">
        <f t="shared" si="37"/>
        <v/>
      </c>
    </row>
    <row r="283" spans="5:16" x14ac:dyDescent="0.25">
      <c r="E283" s="25" t="str">
        <f>IF($B283="","",IF(AND($B$4="Salary Points 3 to 57",B283&lt;Thresholds_Rates!$C$16),"-",IF(SUMIF(Grades!$A:$A,$B$4,Grades!$BO:$BO)=0,"-",IF(AND($B$4="Salary Points 3 to 57",B283&gt;=Thresholds_Rates!$C$16),$C283*Thresholds_Rates!$F$15,IF(AND(OR($B$4="New Consultant Contract"),$B283&lt;&gt;""),$C283*Thresholds_Rates!$F$15,IF(AND(OR($B$4="Clinical Lecturer / Medical Research Fellow",$B$4="Clinical Consultant - Old Contract (GP)"),$B283&lt;&gt;""),$C283*Thresholds_Rates!$F$15,IF(OR($B$4="APM Level 7",$B$4="R&amp;T Level 7"),$C283*Thresholds_Rates!$F$15,IF(SUMIF(Grades!$A:$A,$B$4,Grades!$BO:$BO)=1,$C283*Thresholds_Rates!$F$15,""))))))))</f>
        <v/>
      </c>
      <c r="L283" s="25" t="str">
        <f t="shared" si="33"/>
        <v/>
      </c>
      <c r="M283" s="25" t="str">
        <f t="shared" si="34"/>
        <v/>
      </c>
      <c r="N283" s="25" t="str">
        <f t="shared" si="35"/>
        <v/>
      </c>
      <c r="O283" s="25" t="str">
        <f t="shared" si="36"/>
        <v/>
      </c>
      <c r="P283" s="25" t="str">
        <f t="shared" si="37"/>
        <v/>
      </c>
    </row>
    <row r="284" spans="5:16" x14ac:dyDescent="0.25">
      <c r="E284" s="25" t="str">
        <f>IF($B284="","",IF(AND($B$4="Salary Points 3 to 57",B284&lt;Thresholds_Rates!$C$16),"-",IF(SUMIF(Grades!$A:$A,$B$4,Grades!$BO:$BO)=0,"-",IF(AND($B$4="Salary Points 3 to 57",B284&gt;=Thresholds_Rates!$C$16),$C284*Thresholds_Rates!$F$15,IF(AND(OR($B$4="New Consultant Contract"),$B284&lt;&gt;""),$C284*Thresholds_Rates!$F$15,IF(AND(OR($B$4="Clinical Lecturer / Medical Research Fellow",$B$4="Clinical Consultant - Old Contract (GP)"),$B284&lt;&gt;""),$C284*Thresholds_Rates!$F$15,IF(OR($B$4="APM Level 7",$B$4="R&amp;T Level 7"),$C284*Thresholds_Rates!$F$15,IF(SUMIF(Grades!$A:$A,$B$4,Grades!$BO:$BO)=1,$C284*Thresholds_Rates!$F$15,""))))))))</f>
        <v/>
      </c>
      <c r="L284" s="25" t="str">
        <f t="shared" si="33"/>
        <v/>
      </c>
      <c r="M284" s="25" t="str">
        <f t="shared" si="34"/>
        <v/>
      </c>
      <c r="N284" s="25" t="str">
        <f t="shared" si="35"/>
        <v/>
      </c>
      <c r="O284" s="25" t="str">
        <f t="shared" si="36"/>
        <v/>
      </c>
      <c r="P284" s="25" t="str">
        <f t="shared" si="37"/>
        <v/>
      </c>
    </row>
    <row r="285" spans="5:16" x14ac:dyDescent="0.25">
      <c r="E285" s="25" t="str">
        <f>IF($B285="","",IF(AND($B$4="Salary Points 3 to 57",B285&lt;Thresholds_Rates!$C$16),"-",IF(SUMIF(Grades!$A:$A,$B$4,Grades!$BO:$BO)=0,"-",IF(AND($B$4="Salary Points 3 to 57",B285&gt;=Thresholds_Rates!$C$16),$C285*Thresholds_Rates!$F$15,IF(AND(OR($B$4="New Consultant Contract"),$B285&lt;&gt;""),$C285*Thresholds_Rates!$F$15,IF(AND(OR($B$4="Clinical Lecturer / Medical Research Fellow",$B$4="Clinical Consultant - Old Contract (GP)"),$B285&lt;&gt;""),$C285*Thresholds_Rates!$F$15,IF(OR($B$4="APM Level 7",$B$4="R&amp;T Level 7"),$C285*Thresholds_Rates!$F$15,IF(SUMIF(Grades!$A:$A,$B$4,Grades!$BO:$BO)=1,$C285*Thresholds_Rates!$F$15,""))))))))</f>
        <v/>
      </c>
      <c r="L285" s="25" t="str">
        <f t="shared" si="33"/>
        <v/>
      </c>
      <c r="M285" s="25" t="str">
        <f t="shared" si="34"/>
        <v/>
      </c>
      <c r="N285" s="25" t="str">
        <f t="shared" si="35"/>
        <v/>
      </c>
      <c r="O285" s="25" t="str">
        <f t="shared" si="36"/>
        <v/>
      </c>
      <c r="P285" s="25" t="str">
        <f t="shared" si="37"/>
        <v/>
      </c>
    </row>
    <row r="286" spans="5:16" x14ac:dyDescent="0.25">
      <c r="E286" s="25" t="str">
        <f>IF($B286="","",IF(AND($B$4="Salary Points 3 to 57",B286&lt;Thresholds_Rates!$C$16),"-",IF(SUMIF(Grades!$A:$A,$B$4,Grades!$BO:$BO)=0,"-",IF(AND($B$4="Salary Points 3 to 57",B286&gt;=Thresholds_Rates!$C$16),$C286*Thresholds_Rates!$F$15,IF(AND(OR($B$4="New Consultant Contract"),$B286&lt;&gt;""),$C286*Thresholds_Rates!$F$15,IF(AND(OR($B$4="Clinical Lecturer / Medical Research Fellow",$B$4="Clinical Consultant - Old Contract (GP)"),$B286&lt;&gt;""),$C286*Thresholds_Rates!$F$15,IF(OR($B$4="APM Level 7",$B$4="R&amp;T Level 7"),$C286*Thresholds_Rates!$F$15,IF(SUMIF(Grades!$A:$A,$B$4,Grades!$BO:$BO)=1,$C286*Thresholds_Rates!$F$15,""))))))))</f>
        <v/>
      </c>
      <c r="L286" s="25" t="str">
        <f t="shared" si="33"/>
        <v/>
      </c>
      <c r="M286" s="25" t="str">
        <f t="shared" si="34"/>
        <v/>
      </c>
      <c r="N286" s="25" t="str">
        <f t="shared" si="35"/>
        <v/>
      </c>
      <c r="O286" s="25" t="str">
        <f t="shared" si="36"/>
        <v/>
      </c>
      <c r="P286" s="25" t="str">
        <f t="shared" si="37"/>
        <v/>
      </c>
    </row>
    <row r="287" spans="5:16" x14ac:dyDescent="0.25">
      <c r="E287" s="25" t="str">
        <f>IF($B287="","",IF(AND($B$4="Salary Points 3 to 57",B287&lt;Thresholds_Rates!$C$16),"-",IF(SUMIF(Grades!$A:$A,$B$4,Grades!$BO:$BO)=0,"-",IF(AND($B$4="Salary Points 3 to 57",B287&gt;=Thresholds_Rates!$C$16),$C287*Thresholds_Rates!$F$15,IF(AND(OR($B$4="New Consultant Contract"),$B287&lt;&gt;""),$C287*Thresholds_Rates!$F$15,IF(AND(OR($B$4="Clinical Lecturer / Medical Research Fellow",$B$4="Clinical Consultant - Old Contract (GP)"),$B287&lt;&gt;""),$C287*Thresholds_Rates!$F$15,IF(OR($B$4="APM Level 7",$B$4="R&amp;T Level 7"),$C287*Thresholds_Rates!$F$15,IF(SUMIF(Grades!$A:$A,$B$4,Grades!$BO:$BO)=1,$C287*Thresholds_Rates!$F$15,""))))))))</f>
        <v/>
      </c>
      <c r="L287" s="25" t="str">
        <f t="shared" si="33"/>
        <v/>
      </c>
      <c r="M287" s="25" t="str">
        <f t="shared" si="34"/>
        <v/>
      </c>
      <c r="N287" s="25" t="str">
        <f t="shared" si="35"/>
        <v/>
      </c>
      <c r="O287" s="25" t="str">
        <f t="shared" si="36"/>
        <v/>
      </c>
      <c r="P287" s="25" t="str">
        <f t="shared" si="37"/>
        <v/>
      </c>
    </row>
    <row r="288" spans="5:16" x14ac:dyDescent="0.25">
      <c r="E288" s="25" t="str">
        <f>IF($B288="","",IF(AND($B$4="Salary Points 3 to 57",B288&lt;Thresholds_Rates!$C$16),"-",IF(SUMIF(Grades!$A:$A,$B$4,Grades!$BO:$BO)=0,"-",IF(AND($B$4="Salary Points 3 to 57",B288&gt;=Thresholds_Rates!$C$16),$C288*Thresholds_Rates!$F$15,IF(AND(OR($B$4="New Consultant Contract"),$B288&lt;&gt;""),$C288*Thresholds_Rates!$F$15,IF(AND(OR($B$4="Clinical Lecturer / Medical Research Fellow",$B$4="Clinical Consultant - Old Contract (GP)"),$B288&lt;&gt;""),$C288*Thresholds_Rates!$F$15,IF(OR($B$4="APM Level 7",$B$4="R&amp;T Level 7"),$C288*Thresholds_Rates!$F$15,IF(SUMIF(Grades!$A:$A,$B$4,Grades!$BO:$BO)=1,$C288*Thresholds_Rates!$F$15,""))))))))</f>
        <v/>
      </c>
      <c r="L288" s="25" t="str">
        <f t="shared" si="33"/>
        <v/>
      </c>
      <c r="M288" s="25" t="str">
        <f t="shared" si="34"/>
        <v/>
      </c>
      <c r="N288" s="25" t="str">
        <f t="shared" si="35"/>
        <v/>
      </c>
      <c r="O288" s="25" t="str">
        <f t="shared" si="36"/>
        <v/>
      </c>
      <c r="P288" s="25" t="str">
        <f t="shared" si="37"/>
        <v/>
      </c>
    </row>
    <row r="289" spans="5:16" x14ac:dyDescent="0.25">
      <c r="E289" s="25" t="str">
        <f>IF($B289="","",IF(AND($B$4="Salary Points 3 to 57",B289&lt;Thresholds_Rates!$C$16),"-",IF(SUMIF(Grades!$A:$A,$B$4,Grades!$BO:$BO)=0,"-",IF(AND($B$4="Salary Points 3 to 57",B289&gt;=Thresholds_Rates!$C$16),$C289*Thresholds_Rates!$F$15,IF(AND(OR($B$4="New Consultant Contract"),$B289&lt;&gt;""),$C289*Thresholds_Rates!$F$15,IF(AND(OR($B$4="Clinical Lecturer / Medical Research Fellow",$B$4="Clinical Consultant - Old Contract (GP)"),$B289&lt;&gt;""),$C289*Thresholds_Rates!$F$15,IF(OR($B$4="APM Level 7",$B$4="R&amp;T Level 7"),$C289*Thresholds_Rates!$F$15,IF(SUMIF(Grades!$A:$A,$B$4,Grades!$BO:$BO)=1,$C289*Thresholds_Rates!$F$15,""))))))))</f>
        <v/>
      </c>
      <c r="L289" s="25" t="str">
        <f t="shared" si="33"/>
        <v/>
      </c>
      <c r="M289" s="25" t="str">
        <f t="shared" si="34"/>
        <v/>
      </c>
      <c r="N289" s="25" t="str">
        <f t="shared" si="35"/>
        <v/>
      </c>
      <c r="O289" s="25" t="str">
        <f t="shared" si="36"/>
        <v/>
      </c>
      <c r="P289" s="25" t="str">
        <f t="shared" si="37"/>
        <v/>
      </c>
    </row>
    <row r="290" spans="5:16" x14ac:dyDescent="0.25">
      <c r="E290" s="25" t="str">
        <f>IF($B290="","",IF(AND($B$4="Salary Points 3 to 57",B290&lt;Thresholds_Rates!$C$16),"-",IF(SUMIF(Grades!$A:$A,$B$4,Grades!$BO:$BO)=0,"-",IF(AND($B$4="Salary Points 3 to 57",B290&gt;=Thresholds_Rates!$C$16),$C290*Thresholds_Rates!$F$15,IF(AND(OR($B$4="New Consultant Contract"),$B290&lt;&gt;""),$C290*Thresholds_Rates!$F$15,IF(AND(OR($B$4="Clinical Lecturer / Medical Research Fellow",$B$4="Clinical Consultant - Old Contract (GP)"),$B290&lt;&gt;""),$C290*Thresholds_Rates!$F$15,IF(OR($B$4="APM Level 7",$B$4="R&amp;T Level 7"),$C290*Thresholds_Rates!$F$15,IF(SUMIF(Grades!$A:$A,$B$4,Grades!$BO:$BO)=1,$C290*Thresholds_Rates!$F$15,""))))))))</f>
        <v/>
      </c>
      <c r="L290" s="25" t="str">
        <f t="shared" si="33"/>
        <v/>
      </c>
      <c r="M290" s="25" t="str">
        <f t="shared" si="34"/>
        <v/>
      </c>
      <c r="N290" s="25" t="str">
        <f t="shared" si="35"/>
        <v/>
      </c>
      <c r="O290" s="25" t="str">
        <f t="shared" si="36"/>
        <v/>
      </c>
      <c r="P290" s="25" t="str">
        <f t="shared" si="37"/>
        <v/>
      </c>
    </row>
    <row r="291" spans="5:16" x14ac:dyDescent="0.25">
      <c r="E291" s="25" t="str">
        <f>IF($B291="","",IF(AND($B$4="Salary Points 3 to 57",B291&lt;Thresholds_Rates!$C$16),"-",IF(SUMIF(Grades!$A:$A,$B$4,Grades!$BO:$BO)=0,"-",IF(AND($B$4="Salary Points 3 to 57",B291&gt;=Thresholds_Rates!$C$16),$C291*Thresholds_Rates!$F$15,IF(AND(OR($B$4="New Consultant Contract"),$B291&lt;&gt;""),$C291*Thresholds_Rates!$F$15,IF(AND(OR($B$4="Clinical Lecturer / Medical Research Fellow",$B$4="Clinical Consultant - Old Contract (GP)"),$B291&lt;&gt;""),$C291*Thresholds_Rates!$F$15,IF(OR($B$4="APM Level 7",$B$4="R&amp;T Level 7"),$C291*Thresholds_Rates!$F$15,IF(SUMIF(Grades!$A:$A,$B$4,Grades!$BO:$BO)=1,$C291*Thresholds_Rates!$F$15,""))))))))</f>
        <v/>
      </c>
      <c r="L291" s="25" t="str">
        <f t="shared" si="33"/>
        <v/>
      </c>
      <c r="M291" s="25" t="str">
        <f t="shared" si="34"/>
        <v/>
      </c>
      <c r="N291" s="25" t="str">
        <f t="shared" si="35"/>
        <v/>
      </c>
      <c r="O291" s="25" t="str">
        <f t="shared" si="36"/>
        <v/>
      </c>
      <c r="P291" s="25" t="str">
        <f t="shared" si="37"/>
        <v/>
      </c>
    </row>
    <row r="292" spans="5:16" x14ac:dyDescent="0.25">
      <c r="E292" s="25" t="str">
        <f>IF($B292="","",IF(AND($B$4="Salary Points 3 to 57",B292&lt;Thresholds_Rates!$C$16),"-",IF(SUMIF(Grades!$A:$A,$B$4,Grades!$BO:$BO)=0,"-",IF(AND($B$4="Salary Points 3 to 57",B292&gt;=Thresholds_Rates!$C$16),$C292*Thresholds_Rates!$F$15,IF(AND(OR($B$4="New Consultant Contract"),$B292&lt;&gt;""),$C292*Thresholds_Rates!$F$15,IF(AND(OR($B$4="Clinical Lecturer / Medical Research Fellow",$B$4="Clinical Consultant - Old Contract (GP)"),$B292&lt;&gt;""),$C292*Thresholds_Rates!$F$15,IF(OR($B$4="APM Level 7",$B$4="R&amp;T Level 7"),$C292*Thresholds_Rates!$F$15,IF(SUMIF(Grades!$A:$A,$B$4,Grades!$BO:$BO)=1,$C292*Thresholds_Rates!$F$15,""))))))))</f>
        <v/>
      </c>
      <c r="L292" s="25" t="str">
        <f t="shared" si="33"/>
        <v/>
      </c>
      <c r="M292" s="25" t="str">
        <f t="shared" si="34"/>
        <v/>
      </c>
      <c r="N292" s="25" t="str">
        <f t="shared" si="35"/>
        <v/>
      </c>
      <c r="O292" s="25" t="str">
        <f t="shared" si="36"/>
        <v/>
      </c>
      <c r="P292" s="25" t="str">
        <f t="shared" si="37"/>
        <v/>
      </c>
    </row>
    <row r="293" spans="5:16" x14ac:dyDescent="0.25">
      <c r="E293" s="25" t="str">
        <f>IF($B293="","",IF(AND($B$4="Salary Points 3 to 57",B293&lt;Thresholds_Rates!$C$16),"-",IF(SUMIF(Grades!$A:$A,$B$4,Grades!$BO:$BO)=0,"-",IF(AND($B$4="Salary Points 3 to 57",B293&gt;=Thresholds_Rates!$C$16),$C293*Thresholds_Rates!$F$15,IF(AND(OR($B$4="New Consultant Contract"),$B293&lt;&gt;""),$C293*Thresholds_Rates!$F$15,IF(AND(OR($B$4="Clinical Lecturer / Medical Research Fellow",$B$4="Clinical Consultant - Old Contract (GP)"),$B293&lt;&gt;""),$C293*Thresholds_Rates!$F$15,IF(OR($B$4="APM Level 7",$B$4="R&amp;T Level 7"),$C293*Thresholds_Rates!$F$15,IF(SUMIF(Grades!$A:$A,$B$4,Grades!$BO:$BO)=1,$C293*Thresholds_Rates!$F$15,""))))))))</f>
        <v/>
      </c>
      <c r="L293" s="25" t="str">
        <f t="shared" si="33"/>
        <v/>
      </c>
      <c r="M293" s="25" t="str">
        <f t="shared" si="34"/>
        <v/>
      </c>
      <c r="N293" s="25" t="str">
        <f t="shared" si="35"/>
        <v/>
      </c>
      <c r="O293" s="25" t="str">
        <f t="shared" si="36"/>
        <v/>
      </c>
      <c r="P293" s="25" t="str">
        <f t="shared" si="37"/>
        <v/>
      </c>
    </row>
    <row r="294" spans="5:16" x14ac:dyDescent="0.25">
      <c r="E294" s="25" t="str">
        <f>IF($B294="","",IF(AND($B$4="Salary Points 3 to 57",B294&lt;Thresholds_Rates!$C$16),"-",IF(SUMIF(Grades!$A:$A,$B$4,Grades!$BO:$BO)=0,"-",IF(AND($B$4="Salary Points 3 to 57",B294&gt;=Thresholds_Rates!$C$16),$C294*Thresholds_Rates!$F$15,IF(AND(OR($B$4="New Consultant Contract"),$B294&lt;&gt;""),$C294*Thresholds_Rates!$F$15,IF(AND(OR($B$4="Clinical Lecturer / Medical Research Fellow",$B$4="Clinical Consultant - Old Contract (GP)"),$B294&lt;&gt;""),$C294*Thresholds_Rates!$F$15,IF(OR($B$4="APM Level 7",$B$4="R&amp;T Level 7"),$C294*Thresholds_Rates!$F$15,IF(SUMIF(Grades!$A:$A,$B$4,Grades!$BO:$BO)=1,$C294*Thresholds_Rates!$F$15,""))))))))</f>
        <v/>
      </c>
      <c r="L294" s="25" t="str">
        <f t="shared" si="33"/>
        <v/>
      </c>
      <c r="M294" s="25" t="str">
        <f t="shared" si="34"/>
        <v/>
      </c>
      <c r="N294" s="25" t="str">
        <f t="shared" si="35"/>
        <v/>
      </c>
      <c r="O294" s="25" t="str">
        <f t="shared" si="36"/>
        <v/>
      </c>
      <c r="P294" s="25" t="str">
        <f t="shared" si="37"/>
        <v/>
      </c>
    </row>
    <row r="295" spans="5:16" x14ac:dyDescent="0.25">
      <c r="E295" s="25" t="str">
        <f>IF($B295="","",IF(AND($B$4="Salary Points 3 to 57",B295&lt;Thresholds_Rates!$C$16),"-",IF(SUMIF(Grades!$A:$A,$B$4,Grades!$BO:$BO)=0,"-",IF(AND($B$4="Salary Points 3 to 57",B295&gt;=Thresholds_Rates!$C$16),$C295*Thresholds_Rates!$F$15,IF(AND(OR($B$4="New Consultant Contract"),$B295&lt;&gt;""),$C295*Thresholds_Rates!$F$15,IF(AND(OR($B$4="Clinical Lecturer / Medical Research Fellow",$B$4="Clinical Consultant - Old Contract (GP)"),$B295&lt;&gt;""),$C295*Thresholds_Rates!$F$15,IF(OR($B$4="APM Level 7",$B$4="R&amp;T Level 7"),$C295*Thresholds_Rates!$F$15,IF(SUMIF(Grades!$A:$A,$B$4,Grades!$BO:$BO)=1,$C295*Thresholds_Rates!$F$15,""))))))))</f>
        <v/>
      </c>
      <c r="L295" s="25" t="str">
        <f t="shared" si="33"/>
        <v/>
      </c>
      <c r="M295" s="25" t="str">
        <f t="shared" si="34"/>
        <v/>
      </c>
      <c r="N295" s="25" t="str">
        <f t="shared" si="35"/>
        <v/>
      </c>
      <c r="O295" s="25" t="str">
        <f t="shared" si="36"/>
        <v/>
      </c>
      <c r="P295" s="25" t="str">
        <f t="shared" si="37"/>
        <v/>
      </c>
    </row>
    <row r="296" spans="5:16" x14ac:dyDescent="0.25">
      <c r="L296" s="25" t="str">
        <f t="shared" si="33"/>
        <v/>
      </c>
      <c r="M296" s="25" t="str">
        <f t="shared" si="34"/>
        <v/>
      </c>
      <c r="N296" s="25" t="str">
        <f t="shared" si="35"/>
        <v/>
      </c>
      <c r="O296" s="25" t="str">
        <f t="shared" si="36"/>
        <v/>
      </c>
      <c r="P296" s="25" t="str">
        <f t="shared" si="37"/>
        <v/>
      </c>
    </row>
    <row r="297" spans="5:16" x14ac:dyDescent="0.25">
      <c r="L297" s="25" t="str">
        <f t="shared" si="33"/>
        <v/>
      </c>
      <c r="M297" s="25" t="str">
        <f t="shared" si="34"/>
        <v/>
      </c>
      <c r="N297" s="25" t="str">
        <f t="shared" si="35"/>
        <v/>
      </c>
      <c r="O297" s="25" t="str">
        <f t="shared" si="36"/>
        <v/>
      </c>
      <c r="P297" s="25" t="str">
        <f t="shared" si="37"/>
        <v/>
      </c>
    </row>
    <row r="298" spans="5:16" x14ac:dyDescent="0.25">
      <c r="L298" s="25" t="str">
        <f t="shared" si="33"/>
        <v/>
      </c>
      <c r="M298" s="25" t="str">
        <f t="shared" si="34"/>
        <v/>
      </c>
      <c r="N298" s="25" t="str">
        <f t="shared" si="35"/>
        <v/>
      </c>
      <c r="O298" s="25" t="str">
        <f t="shared" si="36"/>
        <v/>
      </c>
      <c r="P298" s="25" t="str">
        <f t="shared" si="37"/>
        <v/>
      </c>
    </row>
    <row r="299" spans="5:16" x14ac:dyDescent="0.25">
      <c r="L299" s="25" t="str">
        <f t="shared" si="33"/>
        <v/>
      </c>
      <c r="M299" s="25" t="str">
        <f t="shared" si="34"/>
        <v/>
      </c>
      <c r="N299" s="25" t="str">
        <f t="shared" si="35"/>
        <v/>
      </c>
      <c r="O299" s="25" t="str">
        <f t="shared" si="36"/>
        <v/>
      </c>
      <c r="P299" s="25" t="str">
        <f t="shared" si="37"/>
        <v/>
      </c>
    </row>
    <row r="300" spans="5:16" x14ac:dyDescent="0.25">
      <c r="L300" s="25" t="str">
        <f t="shared" si="33"/>
        <v/>
      </c>
      <c r="M300" s="25" t="str">
        <f t="shared" si="34"/>
        <v/>
      </c>
      <c r="N300" s="25" t="str">
        <f t="shared" si="35"/>
        <v/>
      </c>
      <c r="O300" s="25" t="str">
        <f t="shared" si="36"/>
        <v/>
      </c>
      <c r="P300" s="25" t="str">
        <f t="shared" si="37"/>
        <v/>
      </c>
    </row>
    <row r="301" spans="5:16" x14ac:dyDescent="0.25">
      <c r="L301" s="25" t="str">
        <f t="shared" si="33"/>
        <v/>
      </c>
      <c r="M301" s="25" t="str">
        <f t="shared" si="34"/>
        <v/>
      </c>
      <c r="N301" s="25" t="str">
        <f t="shared" si="35"/>
        <v/>
      </c>
      <c r="O301" s="25" t="str">
        <f t="shared" si="36"/>
        <v/>
      </c>
      <c r="P301" s="25" t="str">
        <f t="shared" si="37"/>
        <v/>
      </c>
    </row>
    <row r="302" spans="5:16" x14ac:dyDescent="0.25">
      <c r="L302" s="25" t="str">
        <f t="shared" si="33"/>
        <v/>
      </c>
      <c r="M302" s="25" t="str">
        <f t="shared" si="34"/>
        <v/>
      </c>
      <c r="N302" s="25" t="str">
        <f t="shared" si="35"/>
        <v/>
      </c>
      <c r="O302" s="25" t="str">
        <f t="shared" si="36"/>
        <v/>
      </c>
      <c r="P302" s="25" t="str">
        <f t="shared" si="37"/>
        <v/>
      </c>
    </row>
    <row r="303" spans="5:16" x14ac:dyDescent="0.25">
      <c r="L303" s="25" t="str">
        <f t="shared" si="33"/>
        <v/>
      </c>
      <c r="M303" s="25" t="str">
        <f t="shared" si="34"/>
        <v/>
      </c>
      <c r="N303" s="25" t="str">
        <f t="shared" si="35"/>
        <v/>
      </c>
      <c r="O303" s="25" t="str">
        <f t="shared" si="36"/>
        <v/>
      </c>
      <c r="P303" s="25" t="str">
        <f t="shared" si="37"/>
        <v/>
      </c>
    </row>
  </sheetData>
  <sheetProtection password="CCB2" sheet="1" objects="1" scenarios="1"/>
  <mergeCells count="9">
    <mergeCell ref="B1:J2"/>
    <mergeCell ref="T7:U7"/>
    <mergeCell ref="L7:P7"/>
    <mergeCell ref="R7:S7"/>
    <mergeCell ref="E7:J7"/>
    <mergeCell ref="B4:C4"/>
    <mergeCell ref="L2:Q2"/>
    <mergeCell ref="B7:C7"/>
    <mergeCell ref="E4:I4"/>
  </mergeCells>
  <conditionalFormatting sqref="R7:U8">
    <cfRule type="expression" dxfId="13" priority="13">
      <formula>$R$8&lt;&gt;""</formula>
    </cfRule>
  </conditionalFormatting>
  <conditionalFormatting sqref="B9:P11">
    <cfRule type="expression" dxfId="12" priority="7">
      <formula>$B$5="Y"</formula>
    </cfRule>
    <cfRule type="containsBlanks" priority="1" stopIfTrue="1">
      <formula>LEN(TRIM(B9))=0</formula>
    </cfRule>
  </conditionalFormatting>
  <conditionalFormatting sqref="B7:C7">
    <cfRule type="expression" dxfId="11" priority="6">
      <formula>$B$5="Y"</formula>
    </cfRule>
  </conditionalFormatting>
  <dataValidations count="1">
    <dataValidation type="list" allowBlank="1" showInputMessage="1" showErrorMessage="1" sqref="B4:C4">
      <formula1>LIST</formula1>
    </dataValidation>
  </dataValidations>
  <printOptions horizontalCentered="1"/>
  <pageMargins left="0.23622047244094491" right="0.23622047244094491" top="0.74803149606299213" bottom="0.39370078740157483" header="0.27559055118110237" footer="0.31496062992125984"/>
  <pageSetup paperSize="9" scale="65" orientation="landscape" r:id="rId1"/>
  <headerFooter>
    <oddHeader>&amp;C&amp;"-,Bold"&amp;20Pay Award Date: 01/08/2017 (01/04/2017 for Clinical Grades)
National Insurance: 2017/18 Tax Year</oddHeader>
    <oddFooter>&amp;CVersion 1, last changed 10/01/2018</oddFooter>
  </headerFooter>
  <extLst>
    <ext xmlns:x14="http://schemas.microsoft.com/office/spreadsheetml/2009/9/main" uri="{78C0D931-6437-407d-A8EE-F0AAD7539E65}">
      <x14:conditionalFormattings>
        <x14:conditionalFormatting xmlns:xm="http://schemas.microsoft.com/office/excel/2006/main">
          <x14:cfRule type="expression" priority="25" id="{6B5B06B3-D9FA-4CC9-92C4-BB3B587251A8}">
            <xm:f>$B9=Thresholds_Rates!$C$15</xm:f>
            <x14:dxf>
              <font>
                <b/>
                <i val="0"/>
              </font>
              <fill>
                <patternFill>
                  <bgColor rgb="FFFFC000"/>
                </patternFill>
              </fill>
              <border>
                <left/>
                <right/>
                <top/>
                <bottom/>
                <vertical/>
                <horizontal/>
              </border>
            </x14:dxf>
          </x14:cfRule>
          <xm:sqref>L174:P303 E174:E295 B9:P173</xm:sqref>
        </x14:conditionalFormatting>
        <x14:conditionalFormatting xmlns:xm="http://schemas.microsoft.com/office/excel/2006/main">
          <x14:cfRule type="expression" priority="28" id="{7A1CD022-C5B3-4A9F-B822-D53F5F12A0AE}">
            <xm:f>AND(Thresholds_Rates!$C$15=0,$B$4&lt;&gt;"O&amp;F Level 1",$B$4&lt;&gt;"O&amp;F Level 2")</xm:f>
            <x14:dxf>
              <numFmt numFmtId="0" formatCode="General"/>
              <fill>
                <patternFill patternType="none">
                  <bgColor auto="1"/>
                </patternFill>
              </fill>
              <border>
                <left/>
                <right/>
                <top/>
                <bottom/>
                <vertical/>
                <horizontal/>
              </border>
            </x14:dxf>
          </x14:cfRule>
          <xm:sqref>E4</xm:sqref>
        </x14:conditionalFormatting>
        <x14:conditionalFormatting xmlns:xm="http://schemas.microsoft.com/office/excel/2006/main">
          <x14:cfRule type="expression" priority="29" id="{ABE4A44D-BD52-4335-A3FD-5FCEE129207B}">
            <xm:f>AND($B9=Thresholds_Rates!$C$15,$R$8&lt;&gt;"")</xm:f>
            <x14:dxf>
              <font>
                <b/>
                <i val="0"/>
              </font>
              <fill>
                <patternFill>
                  <bgColor rgb="FFFFC000"/>
                </patternFill>
              </fill>
            </x14:dxf>
          </x14:cfRule>
          <xm:sqref>Q9:U173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8"/>
  <sheetViews>
    <sheetView showGridLines="0" zoomScale="115" zoomScaleNormal="115" workbookViewId="0">
      <selection activeCell="B33" sqref="B33"/>
    </sheetView>
  </sheetViews>
  <sheetFormatPr defaultColWidth="9.140625" defaultRowHeight="15" x14ac:dyDescent="0.25"/>
  <cols>
    <col min="2" max="2" width="24.42578125" bestFit="1" customWidth="1"/>
    <col min="3" max="3" width="9.140625" style="82" customWidth="1"/>
  </cols>
  <sheetData>
    <row r="2" spans="2:6" x14ac:dyDescent="0.25">
      <c r="B2" s="80" t="s">
        <v>100</v>
      </c>
      <c r="C2" s="94">
        <v>2017</v>
      </c>
      <c r="D2" t="s">
        <v>101</v>
      </c>
    </row>
    <row r="3" spans="2:6" x14ac:dyDescent="0.25">
      <c r="C3" s="95"/>
    </row>
    <row r="4" spans="2:6" x14ac:dyDescent="0.25">
      <c r="B4" s="81" t="s">
        <v>95</v>
      </c>
      <c r="C4" s="96">
        <v>490</v>
      </c>
    </row>
    <row r="5" spans="2:6" x14ac:dyDescent="0.25">
      <c r="B5" s="81" t="s">
        <v>96</v>
      </c>
      <c r="C5" s="94">
        <v>680</v>
      </c>
    </row>
    <row r="6" spans="2:6" x14ac:dyDescent="0.25">
      <c r="B6" s="81" t="s">
        <v>98</v>
      </c>
      <c r="C6" s="94">
        <v>680</v>
      </c>
    </row>
    <row r="7" spans="2:6" x14ac:dyDescent="0.25">
      <c r="B7" s="81" t="s">
        <v>97</v>
      </c>
      <c r="C7" s="94">
        <v>3750</v>
      </c>
    </row>
    <row r="8" spans="2:6" x14ac:dyDescent="0.25">
      <c r="B8" s="81" t="s">
        <v>93</v>
      </c>
      <c r="C8" s="83">
        <v>0</v>
      </c>
    </row>
    <row r="9" spans="2:6" x14ac:dyDescent="0.25">
      <c r="B9" s="81" t="s">
        <v>99</v>
      </c>
      <c r="C9" s="83">
        <v>0.13800000000000001</v>
      </c>
      <c r="D9" s="79"/>
    </row>
    <row r="10" spans="2:6" x14ac:dyDescent="0.25">
      <c r="B10" s="81" t="s">
        <v>94</v>
      </c>
      <c r="C10" s="83">
        <v>0.13800000000000001</v>
      </c>
    </row>
    <row r="12" spans="2:6" x14ac:dyDescent="0.25">
      <c r="B12" s="109" t="s">
        <v>136</v>
      </c>
      <c r="C12" s="137">
        <v>5.0000000000000001E-3</v>
      </c>
    </row>
    <row r="14" spans="2:6" x14ac:dyDescent="0.25">
      <c r="E14" s="80" t="s">
        <v>126</v>
      </c>
      <c r="F14" s="80"/>
    </row>
    <row r="15" spans="2:6" x14ac:dyDescent="0.25">
      <c r="B15" s="109" t="s">
        <v>10</v>
      </c>
      <c r="C15" s="109">
        <f>IF(Rates!$B$4="","",SUMIF(Grades!$A:$A,Rates!$B$4,Grades!$BI:$BI))</f>
        <v>0</v>
      </c>
      <c r="D15" s="26"/>
      <c r="E15" s="110" t="s">
        <v>122</v>
      </c>
      <c r="F15" s="111">
        <v>0.18</v>
      </c>
    </row>
    <row r="16" spans="2:6" x14ac:dyDescent="0.25">
      <c r="B16" s="110" t="s">
        <v>121</v>
      </c>
      <c r="C16" s="111">
        <v>23</v>
      </c>
      <c r="D16" s="34"/>
      <c r="E16" s="110" t="s">
        <v>123</v>
      </c>
      <c r="F16" s="111">
        <v>0.14299999999999999</v>
      </c>
    </row>
    <row r="17" spans="2:6" x14ac:dyDescent="0.25">
      <c r="B17" s="109" t="s">
        <v>46</v>
      </c>
      <c r="C17" s="111">
        <v>30</v>
      </c>
      <c r="D17" s="26"/>
      <c r="E17" s="110" t="s">
        <v>124</v>
      </c>
      <c r="F17" s="111">
        <v>0.39</v>
      </c>
    </row>
    <row r="18" spans="2:6" x14ac:dyDescent="0.25">
      <c r="B18" s="109" t="s">
        <v>11</v>
      </c>
      <c r="C18" s="109">
        <f>IF(Rates!$B$4="","",SUMIF(Grades!$A:$A,Rates!$B$4,Grades!$BJ:$BJ))</f>
        <v>0</v>
      </c>
      <c r="D18" s="26"/>
      <c r="E18" s="110" t="s">
        <v>125</v>
      </c>
      <c r="F18" s="111">
        <v>0.1</v>
      </c>
    </row>
  </sheetData>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4"/>
  <sheetViews>
    <sheetView showGridLines="0" zoomScale="70" zoomScaleNormal="70" workbookViewId="0">
      <selection activeCell="H20" sqref="H20"/>
    </sheetView>
  </sheetViews>
  <sheetFormatPr defaultColWidth="9.140625" defaultRowHeight="15" x14ac:dyDescent="0.25"/>
  <cols>
    <col min="1" max="1" width="1.7109375" style="8" customWidth="1"/>
    <col min="2" max="2" width="9.140625" style="8" customWidth="1"/>
    <col min="3" max="3" width="13.28515625" style="8" bestFit="1" customWidth="1"/>
    <col min="4" max="4" width="1.42578125" style="1" customWidth="1"/>
    <col min="5" max="6" width="4.7109375" style="1" customWidth="1"/>
    <col min="7" max="7" width="4.7109375" style="8" customWidth="1"/>
    <col min="8" max="8" width="19.5703125" style="8" customWidth="1"/>
    <col min="9" max="10" width="9.140625" style="8" customWidth="1"/>
    <col min="11" max="11" width="19.5703125" style="8" customWidth="1"/>
    <col min="12" max="14" width="4.7109375" style="8" customWidth="1"/>
    <col min="15" max="15" width="1.140625" style="56" customWidth="1"/>
    <col min="16" max="16" width="12.85546875" style="8" customWidth="1"/>
    <col min="17" max="17" width="5.5703125" style="8" customWidth="1"/>
    <col min="18" max="18" width="1.5703125" style="8" customWidth="1"/>
    <col min="19" max="19" width="13.28515625" style="8" bestFit="1" customWidth="1"/>
    <col min="20" max="20" width="9.140625" style="8" customWidth="1"/>
    <col min="21" max="16384" width="9.140625" style="8"/>
  </cols>
  <sheetData>
    <row r="1" spans="1:20" x14ac:dyDescent="0.25">
      <c r="A1" s="160" t="s">
        <v>140</v>
      </c>
      <c r="B1" s="161"/>
      <c r="C1" s="161"/>
      <c r="D1" s="161"/>
      <c r="E1" s="161"/>
      <c r="F1" s="161"/>
      <c r="G1" s="161"/>
      <c r="H1" s="161"/>
      <c r="I1" s="161"/>
      <c r="J1" s="161"/>
      <c r="K1" s="161"/>
      <c r="L1" s="161"/>
      <c r="M1" s="161"/>
      <c r="N1" s="161"/>
      <c r="O1" s="161"/>
      <c r="P1" s="161"/>
      <c r="Q1" s="161"/>
      <c r="R1" s="161"/>
      <c r="S1" s="161"/>
      <c r="T1" s="162"/>
    </row>
    <row r="2" spans="1:20" x14ac:dyDescent="0.25">
      <c r="A2" s="163"/>
      <c r="B2" s="164"/>
      <c r="C2" s="164"/>
      <c r="D2" s="164"/>
      <c r="E2" s="164"/>
      <c r="F2" s="164"/>
      <c r="G2" s="164"/>
      <c r="H2" s="164"/>
      <c r="I2" s="164"/>
      <c r="J2" s="164"/>
      <c r="K2" s="164"/>
      <c r="L2" s="164"/>
      <c r="M2" s="164"/>
      <c r="N2" s="164"/>
      <c r="O2" s="164"/>
      <c r="P2" s="164"/>
      <c r="Q2" s="164"/>
      <c r="R2" s="164"/>
      <c r="S2" s="164"/>
      <c r="T2" s="165"/>
    </row>
    <row r="3" spans="1:20" x14ac:dyDescent="0.25">
      <c r="H3" s="104" t="s">
        <v>119</v>
      </c>
    </row>
    <row r="4" spans="1:20" x14ac:dyDescent="0.25">
      <c r="H4" s="104" t="s">
        <v>138</v>
      </c>
    </row>
    <row r="5" spans="1:20" ht="18.75" x14ac:dyDescent="0.25">
      <c r="H5" s="131" t="s">
        <v>147</v>
      </c>
    </row>
    <row r="6" spans="1:20" s="11" customFormat="1" ht="35.1" customHeight="1" x14ac:dyDescent="0.25">
      <c r="I6" s="41" t="s">
        <v>83</v>
      </c>
      <c r="J6" s="42" t="s">
        <v>1</v>
      </c>
      <c r="O6" s="43"/>
    </row>
    <row r="7" spans="1:20" ht="24" customHeight="1" x14ac:dyDescent="0.25">
      <c r="H7" s="201" t="s">
        <v>82</v>
      </c>
      <c r="I7" s="101">
        <v>2</v>
      </c>
      <c r="J7" s="102">
        <f>SUMIF(Points_Lookup!$A:$A,I7,Points_Lookup!$B:$B)</f>
        <v>15417</v>
      </c>
      <c r="K7" s="135"/>
      <c r="L7" s="195" t="s">
        <v>104</v>
      </c>
      <c r="M7" s="198" t="s">
        <v>103</v>
      </c>
      <c r="N7" s="11"/>
      <c r="O7" s="47"/>
    </row>
    <row r="8" spans="1:20" ht="24" customHeight="1" x14ac:dyDescent="0.25">
      <c r="H8" s="202"/>
      <c r="I8" s="132">
        <v>3</v>
      </c>
      <c r="J8" s="133">
        <f>SUMIF(Points_Lookup!$A:$A,I8,Points_Lookup!$B:$B)</f>
        <v>15721</v>
      </c>
      <c r="K8" s="136" t="s">
        <v>134</v>
      </c>
      <c r="L8" s="196"/>
      <c r="M8" s="199"/>
      <c r="N8" s="103"/>
      <c r="O8" s="47"/>
      <c r="P8" s="106" t="s">
        <v>105</v>
      </c>
    </row>
    <row r="9" spans="1:20" ht="24" customHeight="1" x14ac:dyDescent="0.25">
      <c r="H9" s="202"/>
      <c r="I9" s="132">
        <v>4</v>
      </c>
      <c r="J9" s="133">
        <f>SUMIF(Points_Lookup!$A:$A,I9,Points_Lookup!$B:$B)</f>
        <v>16035</v>
      </c>
      <c r="K9" s="136" t="s">
        <v>134</v>
      </c>
      <c r="L9" s="196"/>
      <c r="M9" s="199"/>
      <c r="N9" s="103"/>
      <c r="O9" s="47"/>
      <c r="P9" s="106" t="s">
        <v>106</v>
      </c>
    </row>
    <row r="10" spans="1:20" ht="24" customHeight="1" x14ac:dyDescent="0.25">
      <c r="H10" s="202"/>
      <c r="I10" s="132">
        <v>5</v>
      </c>
      <c r="J10" s="133">
        <f>SUMIF(Points_Lookup!$A:$A,I10,Points_Lookup!$B:$B)</f>
        <v>16341</v>
      </c>
      <c r="K10" s="136" t="s">
        <v>134</v>
      </c>
      <c r="L10" s="196"/>
      <c r="M10" s="199"/>
      <c r="N10" s="103"/>
      <c r="O10" s="47"/>
      <c r="P10" s="106" t="s">
        <v>107</v>
      </c>
    </row>
    <row r="11" spans="1:20" ht="24" customHeight="1" x14ac:dyDescent="0.25">
      <c r="H11" s="203"/>
      <c r="I11" s="44">
        <v>6</v>
      </c>
      <c r="J11" s="45">
        <f>SUMIF(Points_Lookup!$A:$A,I11,Points_Lookup!$B:$B)</f>
        <v>16654</v>
      </c>
      <c r="K11" s="76" t="s">
        <v>84</v>
      </c>
      <c r="L11" s="196"/>
      <c r="M11" s="199"/>
      <c r="N11" s="103"/>
      <c r="O11" s="47"/>
      <c r="P11" s="106" t="s">
        <v>108</v>
      </c>
    </row>
    <row r="12" spans="1:20" ht="24" customHeight="1" x14ac:dyDescent="0.25">
      <c r="I12" s="44">
        <v>7</v>
      </c>
      <c r="J12" s="45">
        <f>SUMIF(Points_Lookup!$A:$A,I12,Points_Lookup!$B:$B)</f>
        <v>16983</v>
      </c>
      <c r="K12" s="48"/>
      <c r="L12" s="196"/>
      <c r="M12" s="199"/>
      <c r="N12" s="103"/>
      <c r="O12" s="47"/>
      <c r="P12" s="106" t="s">
        <v>109</v>
      </c>
    </row>
    <row r="13" spans="1:20" ht="24" customHeight="1" x14ac:dyDescent="0.25">
      <c r="I13" s="44">
        <v>8</v>
      </c>
      <c r="J13" s="45">
        <f>SUMIF(Points_Lookup!$A:$A,I13,Points_Lookup!$B:$B)</f>
        <v>17326</v>
      </c>
      <c r="K13" s="48"/>
      <c r="L13" s="196"/>
      <c r="M13" s="199"/>
      <c r="N13" s="103"/>
      <c r="O13" s="47"/>
      <c r="P13" s="107"/>
    </row>
    <row r="14" spans="1:20" ht="24" customHeight="1" x14ac:dyDescent="0.25">
      <c r="F14" s="175" t="s">
        <v>81</v>
      </c>
      <c r="G14" s="179" t="s">
        <v>80</v>
      </c>
      <c r="H14" s="49"/>
      <c r="I14" s="44">
        <v>9</v>
      </c>
      <c r="J14" s="45">
        <f>SUMIF(Points_Lookup!$A:$A,I14,Points_Lookup!$B:$B)</f>
        <v>17764</v>
      </c>
      <c r="K14" s="48"/>
      <c r="L14" s="196"/>
      <c r="M14" s="199"/>
      <c r="N14" s="103"/>
      <c r="O14" s="47"/>
      <c r="P14" s="107"/>
      <c r="R14" s="50"/>
      <c r="S14" s="51"/>
      <c r="T14" s="189" t="s">
        <v>79</v>
      </c>
    </row>
    <row r="15" spans="1:20" ht="24" customHeight="1" x14ac:dyDescent="0.25">
      <c r="F15" s="175"/>
      <c r="G15" s="179"/>
      <c r="H15" s="52"/>
      <c r="I15" s="44">
        <v>10</v>
      </c>
      <c r="J15" s="45">
        <f>SUMIF(Points_Lookup!$A:$A,I15,Points_Lookup!$B:$B)</f>
        <v>18263</v>
      </c>
      <c r="K15" s="48"/>
      <c r="L15" s="196"/>
      <c r="M15" s="199"/>
      <c r="N15" s="103"/>
      <c r="O15" s="47"/>
      <c r="P15" s="106" t="s">
        <v>110</v>
      </c>
      <c r="R15" s="53"/>
      <c r="S15" s="54"/>
      <c r="T15" s="190"/>
    </row>
    <row r="16" spans="1:20" ht="24" customHeight="1" x14ac:dyDescent="0.25">
      <c r="F16" s="175"/>
      <c r="G16" s="179"/>
      <c r="H16" s="52"/>
      <c r="I16" s="44">
        <v>11</v>
      </c>
      <c r="J16" s="45">
        <f>SUMIF(Points_Lookup!$A:$A,I16,Points_Lookup!$B:$B)</f>
        <v>18777</v>
      </c>
      <c r="K16" s="48"/>
      <c r="L16" s="196"/>
      <c r="M16" s="199"/>
      <c r="N16" s="103"/>
      <c r="O16" s="47"/>
      <c r="P16" s="107"/>
      <c r="R16" s="53"/>
      <c r="S16" s="54"/>
      <c r="T16" s="190"/>
    </row>
    <row r="17" spans="2:20" ht="24" customHeight="1" x14ac:dyDescent="0.25">
      <c r="F17" s="175"/>
      <c r="G17" s="179"/>
      <c r="H17" s="52"/>
      <c r="I17" s="44">
        <v>12</v>
      </c>
      <c r="J17" s="45">
        <f>SUMIF(Points_Lookup!$A:$A,I17,Points_Lookup!$B:$B)</f>
        <v>19305</v>
      </c>
      <c r="K17" s="55"/>
      <c r="L17" s="197"/>
      <c r="M17" s="200"/>
      <c r="N17" s="103"/>
      <c r="O17" s="47"/>
      <c r="P17" s="107"/>
      <c r="R17" s="187" t="s">
        <v>10</v>
      </c>
      <c r="S17" s="188"/>
      <c r="T17" s="190"/>
    </row>
    <row r="18" spans="2:20" ht="24" customHeight="1" x14ac:dyDescent="0.25">
      <c r="F18" s="175"/>
      <c r="G18" s="179"/>
      <c r="H18" s="52"/>
      <c r="I18" s="44">
        <v>13</v>
      </c>
      <c r="J18" s="45">
        <f>SUMIF(Points_Lookup!$A:$A,I18,Points_Lookup!$B:$B)</f>
        <v>19850</v>
      </c>
      <c r="P18" s="107"/>
      <c r="R18" s="53"/>
      <c r="S18" s="54"/>
      <c r="T18" s="190"/>
    </row>
    <row r="19" spans="2:20" ht="24" customHeight="1" x14ac:dyDescent="0.25">
      <c r="F19" s="175"/>
      <c r="G19" s="179"/>
      <c r="H19" s="52"/>
      <c r="I19" s="44">
        <v>14</v>
      </c>
      <c r="J19" s="45">
        <f>SUMIF(Points_Lookup!$A:$A,I19,Points_Lookup!$B:$B)</f>
        <v>20411</v>
      </c>
      <c r="P19" s="107"/>
      <c r="R19" s="53"/>
      <c r="S19" s="54"/>
      <c r="T19" s="190"/>
    </row>
    <row r="20" spans="2:20" ht="24" customHeight="1" x14ac:dyDescent="0.25">
      <c r="F20" s="175"/>
      <c r="G20" s="179"/>
      <c r="H20" s="76" t="s">
        <v>85</v>
      </c>
      <c r="I20" s="44">
        <v>15</v>
      </c>
      <c r="J20" s="45">
        <f>SUMIF(Points_Lookup!$A:$A,I20,Points_Lookup!$B:$B)</f>
        <v>20989</v>
      </c>
      <c r="P20" s="106" t="s">
        <v>111</v>
      </c>
      <c r="R20" s="57"/>
      <c r="S20" s="58"/>
      <c r="T20" s="191"/>
    </row>
    <row r="21" spans="2:20" ht="24" customHeight="1" x14ac:dyDescent="0.25">
      <c r="F21" s="175"/>
      <c r="G21" s="179"/>
      <c r="H21" s="52"/>
      <c r="I21" s="44">
        <v>16</v>
      </c>
      <c r="J21" s="45">
        <f>SUMIF(Points_Lookup!$A:$A,I21,Points_Lookup!$B:$B)</f>
        <v>21585</v>
      </c>
      <c r="P21" s="107"/>
      <c r="R21" s="50"/>
      <c r="S21" s="51"/>
      <c r="T21" s="189" t="s">
        <v>78</v>
      </c>
    </row>
    <row r="22" spans="2:20" ht="24" customHeight="1" x14ac:dyDescent="0.25">
      <c r="F22" s="175"/>
      <c r="G22" s="179"/>
      <c r="H22" s="52"/>
      <c r="I22" s="44">
        <v>17</v>
      </c>
      <c r="J22" s="45">
        <f>SUMIF(Points_Lookup!$A:$A,I22,Points_Lookup!$B:$B)</f>
        <v>22214</v>
      </c>
      <c r="P22" s="107"/>
      <c r="R22" s="53"/>
      <c r="S22" s="54"/>
      <c r="T22" s="190"/>
    </row>
    <row r="23" spans="2:20" ht="24" customHeight="1" x14ac:dyDescent="0.25">
      <c r="F23" s="175"/>
      <c r="G23" s="179"/>
      <c r="H23" s="52"/>
      <c r="I23" s="44">
        <v>18</v>
      </c>
      <c r="J23" s="45">
        <f>SUMIF(Points_Lookup!$A:$A,I23,Points_Lookup!$B:$B)</f>
        <v>22876</v>
      </c>
      <c r="K23" s="46"/>
      <c r="L23" s="169" t="s">
        <v>77</v>
      </c>
      <c r="M23" s="172" t="s">
        <v>76</v>
      </c>
      <c r="N23" s="180"/>
      <c r="O23" s="59"/>
      <c r="P23" s="107"/>
      <c r="R23" s="53"/>
      <c r="S23" s="54"/>
      <c r="T23" s="190"/>
    </row>
    <row r="24" spans="2:20" ht="24" customHeight="1" x14ac:dyDescent="0.25">
      <c r="F24" s="175"/>
      <c r="G24" s="179"/>
      <c r="H24" s="52"/>
      <c r="I24" s="44">
        <v>19</v>
      </c>
      <c r="J24" s="45">
        <f>SUMIF(Points_Lookup!$A:$A,I24,Points_Lookup!$B:$B)</f>
        <v>23557</v>
      </c>
      <c r="K24" s="48"/>
      <c r="L24" s="170"/>
      <c r="M24" s="173"/>
      <c r="N24" s="180"/>
      <c r="O24" s="59"/>
      <c r="P24" s="107"/>
      <c r="R24" s="187" t="s">
        <v>10</v>
      </c>
      <c r="S24" s="188"/>
      <c r="T24" s="190"/>
    </row>
    <row r="25" spans="2:20" ht="24" customHeight="1" x14ac:dyDescent="0.25">
      <c r="F25" s="175"/>
      <c r="G25" s="179"/>
      <c r="H25" s="52"/>
      <c r="I25" s="44">
        <v>20</v>
      </c>
      <c r="J25" s="45">
        <f>SUMIF(Points_Lookup!$A:$A,I25,Points_Lookup!$B:$B)</f>
        <v>24285</v>
      </c>
      <c r="K25" s="48"/>
      <c r="L25" s="170"/>
      <c r="M25" s="173"/>
      <c r="N25" s="180"/>
      <c r="O25" s="59"/>
      <c r="P25" s="107"/>
      <c r="R25" s="53"/>
      <c r="S25" s="54"/>
      <c r="T25" s="190"/>
    </row>
    <row r="26" spans="2:20" ht="24" customHeight="1" x14ac:dyDescent="0.25">
      <c r="F26" s="175"/>
      <c r="G26" s="179"/>
      <c r="H26" s="60"/>
      <c r="I26" s="44">
        <v>21</v>
      </c>
      <c r="J26" s="45">
        <f>SUMIF(Points_Lookup!$A:$A,I26,Points_Lookup!$B:$B)</f>
        <v>24983</v>
      </c>
      <c r="K26" s="48"/>
      <c r="L26" s="170"/>
      <c r="M26" s="173"/>
      <c r="N26" s="180"/>
      <c r="O26" s="59"/>
      <c r="P26" s="106" t="s">
        <v>112</v>
      </c>
      <c r="R26" s="53"/>
      <c r="S26" s="54"/>
      <c r="T26" s="190"/>
    </row>
    <row r="27" spans="2:20" ht="24" customHeight="1" x14ac:dyDescent="0.25">
      <c r="I27" s="44">
        <v>22</v>
      </c>
      <c r="J27" s="45">
        <f>SUMIF(Points_Lookup!$A:$A,I27,Points_Lookup!$B:$B)</f>
        <v>25728</v>
      </c>
      <c r="K27" s="48"/>
      <c r="L27" s="170"/>
      <c r="M27" s="173"/>
      <c r="N27" s="180"/>
      <c r="O27" s="59"/>
      <c r="P27" s="107"/>
      <c r="R27" s="57"/>
      <c r="S27" s="58"/>
      <c r="T27" s="191"/>
    </row>
    <row r="28" spans="2:20" ht="24" customHeight="1" x14ac:dyDescent="0.25">
      <c r="B28" s="204" t="s">
        <v>75</v>
      </c>
      <c r="C28" s="61"/>
      <c r="F28" s="176" t="s">
        <v>74</v>
      </c>
      <c r="G28" s="192" t="s">
        <v>73</v>
      </c>
      <c r="H28" s="62"/>
      <c r="I28" s="44">
        <v>23</v>
      </c>
      <c r="J28" s="45">
        <f>SUMIF(Points_Lookup!$A:$A,I28,Points_Lookup!$B:$B)</f>
        <v>26495</v>
      </c>
      <c r="K28" s="48"/>
      <c r="L28" s="170"/>
      <c r="M28" s="173"/>
      <c r="N28" s="180"/>
      <c r="O28" s="59"/>
      <c r="P28" s="107"/>
    </row>
    <row r="29" spans="2:20" ht="24" customHeight="1" x14ac:dyDescent="0.25">
      <c r="B29" s="205"/>
      <c r="C29" s="63"/>
      <c r="F29" s="177"/>
      <c r="G29" s="193"/>
      <c r="H29" s="64"/>
      <c r="I29" s="44">
        <v>24</v>
      </c>
      <c r="J29" s="45">
        <f>SUMIF(Points_Lookup!$A:$A,I29,Points_Lookup!$B:$B)</f>
        <v>27285</v>
      </c>
      <c r="K29" s="76" t="s">
        <v>86</v>
      </c>
      <c r="L29" s="170"/>
      <c r="M29" s="173"/>
      <c r="N29" s="180"/>
      <c r="O29" s="59"/>
      <c r="P29" s="106" t="s">
        <v>113</v>
      </c>
    </row>
    <row r="30" spans="2:20" ht="24" customHeight="1" x14ac:dyDescent="0.25">
      <c r="B30" s="205"/>
      <c r="C30" s="65" t="s">
        <v>72</v>
      </c>
      <c r="F30" s="177"/>
      <c r="G30" s="193"/>
      <c r="H30" s="66" t="s">
        <v>72</v>
      </c>
      <c r="I30" s="44">
        <v>25</v>
      </c>
      <c r="J30" s="45">
        <f>SUMIF(Points_Lookup!$A:$A,I30,Points_Lookup!$B:$B)</f>
        <v>28098</v>
      </c>
      <c r="K30" s="48"/>
      <c r="L30" s="170"/>
      <c r="M30" s="173"/>
      <c r="N30" s="180"/>
      <c r="O30" s="59"/>
      <c r="P30" s="105"/>
    </row>
    <row r="31" spans="2:20" ht="24" customHeight="1" x14ac:dyDescent="0.25">
      <c r="B31" s="205"/>
      <c r="C31" s="67" t="s">
        <v>10</v>
      </c>
      <c r="F31" s="178"/>
      <c r="G31" s="194"/>
      <c r="H31" s="68"/>
      <c r="I31" s="44">
        <v>26</v>
      </c>
      <c r="J31" s="45">
        <f>SUMIF(Points_Lookup!$A:$A,I31,Points_Lookup!$B:$B)</f>
        <v>28936</v>
      </c>
      <c r="K31" s="48"/>
      <c r="L31" s="170"/>
      <c r="M31" s="173"/>
      <c r="N31" s="180"/>
      <c r="O31" s="59"/>
      <c r="P31" s="105"/>
    </row>
    <row r="32" spans="2:20" ht="24" customHeight="1" x14ac:dyDescent="0.25">
      <c r="B32" s="205"/>
      <c r="C32" s="63"/>
      <c r="E32" s="207" t="s">
        <v>71</v>
      </c>
      <c r="F32" s="210" t="s">
        <v>70</v>
      </c>
      <c r="G32" s="181" t="s">
        <v>69</v>
      </c>
      <c r="H32" s="84"/>
      <c r="I32" s="44">
        <v>27</v>
      </c>
      <c r="J32" s="45">
        <f>SUMIF(Points_Lookup!$A:$A,I32,Points_Lookup!$B:$B)</f>
        <v>29799</v>
      </c>
      <c r="K32" s="48"/>
      <c r="L32" s="170"/>
      <c r="M32" s="173"/>
      <c r="N32" s="180"/>
      <c r="O32" s="59"/>
      <c r="P32" s="105"/>
    </row>
    <row r="33" spans="2:17" ht="24" customHeight="1" x14ac:dyDescent="0.25">
      <c r="B33" s="205"/>
      <c r="C33" s="63"/>
      <c r="E33" s="208"/>
      <c r="F33" s="211"/>
      <c r="G33" s="182"/>
      <c r="H33" s="52"/>
      <c r="I33" s="44">
        <v>28</v>
      </c>
      <c r="J33" s="45">
        <f>SUMIF(Points_Lookup!$A:$A,I33,Points_Lookup!$B:$B)</f>
        <v>30688</v>
      </c>
      <c r="K33" s="48"/>
      <c r="L33" s="170"/>
      <c r="M33" s="173"/>
      <c r="N33" s="180"/>
      <c r="O33" s="59"/>
      <c r="P33" s="105"/>
    </row>
    <row r="34" spans="2:17" ht="24" customHeight="1" x14ac:dyDescent="0.25">
      <c r="B34" s="205"/>
      <c r="C34" s="63"/>
      <c r="E34" s="208"/>
      <c r="F34" s="211"/>
      <c r="G34" s="182"/>
      <c r="H34" s="52"/>
      <c r="I34" s="44">
        <v>29</v>
      </c>
      <c r="J34" s="45">
        <f>SUMIF(Points_Lookup!$A:$A,I34,Points_Lookup!$B:$B)</f>
        <v>31604</v>
      </c>
      <c r="K34" s="48"/>
      <c r="L34" s="170"/>
      <c r="M34" s="173"/>
      <c r="N34" s="180"/>
      <c r="O34" s="59"/>
      <c r="P34" s="105"/>
    </row>
    <row r="35" spans="2:17" ht="24" customHeight="1" x14ac:dyDescent="0.25">
      <c r="B35" s="206"/>
      <c r="C35" s="69"/>
      <c r="E35" s="208"/>
      <c r="F35" s="211"/>
      <c r="G35" s="182"/>
      <c r="H35" s="52"/>
      <c r="I35" s="44">
        <v>30</v>
      </c>
      <c r="J35" s="45">
        <f>SUMIF(Points_Lookup!$A:$A,I35,Points_Lookup!$B:$B)</f>
        <v>32548</v>
      </c>
      <c r="K35" s="55"/>
      <c r="L35" s="171"/>
      <c r="M35" s="174"/>
      <c r="N35" s="180"/>
      <c r="O35" s="59"/>
      <c r="P35" s="105"/>
    </row>
    <row r="36" spans="2:17" ht="24" customHeight="1" x14ac:dyDescent="0.25">
      <c r="B36" s="184"/>
      <c r="C36" s="91"/>
      <c r="E36" s="208"/>
      <c r="F36" s="211"/>
      <c r="G36" s="182"/>
      <c r="H36" s="52"/>
      <c r="I36" s="44">
        <v>31</v>
      </c>
      <c r="J36" s="45">
        <f>SUMIF(Points_Lookup!$A:$A,I36,Points_Lookup!$B:$B)</f>
        <v>33518</v>
      </c>
      <c r="P36" s="105"/>
    </row>
    <row r="37" spans="2:17" ht="24" customHeight="1" x14ac:dyDescent="0.25">
      <c r="B37" s="185"/>
      <c r="C37" s="92"/>
      <c r="E37" s="208"/>
      <c r="F37" s="211"/>
      <c r="G37" s="182"/>
      <c r="H37" s="52"/>
      <c r="I37" s="44">
        <v>32</v>
      </c>
      <c r="J37" s="45">
        <f>SUMIF(Points_Lookup!$A:$A,I37,Points_Lookup!$B:$B)</f>
        <v>34520</v>
      </c>
      <c r="P37" s="105"/>
    </row>
    <row r="38" spans="2:17" ht="24" customHeight="1" x14ac:dyDescent="0.25">
      <c r="B38" s="185"/>
      <c r="C38" s="92"/>
      <c r="E38" s="208"/>
      <c r="F38" s="211"/>
      <c r="G38" s="182"/>
      <c r="H38" s="52"/>
      <c r="I38" s="44">
        <v>33</v>
      </c>
      <c r="J38" s="45">
        <f>SUMIF(Points_Lookup!$A:$A,I38,Points_Lookup!$B:$B)</f>
        <v>35550</v>
      </c>
      <c r="P38" s="70"/>
      <c r="Q38" s="166" t="s">
        <v>68</v>
      </c>
    </row>
    <row r="39" spans="2:17" ht="24" customHeight="1" x14ac:dyDescent="0.25">
      <c r="B39" s="185"/>
      <c r="C39" s="92"/>
      <c r="E39" s="208"/>
      <c r="F39" s="211"/>
      <c r="G39" s="182"/>
      <c r="H39" s="52"/>
      <c r="I39" s="44">
        <v>34</v>
      </c>
      <c r="J39" s="45">
        <f>SUMIF(Points_Lookup!$A:$A,I39,Points_Lookup!$B:$B)</f>
        <v>36613</v>
      </c>
      <c r="P39" s="71"/>
      <c r="Q39" s="167"/>
    </row>
    <row r="40" spans="2:17" ht="24" customHeight="1" x14ac:dyDescent="0.25">
      <c r="B40" s="185"/>
      <c r="C40" s="92"/>
      <c r="E40" s="208"/>
      <c r="F40" s="211"/>
      <c r="G40" s="182"/>
      <c r="H40" s="52"/>
      <c r="I40" s="44">
        <v>35</v>
      </c>
      <c r="J40" s="45">
        <f>SUMIF(Points_Lookup!$A:$A,I40,Points_Lookup!$B:$B)</f>
        <v>37706</v>
      </c>
      <c r="P40" s="71"/>
      <c r="Q40" s="167"/>
    </row>
    <row r="41" spans="2:17" ht="24" customHeight="1" x14ac:dyDescent="0.25">
      <c r="B41" s="185"/>
      <c r="C41" s="93"/>
      <c r="E41" s="208"/>
      <c r="F41" s="211"/>
      <c r="G41" s="182"/>
      <c r="H41" s="85" t="s">
        <v>87</v>
      </c>
      <c r="I41" s="44">
        <v>36</v>
      </c>
      <c r="J41" s="45">
        <f>SUMIF(Points_Lookup!$A:$A,I41,Points_Lookup!$B:$B)</f>
        <v>38833</v>
      </c>
      <c r="K41" s="46"/>
      <c r="L41" s="179" t="s">
        <v>67</v>
      </c>
      <c r="M41" s="186" t="s">
        <v>66</v>
      </c>
      <c r="N41" s="175" t="s">
        <v>65</v>
      </c>
      <c r="O41" s="59"/>
      <c r="P41" s="71"/>
      <c r="Q41" s="167"/>
    </row>
    <row r="42" spans="2:17" ht="24" customHeight="1" x14ac:dyDescent="0.25">
      <c r="B42" s="185"/>
      <c r="C42" s="92"/>
      <c r="E42" s="208"/>
      <c r="F42" s="211"/>
      <c r="G42" s="182"/>
      <c r="H42" s="52"/>
      <c r="I42" s="44">
        <v>37</v>
      </c>
      <c r="J42" s="45">
        <f>SUMIF(Points_Lookup!$A:$A,I42,Points_Lookup!$B:$B)</f>
        <v>39992</v>
      </c>
      <c r="K42" s="48"/>
      <c r="L42" s="179"/>
      <c r="M42" s="186"/>
      <c r="N42" s="175"/>
      <c r="O42" s="59"/>
      <c r="P42" s="71"/>
      <c r="Q42" s="167"/>
    </row>
    <row r="43" spans="2:17" ht="24" customHeight="1" x14ac:dyDescent="0.25">
      <c r="B43" s="185"/>
      <c r="C43" s="92"/>
      <c r="E43" s="208"/>
      <c r="F43" s="211"/>
      <c r="G43" s="182"/>
      <c r="H43" s="52"/>
      <c r="I43" s="44">
        <v>38</v>
      </c>
      <c r="J43" s="45">
        <f>SUMIF(Points_Lookup!$A:$A,I43,Points_Lookup!$B:$B)</f>
        <v>41212</v>
      </c>
      <c r="K43" s="48"/>
      <c r="L43" s="179"/>
      <c r="M43" s="186"/>
      <c r="N43" s="175"/>
      <c r="O43" s="59"/>
      <c r="P43" s="71"/>
      <c r="Q43" s="167"/>
    </row>
    <row r="44" spans="2:17" ht="24" customHeight="1" x14ac:dyDescent="0.25">
      <c r="B44" s="185"/>
      <c r="C44" s="92"/>
      <c r="E44" s="209"/>
      <c r="F44" s="212"/>
      <c r="G44" s="183"/>
      <c r="H44" s="60"/>
      <c r="I44" s="44">
        <v>39</v>
      </c>
      <c r="J44" s="45">
        <f>SUMIF(Points_Lookup!$A:$A,I44,Points_Lookup!$B:$B)</f>
        <v>42418</v>
      </c>
      <c r="K44" s="48"/>
      <c r="L44" s="179"/>
      <c r="M44" s="186"/>
      <c r="N44" s="175"/>
      <c r="O44" s="59"/>
      <c r="P44" s="71"/>
      <c r="Q44" s="167"/>
    </row>
    <row r="45" spans="2:17" ht="24" customHeight="1" x14ac:dyDescent="0.25">
      <c r="I45" s="44">
        <v>40</v>
      </c>
      <c r="J45" s="45">
        <f>SUMIF(Points_Lookup!$A:$A,I45,Points_Lookup!$B:$B)</f>
        <v>43685</v>
      </c>
      <c r="K45" s="48"/>
      <c r="L45" s="179"/>
      <c r="M45" s="186"/>
      <c r="N45" s="175"/>
      <c r="O45" s="59"/>
      <c r="P45" s="71"/>
      <c r="Q45" s="167"/>
    </row>
    <row r="46" spans="2:17" ht="24" customHeight="1" x14ac:dyDescent="0.25">
      <c r="I46" s="44">
        <v>41</v>
      </c>
      <c r="J46" s="45">
        <f>SUMIF(Points_Lookup!$A:$A,I46,Points_Lookup!$B:$B)</f>
        <v>44992</v>
      </c>
      <c r="K46" s="48"/>
      <c r="L46" s="179"/>
      <c r="M46" s="186"/>
      <c r="N46" s="175"/>
      <c r="O46" s="59"/>
      <c r="P46" s="71"/>
      <c r="Q46" s="167"/>
    </row>
    <row r="47" spans="2:17" ht="24" customHeight="1" x14ac:dyDescent="0.25">
      <c r="I47" s="44">
        <v>42</v>
      </c>
      <c r="J47" s="45">
        <f>SUMIF(Points_Lookup!$A:$A,I47,Points_Lookup!$B:$B)</f>
        <v>46336</v>
      </c>
      <c r="K47" s="48"/>
      <c r="L47" s="179"/>
      <c r="M47" s="186"/>
      <c r="N47" s="175"/>
      <c r="O47" s="59"/>
      <c r="P47" s="71"/>
      <c r="Q47" s="167"/>
    </row>
    <row r="48" spans="2:17" ht="24" customHeight="1" x14ac:dyDescent="0.25">
      <c r="I48" s="44">
        <v>43</v>
      </c>
      <c r="J48" s="45">
        <f>SUMIF(Points_Lookup!$A:$A,I48,Points_Lookup!$B:$B)</f>
        <v>47722</v>
      </c>
      <c r="K48" s="76" t="s">
        <v>88</v>
      </c>
      <c r="L48" s="179"/>
      <c r="M48" s="186"/>
      <c r="N48" s="175"/>
      <c r="O48" s="59"/>
      <c r="P48" s="72" t="s">
        <v>10</v>
      </c>
      <c r="Q48" s="167"/>
    </row>
    <row r="49" spans="6:17" ht="24" customHeight="1" x14ac:dyDescent="0.25">
      <c r="I49" s="44">
        <v>44</v>
      </c>
      <c r="J49" s="45">
        <f>SUMIF(Points_Lookup!$A:$A,I49,Points_Lookup!$B:$B)</f>
        <v>49149</v>
      </c>
      <c r="K49" s="48"/>
      <c r="L49" s="179"/>
      <c r="M49" s="186"/>
      <c r="N49" s="175"/>
      <c r="O49" s="59"/>
      <c r="P49" s="71"/>
      <c r="Q49" s="167"/>
    </row>
    <row r="50" spans="6:17" ht="24" customHeight="1" x14ac:dyDescent="0.25">
      <c r="F50" s="186" t="s">
        <v>64</v>
      </c>
      <c r="G50" s="179" t="s">
        <v>63</v>
      </c>
      <c r="H50" s="49"/>
      <c r="I50" s="44">
        <v>45</v>
      </c>
      <c r="J50" s="45">
        <f>SUMIF(Points_Lookup!$A:$A,I50,Points_Lookup!$B:$B)</f>
        <v>50618</v>
      </c>
      <c r="K50" s="48"/>
      <c r="L50" s="179"/>
      <c r="M50" s="186"/>
      <c r="N50" s="175"/>
      <c r="O50" s="59"/>
      <c r="P50" s="71"/>
      <c r="Q50" s="167"/>
    </row>
    <row r="51" spans="6:17" ht="24" customHeight="1" x14ac:dyDescent="0.25">
      <c r="F51" s="186"/>
      <c r="G51" s="179"/>
      <c r="H51" s="52"/>
      <c r="I51" s="44">
        <v>46</v>
      </c>
      <c r="J51" s="45">
        <f>SUMIF(Points_Lookup!$A:$A,I51,Points_Lookup!$B:$B)</f>
        <v>52132</v>
      </c>
      <c r="K51" s="48"/>
      <c r="L51" s="179"/>
      <c r="M51" s="186"/>
      <c r="N51" s="175"/>
      <c r="O51" s="59"/>
      <c r="P51" s="71"/>
      <c r="Q51" s="167"/>
    </row>
    <row r="52" spans="6:17" ht="24" customHeight="1" x14ac:dyDescent="0.25">
      <c r="F52" s="186"/>
      <c r="G52" s="179"/>
      <c r="H52" s="52"/>
      <c r="I52" s="44">
        <v>47</v>
      </c>
      <c r="J52" s="45">
        <f>SUMIF(Points_Lookup!$A:$A,I52,Points_Lookup!$B:$B)</f>
        <v>53691</v>
      </c>
      <c r="K52" s="48"/>
      <c r="L52" s="179"/>
      <c r="M52" s="186"/>
      <c r="N52" s="175"/>
      <c r="O52" s="59"/>
      <c r="P52" s="71"/>
      <c r="Q52" s="167"/>
    </row>
    <row r="53" spans="6:17" ht="24" customHeight="1" x14ac:dyDescent="0.25">
      <c r="F53" s="186"/>
      <c r="G53" s="179"/>
      <c r="H53" s="52"/>
      <c r="I53" s="44">
        <v>48</v>
      </c>
      <c r="J53" s="45">
        <f>SUMIF(Points_Lookup!$A:$A,I53,Points_Lookup!$B:$B)</f>
        <v>55297</v>
      </c>
      <c r="K53" s="55"/>
      <c r="L53" s="179"/>
      <c r="M53" s="186"/>
      <c r="N53" s="175"/>
      <c r="O53" s="73"/>
      <c r="P53" s="74"/>
      <c r="Q53" s="168"/>
    </row>
    <row r="54" spans="6:17" ht="24" customHeight="1" x14ac:dyDescent="0.25">
      <c r="F54" s="186"/>
      <c r="G54" s="179"/>
      <c r="H54" s="52"/>
      <c r="I54" s="44">
        <v>49</v>
      </c>
      <c r="J54" s="45">
        <f>SUMIF(Points_Lookup!$A:$A,I54,Points_Lookup!$B:$B)</f>
        <v>56950</v>
      </c>
    </row>
    <row r="55" spans="6:17" ht="24" customHeight="1" x14ac:dyDescent="0.25">
      <c r="F55" s="186"/>
      <c r="G55" s="179"/>
      <c r="H55" s="52"/>
      <c r="I55" s="44">
        <v>50</v>
      </c>
      <c r="J55" s="45">
        <f>SUMIF(Points_Lookup!$A:$A,I55,Points_Lookup!$B:$B)</f>
        <v>58655</v>
      </c>
    </row>
    <row r="56" spans="6:17" ht="24" customHeight="1" x14ac:dyDescent="0.25">
      <c r="F56" s="186"/>
      <c r="G56" s="179"/>
      <c r="H56" s="76" t="s">
        <v>89</v>
      </c>
      <c r="I56" s="44">
        <v>51</v>
      </c>
      <c r="J56" s="45">
        <f>SUMIF(Points_Lookup!$A:$A,I56,Points_Lookup!$B:$B)</f>
        <v>60410</v>
      </c>
    </row>
    <row r="57" spans="6:17" ht="24" customHeight="1" x14ac:dyDescent="0.25">
      <c r="F57" s="186"/>
      <c r="G57" s="179"/>
      <c r="H57" s="52"/>
      <c r="I57" s="44">
        <v>52</v>
      </c>
      <c r="J57" s="45">
        <f>SUMIF(Points_Lookup!$A:$A,I57,Points_Lookup!$B:$B)</f>
        <v>62199</v>
      </c>
    </row>
    <row r="58" spans="6:17" ht="24" customHeight="1" x14ac:dyDescent="0.25">
      <c r="F58" s="186"/>
      <c r="G58" s="179"/>
      <c r="H58" s="52"/>
      <c r="I58" s="44">
        <v>53</v>
      </c>
      <c r="J58" s="45">
        <f>SUMIF(Points_Lookup!$A:$A,I58,Points_Lookup!$B:$B)</f>
        <v>64061</v>
      </c>
    </row>
    <row r="59" spans="6:17" ht="24" customHeight="1" x14ac:dyDescent="0.25">
      <c r="F59" s="186"/>
      <c r="G59" s="179"/>
      <c r="H59" s="52"/>
      <c r="I59" s="44">
        <v>54</v>
      </c>
      <c r="J59" s="45">
        <f>SUMIF(Points_Lookup!$A:$A,I59,Points_Lookup!$B:$B)</f>
        <v>65980</v>
      </c>
    </row>
    <row r="60" spans="6:17" ht="24" customHeight="1" x14ac:dyDescent="0.25">
      <c r="F60" s="186"/>
      <c r="G60" s="179"/>
      <c r="H60" s="52"/>
      <c r="I60" s="44">
        <v>55</v>
      </c>
      <c r="J60" s="45">
        <f>SUMIF(Points_Lookup!$A:$A,I60,Points_Lookup!$B:$B)</f>
        <v>67954</v>
      </c>
    </row>
    <row r="61" spans="6:17" ht="24" customHeight="1" x14ac:dyDescent="0.25">
      <c r="F61" s="186"/>
      <c r="G61" s="179"/>
      <c r="H61" s="52"/>
      <c r="I61" s="44">
        <v>56</v>
      </c>
      <c r="J61" s="45">
        <f>SUMIF(Points_Lookup!$A:$A,I61,Points_Lookup!$B:$B)</f>
        <v>69987</v>
      </c>
    </row>
    <row r="62" spans="6:17" ht="24" customHeight="1" x14ac:dyDescent="0.25">
      <c r="F62" s="186"/>
      <c r="G62" s="179"/>
      <c r="H62" s="60"/>
      <c r="I62" s="75">
        <v>57</v>
      </c>
      <c r="J62" s="77">
        <f>SUMIF(Points_Lookup!$A:$A,I62,Points_Lookup!$B:$B)</f>
        <v>72082</v>
      </c>
    </row>
    <row r="63" spans="6:17" ht="35.1" customHeight="1" x14ac:dyDescent="0.25"/>
    <row r="64" spans="6:17" ht="35.1" customHeight="1" x14ac:dyDescent="0.25"/>
  </sheetData>
  <sheetProtection password="CCB2" sheet="1" objects="1" scenarios="1"/>
  <mergeCells count="26">
    <mergeCell ref="B28:B35"/>
    <mergeCell ref="E32:E44"/>
    <mergeCell ref="F32:F44"/>
    <mergeCell ref="L41:L53"/>
    <mergeCell ref="F50:F62"/>
    <mergeCell ref="R24:S24"/>
    <mergeCell ref="G28:G31"/>
    <mergeCell ref="L7:L17"/>
    <mergeCell ref="M7:M17"/>
    <mergeCell ref="H7:H11"/>
    <mergeCell ref="A1:T2"/>
    <mergeCell ref="Q38:Q53"/>
    <mergeCell ref="L23:L35"/>
    <mergeCell ref="M23:M35"/>
    <mergeCell ref="F14:F26"/>
    <mergeCell ref="F28:F31"/>
    <mergeCell ref="G14:G26"/>
    <mergeCell ref="N23:N35"/>
    <mergeCell ref="G32:G44"/>
    <mergeCell ref="N41:N53"/>
    <mergeCell ref="G50:G62"/>
    <mergeCell ref="B36:B44"/>
    <mergeCell ref="M41:M53"/>
    <mergeCell ref="R17:S17"/>
    <mergeCell ref="T14:T20"/>
    <mergeCell ref="T21:T27"/>
  </mergeCells>
  <conditionalFormatting sqref="A39:IV65540 A36:IT38 A6:IV6 A12:K13 N16:IV17 Q7:IV15 Q20:IV20 D20:O20 D21:IV22 A14:B23 D14:K17 D18:IV19 D23:O23 Q23:IV29 A24:O35 Q30:IT35 N7:O15 H7:J7 L7:M7 A7:G11 I8:K11">
    <cfRule type="expression" dxfId="7" priority="8" stopIfTrue="1">
      <formula>RIGHT(A6,12)="Standard Max"</formula>
    </cfRule>
  </conditionalFormatting>
  <conditionalFormatting sqref="P8:P14">
    <cfRule type="expression" dxfId="6" priority="7" stopIfTrue="1">
      <formula>RIGHT(P8,12)="Standard Max"</formula>
    </cfRule>
  </conditionalFormatting>
  <conditionalFormatting sqref="P15">
    <cfRule type="expression" dxfId="5" priority="6" stopIfTrue="1">
      <formula>RIGHT(P15,12)="Standard Max"</formula>
    </cfRule>
  </conditionalFormatting>
  <conditionalFormatting sqref="P20">
    <cfRule type="expression" dxfId="4" priority="5" stopIfTrue="1">
      <formula>RIGHT(P20,12)="Standard Max"</formula>
    </cfRule>
  </conditionalFormatting>
  <conditionalFormatting sqref="C14:C23">
    <cfRule type="expression" dxfId="3" priority="4" stopIfTrue="1">
      <formula>RIGHT(C14,12)="Standard Max"</formula>
    </cfRule>
  </conditionalFormatting>
  <conditionalFormatting sqref="P23:P25 P27:P28 P30:P35">
    <cfRule type="expression" dxfId="2" priority="3" stopIfTrue="1">
      <formula>RIGHT(P23,12)="Standard Max"</formula>
    </cfRule>
  </conditionalFormatting>
  <conditionalFormatting sqref="P26">
    <cfRule type="expression" dxfId="1" priority="2" stopIfTrue="1">
      <formula>RIGHT(P26,12)="Standard Max"</formula>
    </cfRule>
  </conditionalFormatting>
  <conditionalFormatting sqref="P29">
    <cfRule type="expression" dxfId="0" priority="1" stopIfTrue="1">
      <formula>RIGHT(P29,12)="Standard Max"</formula>
    </cfRule>
  </conditionalFormatting>
  <printOptions horizontalCentered="1"/>
  <pageMargins left="0.70866141732283472" right="0.70866141732283472" top="0.74803149606299213" bottom="0.74803149606299213" header="0.31496062992125984" footer="0.31496062992125984"/>
  <pageSetup paperSize="9" scale="55" orientation="portrait" r:id="rId1"/>
  <headerFooter>
    <oddHeader>&amp;C&amp;"-,Bold"&amp;36Effective Date of Pay Award: 01/08/2017</oddHeader>
    <oddFooter>&amp;CVersion 1, last updated 
10/01/2018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Normal="100" zoomScalePageLayoutView="115" workbookViewId="0">
      <selection activeCell="H26" sqref="H26:J26"/>
    </sheetView>
  </sheetViews>
  <sheetFormatPr defaultRowHeight="14.25" x14ac:dyDescent="0.25"/>
  <cols>
    <col min="1" max="2" width="3.7109375" style="112" customWidth="1"/>
    <col min="3" max="3" width="9.140625" style="112"/>
    <col min="4" max="4" width="10.42578125" style="113" customWidth="1"/>
    <col min="5" max="5" width="11.5703125" style="114" bestFit="1" customWidth="1"/>
    <col min="6" max="6" width="9.140625" style="112"/>
    <col min="7" max="7" width="9.5703125" style="112" customWidth="1"/>
    <col min="8" max="16384" width="9.140625" style="112"/>
  </cols>
  <sheetData>
    <row r="1" spans="1:11" x14ac:dyDescent="0.25">
      <c r="A1" s="213" t="s">
        <v>129</v>
      </c>
      <c r="B1" s="213"/>
      <c r="C1" s="213"/>
      <c r="D1" s="213"/>
      <c r="E1" s="213"/>
      <c r="F1" s="213"/>
      <c r="G1" s="213"/>
      <c r="H1" s="213"/>
      <c r="I1" s="213"/>
      <c r="J1" s="213"/>
      <c r="K1" s="213"/>
    </row>
    <row r="2" spans="1:11" x14ac:dyDescent="0.25">
      <c r="A2" s="213"/>
      <c r="B2" s="213"/>
      <c r="C2" s="213"/>
      <c r="D2" s="213"/>
      <c r="E2" s="213"/>
      <c r="F2" s="213"/>
      <c r="G2" s="213"/>
      <c r="H2" s="213"/>
      <c r="I2" s="213"/>
      <c r="J2" s="213"/>
      <c r="K2" s="213"/>
    </row>
    <row r="3" spans="1:11" ht="15" x14ac:dyDescent="0.25">
      <c r="A3" s="104"/>
      <c r="B3" s="8"/>
      <c r="C3" s="8"/>
      <c r="D3" s="1"/>
      <c r="E3" s="1"/>
      <c r="F3" s="1"/>
      <c r="G3" s="8"/>
      <c r="I3" s="8"/>
      <c r="J3" s="8"/>
      <c r="K3" s="8"/>
    </row>
    <row r="4" spans="1:11" ht="32.25" x14ac:dyDescent="0.25">
      <c r="A4" s="104"/>
      <c r="B4" s="8"/>
      <c r="C4" s="8"/>
      <c r="D4" s="218" t="s">
        <v>130</v>
      </c>
      <c r="E4" s="218"/>
      <c r="F4" s="218"/>
      <c r="G4" s="218"/>
      <c r="H4" s="218"/>
      <c r="I4" s="218"/>
      <c r="J4" s="119"/>
      <c r="K4" s="8"/>
    </row>
    <row r="5" spans="1:11" ht="15" x14ac:dyDescent="0.25">
      <c r="A5" s="104"/>
      <c r="B5" s="8"/>
      <c r="C5" s="8"/>
      <c r="D5" s="1"/>
      <c r="E5" s="1"/>
      <c r="F5" s="1"/>
      <c r="G5" s="8"/>
      <c r="I5" s="8"/>
      <c r="J5" s="8"/>
      <c r="K5" s="8"/>
    </row>
    <row r="6" spans="1:11" ht="16.5" customHeight="1" x14ac:dyDescent="0.25">
      <c r="C6" s="214" t="s">
        <v>127</v>
      </c>
      <c r="D6" s="214"/>
      <c r="E6" s="214"/>
      <c r="F6" s="214"/>
      <c r="G6" s="214"/>
      <c r="H6" s="214"/>
      <c r="I6" s="214"/>
      <c r="J6" s="214"/>
    </row>
    <row r="7" spans="1:11" x14ac:dyDescent="0.25">
      <c r="C7" s="214"/>
      <c r="D7" s="214"/>
      <c r="E7" s="214"/>
      <c r="F7" s="214"/>
      <c r="G7" s="214"/>
      <c r="H7" s="214"/>
      <c r="I7" s="214"/>
      <c r="J7" s="214"/>
    </row>
    <row r="8" spans="1:11" x14ac:dyDescent="0.25">
      <c r="D8" s="112"/>
      <c r="E8" s="112"/>
    </row>
    <row r="9" spans="1:11" ht="42.75" x14ac:dyDescent="0.25">
      <c r="D9" s="112"/>
      <c r="F9" s="115" t="s">
        <v>6</v>
      </c>
      <c r="G9" s="116" t="s">
        <v>1</v>
      </c>
    </row>
    <row r="10" spans="1:11" x14ac:dyDescent="0.25">
      <c r="D10" s="112"/>
      <c r="F10" s="120">
        <v>1</v>
      </c>
      <c r="G10" s="121">
        <f>VLOOKUP(F10,Points_Lookup!D:E,2,0)</f>
        <v>60410</v>
      </c>
    </row>
    <row r="11" spans="1:11" x14ac:dyDescent="0.25">
      <c r="D11" s="112"/>
      <c r="F11" s="120">
        <v>2</v>
      </c>
      <c r="G11" s="121">
        <f>VLOOKUP(F11,Points_Lookup!D:E,2,0)</f>
        <v>61615</v>
      </c>
    </row>
    <row r="12" spans="1:11" x14ac:dyDescent="0.25">
      <c r="D12" s="112"/>
      <c r="F12" s="120">
        <v>3</v>
      </c>
      <c r="G12" s="121">
        <f>VLOOKUP(F12,Points_Lookup!D:E,2,0)</f>
        <v>62845</v>
      </c>
    </row>
    <row r="13" spans="1:11" x14ac:dyDescent="0.25">
      <c r="D13" s="112"/>
      <c r="F13" s="120">
        <v>4</v>
      </c>
      <c r="G13" s="121">
        <f>VLOOKUP(F13,Points_Lookup!D:E,2,0)</f>
        <v>64098</v>
      </c>
    </row>
    <row r="14" spans="1:11" x14ac:dyDescent="0.25">
      <c r="D14" s="112"/>
      <c r="F14" s="120">
        <v>5</v>
      </c>
      <c r="G14" s="121">
        <f>VLOOKUP(F14,Points_Lookup!D:E,2,0)</f>
        <v>65377</v>
      </c>
    </row>
    <row r="15" spans="1:11" x14ac:dyDescent="0.25">
      <c r="D15" s="112"/>
      <c r="F15" s="120">
        <v>6</v>
      </c>
      <c r="G15" s="121">
        <f>VLOOKUP(F15,Points_Lookup!D:E,2,0)</f>
        <v>66682</v>
      </c>
    </row>
    <row r="16" spans="1:11" x14ac:dyDescent="0.25">
      <c r="D16" s="112"/>
      <c r="F16" s="120">
        <v>7</v>
      </c>
      <c r="G16" s="121">
        <f>VLOOKUP(F16,Points_Lookup!D:E,2,0)</f>
        <v>68012</v>
      </c>
    </row>
    <row r="17" spans="4:10" x14ac:dyDescent="0.25">
      <c r="D17" s="112"/>
      <c r="F17" s="120">
        <v>8</v>
      </c>
      <c r="G17" s="121">
        <f>VLOOKUP(F17,Points_Lookup!D:E,2,0)</f>
        <v>69369</v>
      </c>
    </row>
    <row r="18" spans="4:10" x14ac:dyDescent="0.25">
      <c r="D18" s="112"/>
      <c r="F18" s="120">
        <v>9</v>
      </c>
      <c r="G18" s="121">
        <f>VLOOKUP(F18,Points_Lookup!D:E,2,0)</f>
        <v>70753</v>
      </c>
    </row>
    <row r="19" spans="4:10" x14ac:dyDescent="0.25">
      <c r="D19" s="112"/>
      <c r="F19" s="120">
        <v>10</v>
      </c>
      <c r="G19" s="121">
        <f>VLOOKUP(F19,Points_Lookup!D:E,2,0)</f>
        <v>72164</v>
      </c>
    </row>
    <row r="20" spans="4:10" x14ac:dyDescent="0.25">
      <c r="D20" s="112"/>
      <c r="F20" s="120">
        <v>11</v>
      </c>
      <c r="G20" s="121">
        <f>VLOOKUP(F20,Points_Lookup!D:E,2,0)</f>
        <v>73603</v>
      </c>
    </row>
    <row r="21" spans="4:10" x14ac:dyDescent="0.25">
      <c r="D21" s="112"/>
      <c r="F21" s="120">
        <v>12</v>
      </c>
      <c r="G21" s="121">
        <f>VLOOKUP(F21,Points_Lookup!D:E,2,0)</f>
        <v>75073</v>
      </c>
    </row>
    <row r="22" spans="4:10" x14ac:dyDescent="0.25">
      <c r="D22" s="112"/>
      <c r="F22" s="120">
        <v>13</v>
      </c>
      <c r="G22" s="121">
        <f>VLOOKUP(F22,Points_Lookup!D:E,2,0)</f>
        <v>76571</v>
      </c>
    </row>
    <row r="23" spans="4:10" x14ac:dyDescent="0.25">
      <c r="D23" s="112"/>
      <c r="F23" s="120">
        <v>14</v>
      </c>
      <c r="G23" s="121">
        <f>VLOOKUP(F23,Points_Lookup!D:E,2,0)</f>
        <v>78100</v>
      </c>
    </row>
    <row r="24" spans="4:10" x14ac:dyDescent="0.25">
      <c r="D24" s="112"/>
      <c r="F24" s="120">
        <v>15</v>
      </c>
      <c r="G24" s="121">
        <f>VLOOKUP(F24,Points_Lookup!D:E,2,0)</f>
        <v>79659</v>
      </c>
    </row>
    <row r="25" spans="4:10" x14ac:dyDescent="0.25">
      <c r="D25" s="112"/>
      <c r="F25" s="122">
        <v>16</v>
      </c>
      <c r="G25" s="123">
        <f>VLOOKUP(F25,Points_Lookup!D:E,2,0)</f>
        <v>81248</v>
      </c>
    </row>
    <row r="26" spans="4:10" x14ac:dyDescent="0.25">
      <c r="D26" s="112"/>
      <c r="F26" s="118">
        <v>17</v>
      </c>
      <c r="G26" s="117">
        <f>VLOOKUP(F26,Points_Lookup!D:E,2,0)</f>
        <v>82870</v>
      </c>
      <c r="H26" s="215" t="s">
        <v>128</v>
      </c>
      <c r="I26" s="216"/>
      <c r="J26" s="217"/>
    </row>
    <row r="27" spans="4:10" x14ac:dyDescent="0.25">
      <c r="D27" s="112"/>
      <c r="F27" s="124">
        <v>18</v>
      </c>
      <c r="G27" s="125">
        <f>VLOOKUP(F27,Points_Lookup!D:E,2,0)</f>
        <v>84524</v>
      </c>
    </row>
    <row r="28" spans="4:10" x14ac:dyDescent="0.25">
      <c r="D28" s="112"/>
      <c r="F28" s="120">
        <v>19</v>
      </c>
      <c r="G28" s="121">
        <f>VLOOKUP(F28,Points_Lookup!D:E,2,0)</f>
        <v>86212</v>
      </c>
    </row>
    <row r="29" spans="4:10" x14ac:dyDescent="0.25">
      <c r="D29" s="112"/>
      <c r="F29" s="120">
        <v>20</v>
      </c>
      <c r="G29" s="121">
        <f>VLOOKUP(F29,Points_Lookup!D:E,2,0)</f>
        <v>87932</v>
      </c>
    </row>
    <row r="30" spans="4:10" x14ac:dyDescent="0.25">
      <c r="D30" s="112"/>
      <c r="F30" s="120">
        <v>21</v>
      </c>
      <c r="G30" s="121">
        <f>VLOOKUP(F30,Points_Lookup!D:E,2,0)</f>
        <v>89687</v>
      </c>
    </row>
    <row r="31" spans="4:10" x14ac:dyDescent="0.25">
      <c r="D31" s="112"/>
      <c r="F31" s="120">
        <v>22</v>
      </c>
      <c r="G31" s="121">
        <f>VLOOKUP(F31,Points_Lookup!D:E,2,0)</f>
        <v>91478</v>
      </c>
    </row>
    <row r="32" spans="4:10" x14ac:dyDescent="0.25">
      <c r="D32" s="112"/>
      <c r="F32" s="120">
        <v>23</v>
      </c>
      <c r="G32" s="121">
        <f>VLOOKUP(F32,Points_Lookup!D:E,2,0)</f>
        <v>93304</v>
      </c>
    </row>
    <row r="33" spans="4:7" x14ac:dyDescent="0.25">
      <c r="D33" s="112"/>
      <c r="F33" s="120">
        <v>24</v>
      </c>
      <c r="G33" s="121">
        <f>VLOOKUP(F33,Points_Lookup!D:E,2,0)</f>
        <v>95167</v>
      </c>
    </row>
    <row r="34" spans="4:7" x14ac:dyDescent="0.25">
      <c r="D34" s="112"/>
      <c r="F34" s="120">
        <v>25</v>
      </c>
      <c r="G34" s="121">
        <f>VLOOKUP(F34,Points_Lookup!D:E,2,0)</f>
        <v>97066</v>
      </c>
    </row>
    <row r="35" spans="4:7" x14ac:dyDescent="0.25">
      <c r="D35" s="112"/>
      <c r="F35" s="120">
        <v>26</v>
      </c>
      <c r="G35" s="121">
        <f>VLOOKUP(F35,Points_Lookup!D:E,2,0)</f>
        <v>99003</v>
      </c>
    </row>
  </sheetData>
  <sheetProtection password="CCB2" sheet="1" objects="1" scenarios="1"/>
  <mergeCells count="4">
    <mergeCell ref="A1:K2"/>
    <mergeCell ref="C6:J7"/>
    <mergeCell ref="H26:J26"/>
    <mergeCell ref="D4:I4"/>
  </mergeCells>
  <pageMargins left="0.23622047244094491" right="0.23622047244094491" top="0.74803149606299213" bottom="0.74803149606299213" header="0.31496062992125984" footer="0.31496062992125984"/>
  <pageSetup paperSize="9" orientation="portrait" r:id="rId1"/>
  <headerFooter>
    <oddHeader>&amp;CEffective Date of Pay Award: 01/08/2017</oddHeader>
    <oddFooter>&amp;CVersion 1 - 10/01/2018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showGridLines="0" zoomScaleNormal="100" workbookViewId="0">
      <selection activeCell="A12" sqref="A12"/>
    </sheetView>
  </sheetViews>
  <sheetFormatPr defaultColWidth="9.140625" defaultRowHeight="15" x14ac:dyDescent="0.25"/>
  <cols>
    <col min="1" max="1" width="134.85546875" bestFit="1" customWidth="1"/>
  </cols>
  <sheetData>
    <row r="1" spans="1:1" s="32" customFormat="1" ht="20.100000000000001" customHeight="1" x14ac:dyDescent="0.25">
      <c r="A1" s="37" t="s">
        <v>52</v>
      </c>
    </row>
    <row r="2" spans="1:1" s="32" customFormat="1" ht="34.5" customHeight="1" x14ac:dyDescent="0.25">
      <c r="A2" s="38" t="s">
        <v>59</v>
      </c>
    </row>
    <row r="3" spans="1:1" s="32" customFormat="1" ht="34.5" customHeight="1" x14ac:dyDescent="0.25">
      <c r="A3" s="39" t="s">
        <v>92</v>
      </c>
    </row>
    <row r="4" spans="1:1" s="32" customFormat="1" ht="35.1" customHeight="1" x14ac:dyDescent="0.25">
      <c r="A4" s="38" t="s">
        <v>57</v>
      </c>
    </row>
    <row r="5" spans="1:1" s="32" customFormat="1" ht="35.1" customHeight="1" x14ac:dyDescent="0.25">
      <c r="A5" s="39" t="s">
        <v>55</v>
      </c>
    </row>
    <row r="6" spans="1:1" s="32" customFormat="1" ht="35.1" customHeight="1" x14ac:dyDescent="0.25">
      <c r="A6" s="39" t="s">
        <v>53</v>
      </c>
    </row>
    <row r="7" spans="1:1" s="32" customFormat="1" ht="43.5" customHeight="1" x14ac:dyDescent="0.25">
      <c r="A7" s="39" t="s">
        <v>62</v>
      </c>
    </row>
    <row r="8" spans="1:1" s="32" customFormat="1" ht="35.1" customHeight="1" x14ac:dyDescent="0.25">
      <c r="A8" s="39" t="s">
        <v>135</v>
      </c>
    </row>
    <row r="9" spans="1:1" s="32" customFormat="1" ht="35.1" customHeight="1" x14ac:dyDescent="0.25">
      <c r="A9" s="39"/>
    </row>
    <row r="10" spans="1:1" s="32" customFormat="1" ht="35.1" customHeight="1" x14ac:dyDescent="0.25">
      <c r="A10" s="37" t="s">
        <v>54</v>
      </c>
    </row>
    <row r="11" spans="1:1" s="32" customFormat="1" ht="35.1" customHeight="1" x14ac:dyDescent="0.25">
      <c r="A11" s="108" t="s">
        <v>120</v>
      </c>
    </row>
    <row r="12" spans="1:1" s="32" customFormat="1" ht="35.1" customHeight="1" x14ac:dyDescent="0.25">
      <c r="A12" s="39" t="s">
        <v>139</v>
      </c>
    </row>
    <row r="13" spans="1:1" s="32" customFormat="1" ht="35.1" customHeight="1" x14ac:dyDescent="0.25">
      <c r="A13" s="39" t="s">
        <v>60</v>
      </c>
    </row>
    <row r="14" spans="1:1" ht="35.1" customHeight="1" x14ac:dyDescent="0.25">
      <c r="A14" s="39" t="s">
        <v>56</v>
      </c>
    </row>
  </sheetData>
  <sheetProtection password="CCB2"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85"/>
  <sheetViews>
    <sheetView showGridLines="0" zoomScale="80" workbookViewId="0">
      <pane ySplit="2" topLeftCell="A3" activePane="bottomLeft" state="frozenSplit"/>
      <selection activeCell="BI6" sqref="BI6"/>
      <selection pane="bottomLeft" activeCell="C2" sqref="C2"/>
    </sheetView>
  </sheetViews>
  <sheetFormatPr defaultColWidth="9.140625" defaultRowHeight="15" x14ac:dyDescent="0.25"/>
  <cols>
    <col min="1" max="2" width="10.42578125" style="1" customWidth="1"/>
    <col min="3" max="3" width="14.85546875" style="1" customWidth="1"/>
    <col min="4" max="5" width="10.42578125" style="1" customWidth="1"/>
    <col min="6" max="6" width="10.42578125" style="18" customWidth="1"/>
    <col min="7" max="8" width="10.42578125" style="1" customWidth="1"/>
    <col min="9" max="9" width="10.42578125" style="18" customWidth="1"/>
    <col min="10" max="11" width="10.42578125" style="1" customWidth="1"/>
    <col min="12" max="12" width="9.140625" style="18" customWidth="1"/>
    <col min="13" max="13" width="11.140625" style="1" customWidth="1"/>
    <col min="14" max="14" width="9.85546875" style="1" bestFit="1" customWidth="1"/>
    <col min="15" max="15" width="9.140625" style="1" customWidth="1"/>
    <col min="16" max="16" width="20.28515625" style="1" customWidth="1"/>
    <col min="17" max="17" width="9.140625" style="1" customWidth="1"/>
    <col min="18" max="18" width="13.42578125" style="1" bestFit="1" customWidth="1"/>
    <col min="19" max="19" width="9.140625" style="1" customWidth="1"/>
    <col min="20" max="20" width="15.42578125" style="1" customWidth="1"/>
    <col min="21" max="21" width="19" style="1" customWidth="1"/>
    <col min="22" max="22" width="9.140625" style="1" customWidth="1"/>
    <col min="23" max="23" width="25.42578125" style="1" bestFit="1" customWidth="1"/>
    <col min="24" max="24" width="8.28515625" style="1" bestFit="1" customWidth="1"/>
    <col min="25" max="25" width="8.42578125" style="1" bestFit="1" customWidth="1"/>
    <col min="26" max="26" width="9.5703125" style="1" bestFit="1" customWidth="1"/>
    <col min="27" max="29" width="11" style="1" bestFit="1" customWidth="1"/>
    <col min="30" max="31" width="20.140625" style="1" customWidth="1"/>
    <col min="32" max="32" width="11" style="1" customWidth="1"/>
    <col min="33" max="37" width="9.140625" style="1" customWidth="1"/>
    <col min="38" max="38" width="12" style="1" customWidth="1"/>
    <col min="39" max="39" width="11.28515625" style="1" bestFit="1" customWidth="1"/>
    <col min="40" max="40" width="9.140625" style="1" customWidth="1"/>
    <col min="41" max="16384" width="9.140625" style="1"/>
  </cols>
  <sheetData>
    <row r="1" spans="1:40" ht="35.25" customHeight="1" x14ac:dyDescent="0.25">
      <c r="A1" s="4"/>
      <c r="B1" s="4"/>
      <c r="C1" s="4"/>
      <c r="D1" s="4"/>
      <c r="E1" s="4"/>
      <c r="F1" s="7" t="s">
        <v>142</v>
      </c>
      <c r="G1" s="4"/>
      <c r="H1" s="4"/>
      <c r="I1" s="7" t="s">
        <v>142</v>
      </c>
      <c r="J1" s="4"/>
      <c r="K1" s="4"/>
      <c r="L1" s="7"/>
      <c r="M1" s="4"/>
      <c r="N1" s="4"/>
      <c r="O1" s="4"/>
      <c r="P1" s="4"/>
      <c r="Q1" s="4"/>
      <c r="R1" s="4"/>
      <c r="S1" s="4"/>
      <c r="T1" s="4"/>
      <c r="U1" s="4"/>
      <c r="V1" s="4"/>
      <c r="W1" s="4"/>
      <c r="X1" s="4"/>
      <c r="Y1" s="4"/>
      <c r="Z1" s="4"/>
      <c r="AA1" s="4"/>
      <c r="AB1" s="4"/>
      <c r="AC1" s="4"/>
      <c r="AD1" s="4"/>
      <c r="AE1" s="4"/>
      <c r="AF1" s="4"/>
      <c r="AG1" s="4"/>
      <c r="AI1" s="8"/>
      <c r="AJ1" s="8"/>
      <c r="AK1" s="8"/>
      <c r="AL1" s="8"/>
      <c r="AM1" s="8"/>
    </row>
    <row r="2" spans="1:40" ht="91.5" customHeight="1" x14ac:dyDescent="0.25">
      <c r="A2" s="3" t="s">
        <v>0</v>
      </c>
      <c r="B2" s="3" t="s">
        <v>1</v>
      </c>
      <c r="C2" s="9"/>
      <c r="D2" s="3" t="s">
        <v>6</v>
      </c>
      <c r="E2" s="3" t="s">
        <v>1</v>
      </c>
      <c r="F2" s="10"/>
      <c r="G2" s="3" t="s">
        <v>146</v>
      </c>
      <c r="H2" s="90" t="s">
        <v>1</v>
      </c>
      <c r="I2" s="10"/>
      <c r="J2" s="3" t="s">
        <v>14</v>
      </c>
      <c r="K2" s="90" t="s">
        <v>1</v>
      </c>
      <c r="L2" s="10"/>
      <c r="M2" s="3" t="s">
        <v>13</v>
      </c>
      <c r="N2" s="3" t="s">
        <v>1</v>
      </c>
      <c r="O2" s="4"/>
      <c r="P2" s="3" t="s">
        <v>36</v>
      </c>
      <c r="Q2" s="3" t="s">
        <v>49</v>
      </c>
      <c r="R2" s="3" t="s">
        <v>1</v>
      </c>
      <c r="S2" s="3" t="s">
        <v>48</v>
      </c>
      <c r="T2" s="3" t="s">
        <v>50</v>
      </c>
      <c r="U2" s="3" t="s">
        <v>51</v>
      </c>
      <c r="V2" s="4"/>
      <c r="W2" s="3" t="s">
        <v>38</v>
      </c>
      <c r="X2" s="3" t="s">
        <v>49</v>
      </c>
      <c r="Y2" s="3" t="s">
        <v>1</v>
      </c>
      <c r="Z2" s="3" t="s">
        <v>48</v>
      </c>
      <c r="AA2" s="3" t="s">
        <v>50</v>
      </c>
      <c r="AB2" s="3" t="s">
        <v>51</v>
      </c>
      <c r="AC2" s="4"/>
      <c r="AD2" s="3" t="s">
        <v>90</v>
      </c>
      <c r="AE2" s="3" t="s">
        <v>91</v>
      </c>
      <c r="AF2" s="3" t="s">
        <v>1</v>
      </c>
      <c r="AG2" s="4"/>
      <c r="AH2" s="1" t="s">
        <v>12</v>
      </c>
      <c r="AI2" s="11"/>
      <c r="AJ2" s="11"/>
      <c r="AK2" s="11"/>
      <c r="AL2" s="11"/>
      <c r="AM2" s="11"/>
      <c r="AN2" s="11"/>
    </row>
    <row r="3" spans="1:40" ht="18.75" customHeight="1" x14ac:dyDescent="0.2">
      <c r="A3" s="12">
        <v>1</v>
      </c>
      <c r="B3" s="141">
        <v>15126</v>
      </c>
      <c r="C3" s="25"/>
      <c r="D3" s="13">
        <v>1</v>
      </c>
      <c r="E3" s="139">
        <v>60410</v>
      </c>
      <c r="F3" s="40"/>
      <c r="G3" s="13">
        <v>1</v>
      </c>
      <c r="H3" s="89">
        <v>26614</v>
      </c>
      <c r="I3" s="40"/>
      <c r="J3" s="13">
        <v>1</v>
      </c>
      <c r="K3" s="89">
        <v>31931</v>
      </c>
      <c r="L3" s="14"/>
      <c r="M3" s="13">
        <v>1</v>
      </c>
      <c r="N3" s="89">
        <v>76761</v>
      </c>
      <c r="O3" s="4"/>
      <c r="P3" s="12">
        <v>36</v>
      </c>
      <c r="Q3" s="27">
        <v>0.05</v>
      </c>
      <c r="R3" s="15">
        <f t="shared" ref="R3:R15" si="0">SUMIF($A:$A,P3,$B:$B)</f>
        <v>38833</v>
      </c>
      <c r="S3" s="12">
        <f t="shared" ref="S3:S15" si="1">ROUND(R3+(R3*Q3),0)</f>
        <v>40775</v>
      </c>
      <c r="T3" s="27">
        <v>0.15</v>
      </c>
      <c r="U3" s="12">
        <f t="shared" ref="U3:U15" si="2">ROUND(R3*T3,0)</f>
        <v>5825</v>
      </c>
      <c r="V3" s="4"/>
      <c r="W3" s="12">
        <v>45</v>
      </c>
      <c r="X3" s="27">
        <v>0.1</v>
      </c>
      <c r="Y3" s="15">
        <f t="shared" ref="Y3:Y15" si="3">SUMIF($A:$A,W3,$B:$B)</f>
        <v>50618</v>
      </c>
      <c r="Z3" s="12">
        <f t="shared" ref="Z3:Z15" si="4">ROUND(Y3+(Y3*X3),0)</f>
        <v>55680</v>
      </c>
      <c r="AA3" s="27">
        <v>0.15</v>
      </c>
      <c r="AB3" s="12">
        <f t="shared" ref="AB3:AB15" si="5">ROUND(Y3*AA3,0)</f>
        <v>7593</v>
      </c>
      <c r="AC3" s="78"/>
      <c r="AD3" s="12">
        <v>1</v>
      </c>
      <c r="AE3" s="12">
        <v>116</v>
      </c>
      <c r="AF3" s="12">
        <f t="shared" ref="AF3:AF13" si="6">SUMIF($A:$A,AE3,$B:$B)</f>
        <v>10588</v>
      </c>
      <c r="AG3" s="4"/>
      <c r="AH3" s="1" t="str">
        <f ca="1">IFERROR(MATCH(A3,OFFSET(Grades!$A$1,MATCH(Rates!$B$4,LIST,0),2,1,SUMIF(Grades!$A:$A,Rates!$B$4,Grades!$B:$B)),0),"")</f>
        <v/>
      </c>
    </row>
    <row r="4" spans="1:40" ht="18.75" customHeight="1" x14ac:dyDescent="0.2">
      <c r="A4" s="12">
        <v>2</v>
      </c>
      <c r="B4" s="138">
        <v>15417</v>
      </c>
      <c r="C4" s="25"/>
      <c r="D4" s="13">
        <v>2</v>
      </c>
      <c r="E4" s="139">
        <v>61615</v>
      </c>
      <c r="F4" s="40"/>
      <c r="G4" s="13">
        <v>2</v>
      </c>
      <c r="H4" s="89">
        <v>30805</v>
      </c>
      <c r="I4" s="40"/>
      <c r="J4" s="13">
        <v>2</v>
      </c>
      <c r="K4" s="89">
        <v>33512</v>
      </c>
      <c r="L4" s="14"/>
      <c r="M4" s="13">
        <v>2</v>
      </c>
      <c r="N4" s="89">
        <v>79165</v>
      </c>
      <c r="O4" s="4"/>
      <c r="P4" s="12">
        <v>37</v>
      </c>
      <c r="Q4" s="27">
        <v>0.05</v>
      </c>
      <c r="R4" s="15">
        <f t="shared" si="0"/>
        <v>39992</v>
      </c>
      <c r="S4" s="12">
        <f t="shared" si="1"/>
        <v>41992</v>
      </c>
      <c r="T4" s="27">
        <v>0.15</v>
      </c>
      <c r="U4" s="12">
        <f t="shared" si="2"/>
        <v>5999</v>
      </c>
      <c r="V4" s="4"/>
      <c r="W4" s="12">
        <v>46</v>
      </c>
      <c r="X4" s="27">
        <v>0.1</v>
      </c>
      <c r="Y4" s="15">
        <f t="shared" si="3"/>
        <v>52132</v>
      </c>
      <c r="Z4" s="12">
        <f t="shared" si="4"/>
        <v>57345</v>
      </c>
      <c r="AA4" s="27">
        <v>0.15</v>
      </c>
      <c r="AB4" s="12">
        <f t="shared" si="5"/>
        <v>7820</v>
      </c>
      <c r="AC4" s="78"/>
      <c r="AD4" s="12">
        <v>2</v>
      </c>
      <c r="AE4" s="12">
        <v>216</v>
      </c>
      <c r="AF4" s="12">
        <f t="shared" si="6"/>
        <v>10792</v>
      </c>
      <c r="AG4" s="4"/>
      <c r="AH4" s="1" t="str">
        <f ca="1">IFERROR(MATCH(A4,OFFSET(Grades!$A$1,MATCH(Rates!$B$4,LIST,0),2,1,SUMIF(Grades!$A:$A,Rates!$B$4,Grades!$B:$B)),0),"")</f>
        <v/>
      </c>
    </row>
    <row r="5" spans="1:40" ht="18.75" customHeight="1" x14ac:dyDescent="0.2">
      <c r="A5" s="12">
        <v>3</v>
      </c>
      <c r="B5" s="138">
        <v>15721</v>
      </c>
      <c r="C5" s="25"/>
      <c r="D5" s="13">
        <v>3</v>
      </c>
      <c r="E5" s="139">
        <v>62845</v>
      </c>
      <c r="F5" s="40"/>
      <c r="G5" s="13">
        <v>3</v>
      </c>
      <c r="H5" s="89">
        <v>36461</v>
      </c>
      <c r="I5" s="40"/>
      <c r="J5" s="13">
        <v>3</v>
      </c>
      <c r="K5" s="89">
        <v>35093</v>
      </c>
      <c r="L5" s="14"/>
      <c r="M5" s="13">
        <v>3</v>
      </c>
      <c r="N5" s="89">
        <v>81568</v>
      </c>
      <c r="O5" s="4"/>
      <c r="P5" s="12">
        <v>38</v>
      </c>
      <c r="Q5" s="27">
        <v>0.05</v>
      </c>
      <c r="R5" s="15">
        <f t="shared" si="0"/>
        <v>41212</v>
      </c>
      <c r="S5" s="12">
        <f t="shared" si="1"/>
        <v>43273</v>
      </c>
      <c r="T5" s="27">
        <v>0.15</v>
      </c>
      <c r="U5" s="12">
        <f t="shared" si="2"/>
        <v>6182</v>
      </c>
      <c r="V5" s="4"/>
      <c r="W5" s="12">
        <v>47</v>
      </c>
      <c r="X5" s="27">
        <v>0.1</v>
      </c>
      <c r="Y5" s="15">
        <f t="shared" si="3"/>
        <v>53691</v>
      </c>
      <c r="Z5" s="12">
        <f t="shared" si="4"/>
        <v>59060</v>
      </c>
      <c r="AA5" s="27">
        <v>0.15</v>
      </c>
      <c r="AB5" s="12">
        <f t="shared" si="5"/>
        <v>8054</v>
      </c>
      <c r="AC5" s="78"/>
      <c r="AD5" s="12">
        <v>3</v>
      </c>
      <c r="AE5" s="12">
        <v>316</v>
      </c>
      <c r="AF5" s="12">
        <f t="shared" si="6"/>
        <v>11005</v>
      </c>
      <c r="AG5" s="4"/>
      <c r="AH5" s="1">
        <f ca="1">IFERROR(MATCH(A5,OFFSET(Grades!$A$1,MATCH(Rates!$B$4,LIST,0),2,1,SUMIF(Grades!$A:$A,Rates!$B$4,Grades!$B:$B)),0),"")</f>
        <v>1</v>
      </c>
    </row>
    <row r="6" spans="1:40" ht="18.75" customHeight="1" x14ac:dyDescent="0.2">
      <c r="A6" s="12">
        <v>4</v>
      </c>
      <c r="B6" s="138">
        <v>16035</v>
      </c>
      <c r="C6" s="25"/>
      <c r="D6" s="13">
        <v>4</v>
      </c>
      <c r="E6" s="139">
        <v>64098</v>
      </c>
      <c r="F6" s="40"/>
      <c r="G6" s="13">
        <v>4</v>
      </c>
      <c r="H6" s="89">
        <v>46208</v>
      </c>
      <c r="I6" s="40"/>
      <c r="J6" s="13">
        <v>4</v>
      </c>
      <c r="K6" s="89">
        <v>36675</v>
      </c>
      <c r="L6" s="14"/>
      <c r="M6" s="13">
        <v>4</v>
      </c>
      <c r="N6" s="89">
        <v>83972</v>
      </c>
      <c r="O6" s="4"/>
      <c r="P6" s="12">
        <v>39</v>
      </c>
      <c r="Q6" s="27">
        <v>0.05</v>
      </c>
      <c r="R6" s="15">
        <f t="shared" si="0"/>
        <v>42418</v>
      </c>
      <c r="S6" s="12">
        <f t="shared" si="1"/>
        <v>44539</v>
      </c>
      <c r="T6" s="27">
        <v>0.15</v>
      </c>
      <c r="U6" s="12">
        <f t="shared" si="2"/>
        <v>6363</v>
      </c>
      <c r="V6" s="4"/>
      <c r="W6" s="12">
        <v>48</v>
      </c>
      <c r="X6" s="27">
        <v>0.1</v>
      </c>
      <c r="Y6" s="15">
        <f t="shared" si="3"/>
        <v>55297</v>
      </c>
      <c r="Z6" s="12">
        <f t="shared" si="4"/>
        <v>60827</v>
      </c>
      <c r="AA6" s="27">
        <v>0.15</v>
      </c>
      <c r="AB6" s="12">
        <f t="shared" si="5"/>
        <v>8295</v>
      </c>
      <c r="AC6" s="78"/>
      <c r="AD6" s="12">
        <v>4</v>
      </c>
      <c r="AE6" s="12">
        <v>117</v>
      </c>
      <c r="AF6" s="12">
        <f t="shared" si="6"/>
        <v>12857</v>
      </c>
      <c r="AG6" s="4"/>
      <c r="AH6" s="1">
        <f ca="1">IFERROR(MATCH(A6,OFFSET(Grades!$A$1,MATCH(Rates!$B$4,LIST,0),2,1,SUMIF(Grades!$A:$A,Rates!$B$4,Grades!$B:$B)),0),"")</f>
        <v>2</v>
      </c>
    </row>
    <row r="7" spans="1:40" ht="18.75" customHeight="1" x14ac:dyDescent="0.2">
      <c r="A7" s="12">
        <v>5</v>
      </c>
      <c r="B7" s="138">
        <v>16341</v>
      </c>
      <c r="C7" s="25"/>
      <c r="D7" s="13">
        <v>5</v>
      </c>
      <c r="E7" s="139">
        <v>65377</v>
      </c>
      <c r="F7" s="40"/>
      <c r="G7" s="140"/>
      <c r="H7" s="140"/>
      <c r="I7" s="40"/>
      <c r="J7" s="13">
        <v>5</v>
      </c>
      <c r="K7" s="89">
        <v>38582</v>
      </c>
      <c r="L7" s="14"/>
      <c r="M7" s="13">
        <v>5</v>
      </c>
      <c r="N7" s="89">
        <v>86369</v>
      </c>
      <c r="O7" s="4"/>
      <c r="P7" s="12">
        <v>40</v>
      </c>
      <c r="Q7" s="27">
        <v>0.05</v>
      </c>
      <c r="R7" s="15">
        <f t="shared" si="0"/>
        <v>43685</v>
      </c>
      <c r="S7" s="12">
        <f t="shared" si="1"/>
        <v>45869</v>
      </c>
      <c r="T7" s="27">
        <v>0.15</v>
      </c>
      <c r="U7" s="12">
        <f t="shared" si="2"/>
        <v>6553</v>
      </c>
      <c r="V7" s="4"/>
      <c r="W7" s="12">
        <v>49</v>
      </c>
      <c r="X7" s="27">
        <v>0.1</v>
      </c>
      <c r="Y7" s="15">
        <f t="shared" si="3"/>
        <v>56950</v>
      </c>
      <c r="Z7" s="12">
        <f t="shared" si="4"/>
        <v>62645</v>
      </c>
      <c r="AA7" s="27">
        <v>0.15</v>
      </c>
      <c r="AB7" s="12">
        <f t="shared" si="5"/>
        <v>8543</v>
      </c>
      <c r="AC7" s="78"/>
      <c r="AD7" s="12">
        <v>5</v>
      </c>
      <c r="AE7" s="12">
        <v>217</v>
      </c>
      <c r="AF7" s="12">
        <f t="shared" si="6"/>
        <v>13104</v>
      </c>
      <c r="AG7" s="4"/>
      <c r="AH7" s="1">
        <f ca="1">IFERROR(MATCH(A7,OFFSET(Grades!$A$1,MATCH(Rates!$B$4,LIST,0),2,1,SUMIF(Grades!$A:$A,Rates!$B$4,Grades!$B:$B)),0),"")</f>
        <v>3</v>
      </c>
    </row>
    <row r="8" spans="1:40" ht="18.75" customHeight="1" x14ac:dyDescent="0.2">
      <c r="A8" s="12">
        <v>6</v>
      </c>
      <c r="B8" s="138">
        <v>16654</v>
      </c>
      <c r="C8" s="25"/>
      <c r="D8" s="13">
        <v>6</v>
      </c>
      <c r="E8" s="139">
        <v>66682</v>
      </c>
      <c r="F8" s="40"/>
      <c r="G8" s="140"/>
      <c r="H8" s="140"/>
      <c r="I8" s="40"/>
      <c r="J8" s="13">
        <v>6</v>
      </c>
      <c r="K8" s="89">
        <v>40491</v>
      </c>
      <c r="L8" s="14"/>
      <c r="M8" s="13">
        <v>6</v>
      </c>
      <c r="N8" s="89">
        <v>92078</v>
      </c>
      <c r="O8" s="4"/>
      <c r="P8" s="12">
        <v>41</v>
      </c>
      <c r="Q8" s="27">
        <v>0.05</v>
      </c>
      <c r="R8" s="15">
        <f t="shared" si="0"/>
        <v>44992</v>
      </c>
      <c r="S8" s="12">
        <f t="shared" si="1"/>
        <v>47242</v>
      </c>
      <c r="T8" s="27">
        <v>0.15</v>
      </c>
      <c r="U8" s="12">
        <f t="shared" si="2"/>
        <v>6749</v>
      </c>
      <c r="V8" s="4"/>
      <c r="W8" s="12">
        <v>50</v>
      </c>
      <c r="X8" s="27">
        <v>0.1</v>
      </c>
      <c r="Y8" s="15">
        <f t="shared" si="3"/>
        <v>58655</v>
      </c>
      <c r="Z8" s="12">
        <f t="shared" si="4"/>
        <v>64521</v>
      </c>
      <c r="AA8" s="27">
        <v>0.15</v>
      </c>
      <c r="AB8" s="12">
        <f t="shared" si="5"/>
        <v>8798</v>
      </c>
      <c r="AC8" s="78"/>
      <c r="AD8" s="12">
        <v>6</v>
      </c>
      <c r="AE8" s="12">
        <v>317</v>
      </c>
      <c r="AF8" s="12">
        <f t="shared" si="6"/>
        <v>13363</v>
      </c>
      <c r="AG8" s="4"/>
      <c r="AH8" s="1">
        <f ca="1">IFERROR(MATCH(A8,OFFSET(Grades!$A$1,MATCH(Rates!$B$4,LIST,0),2,1,SUMIF(Grades!$A:$A,Rates!$B$4,Grades!$B:$B)),0),"")</f>
        <v>4</v>
      </c>
    </row>
    <row r="9" spans="1:40" ht="18.75" customHeight="1" x14ac:dyDescent="0.2">
      <c r="A9" s="12">
        <v>7</v>
      </c>
      <c r="B9" s="138">
        <v>16983</v>
      </c>
      <c r="C9" s="25"/>
      <c r="D9" s="13">
        <v>7</v>
      </c>
      <c r="E9" s="139">
        <v>68012</v>
      </c>
      <c r="F9" s="40"/>
      <c r="G9" s="140"/>
      <c r="H9" s="140"/>
      <c r="I9" s="40"/>
      <c r="J9" s="13">
        <v>7</v>
      </c>
      <c r="K9" s="89">
        <v>42399</v>
      </c>
      <c r="L9" s="14"/>
      <c r="M9" s="13">
        <v>7</v>
      </c>
      <c r="N9" s="89">
        <v>97787</v>
      </c>
      <c r="O9" s="4"/>
      <c r="P9" s="12">
        <v>42</v>
      </c>
      <c r="Q9" s="27">
        <v>0.05</v>
      </c>
      <c r="R9" s="15">
        <f t="shared" si="0"/>
        <v>46336</v>
      </c>
      <c r="S9" s="12">
        <f t="shared" si="1"/>
        <v>48653</v>
      </c>
      <c r="T9" s="27">
        <v>0.15</v>
      </c>
      <c r="U9" s="12">
        <f t="shared" si="2"/>
        <v>6950</v>
      </c>
      <c r="V9" s="4"/>
      <c r="W9" s="12">
        <v>51</v>
      </c>
      <c r="X9" s="27">
        <v>0.15</v>
      </c>
      <c r="Y9" s="15">
        <f t="shared" si="3"/>
        <v>60410</v>
      </c>
      <c r="Z9" s="12">
        <f t="shared" si="4"/>
        <v>69472</v>
      </c>
      <c r="AA9" s="27">
        <v>0.2</v>
      </c>
      <c r="AB9" s="12">
        <f t="shared" si="5"/>
        <v>12082</v>
      </c>
      <c r="AC9" s="78"/>
      <c r="AD9" s="12">
        <v>7</v>
      </c>
      <c r="AE9" s="12">
        <v>2</v>
      </c>
      <c r="AF9" s="12">
        <f t="shared" si="6"/>
        <v>15417</v>
      </c>
      <c r="AG9" s="4"/>
      <c r="AH9" s="1">
        <f ca="1">IFERROR(MATCH(A9,OFFSET(Grades!$A$1,MATCH(Rates!$B$4,LIST,0),2,1,SUMIF(Grades!$A:$A,Rates!$B$4,Grades!$B:$B)),0),"")</f>
        <v>5</v>
      </c>
    </row>
    <row r="10" spans="1:40" ht="18.75" customHeight="1" x14ac:dyDescent="0.2">
      <c r="A10" s="12">
        <v>8</v>
      </c>
      <c r="B10" s="138">
        <v>17326</v>
      </c>
      <c r="C10" s="25"/>
      <c r="D10" s="13">
        <v>8</v>
      </c>
      <c r="E10" s="139">
        <v>69369</v>
      </c>
      <c r="F10" s="40"/>
      <c r="G10" s="140"/>
      <c r="H10" s="140"/>
      <c r="I10" s="40"/>
      <c r="J10" s="13">
        <v>8</v>
      </c>
      <c r="K10" s="89">
        <v>44307</v>
      </c>
      <c r="L10" s="14"/>
      <c r="M10" s="13">
        <v>8</v>
      </c>
      <c r="N10" s="89">
        <v>103490</v>
      </c>
      <c r="O10" s="4"/>
      <c r="P10" s="12">
        <v>43</v>
      </c>
      <c r="Q10" s="27">
        <v>0.1</v>
      </c>
      <c r="R10" s="15">
        <f t="shared" si="0"/>
        <v>47722</v>
      </c>
      <c r="S10" s="12">
        <f t="shared" si="1"/>
        <v>52494</v>
      </c>
      <c r="T10" s="27">
        <v>0.15</v>
      </c>
      <c r="U10" s="12">
        <f t="shared" si="2"/>
        <v>7158</v>
      </c>
      <c r="V10" s="4"/>
      <c r="W10" s="12">
        <v>52</v>
      </c>
      <c r="X10" s="27">
        <v>0.15</v>
      </c>
      <c r="Y10" s="15">
        <f t="shared" si="3"/>
        <v>62199</v>
      </c>
      <c r="Z10" s="12">
        <f t="shared" si="4"/>
        <v>71529</v>
      </c>
      <c r="AA10" s="27">
        <v>0.2</v>
      </c>
      <c r="AB10" s="12">
        <f t="shared" si="5"/>
        <v>12440</v>
      </c>
      <c r="AC10" s="78"/>
      <c r="AD10" s="12">
        <v>8</v>
      </c>
      <c r="AE10" s="12">
        <v>3</v>
      </c>
      <c r="AF10" s="12">
        <f t="shared" si="6"/>
        <v>15721</v>
      </c>
      <c r="AG10" s="4"/>
      <c r="AH10" s="1">
        <f ca="1">IFERROR(MATCH(A10,OFFSET(Grades!$A$1,MATCH(Rates!$B$4,LIST,0),2,1,SUMIF(Grades!$A:$A,Rates!$B$4,Grades!$B:$B)),0),"")</f>
        <v>6</v>
      </c>
    </row>
    <row r="11" spans="1:40" ht="18.75" customHeight="1" x14ac:dyDescent="0.2">
      <c r="A11" s="12">
        <v>9</v>
      </c>
      <c r="B11" s="138">
        <v>17764</v>
      </c>
      <c r="C11" s="25"/>
      <c r="D11" s="13">
        <v>9</v>
      </c>
      <c r="E11" s="139">
        <v>70753</v>
      </c>
      <c r="F11" s="40"/>
      <c r="G11" s="140"/>
      <c r="H11" s="140"/>
      <c r="I11" s="40"/>
      <c r="J11" s="13">
        <v>9</v>
      </c>
      <c r="K11" s="89">
        <v>46215</v>
      </c>
      <c r="L11" s="14"/>
      <c r="M11" s="14"/>
      <c r="N11" s="14"/>
      <c r="O11" s="4"/>
      <c r="P11" s="12">
        <v>44</v>
      </c>
      <c r="Q11" s="27">
        <v>0.1</v>
      </c>
      <c r="R11" s="15">
        <f t="shared" si="0"/>
        <v>49149</v>
      </c>
      <c r="S11" s="12">
        <f t="shared" si="1"/>
        <v>54064</v>
      </c>
      <c r="T11" s="27">
        <v>0.15</v>
      </c>
      <c r="U11" s="12">
        <f t="shared" si="2"/>
        <v>7372</v>
      </c>
      <c r="V11" s="4"/>
      <c r="W11" s="12">
        <v>53</v>
      </c>
      <c r="X11" s="27">
        <v>0.15</v>
      </c>
      <c r="Y11" s="15">
        <f t="shared" si="3"/>
        <v>64061</v>
      </c>
      <c r="Z11" s="12">
        <f t="shared" si="4"/>
        <v>73670</v>
      </c>
      <c r="AA11" s="27">
        <v>0.2</v>
      </c>
      <c r="AB11" s="12">
        <f t="shared" si="5"/>
        <v>12812</v>
      </c>
      <c r="AC11" s="78"/>
      <c r="AD11" s="12">
        <v>9</v>
      </c>
      <c r="AE11" s="12">
        <v>7</v>
      </c>
      <c r="AF11" s="12">
        <f t="shared" si="6"/>
        <v>16983</v>
      </c>
      <c r="AG11" s="4"/>
      <c r="AH11" s="1">
        <f ca="1">IFERROR(MATCH(A11,OFFSET(Grades!$A$1,MATCH(Rates!$B$4,LIST,0),2,1,SUMIF(Grades!$A:$A,Rates!$B$4,Grades!$B:$B)),0),"")</f>
        <v>7</v>
      </c>
    </row>
    <row r="12" spans="1:40" ht="18.75" customHeight="1" x14ac:dyDescent="0.2">
      <c r="A12" s="12">
        <v>10</v>
      </c>
      <c r="B12" s="138">
        <v>18263</v>
      </c>
      <c r="C12" s="25"/>
      <c r="D12" s="13">
        <v>10</v>
      </c>
      <c r="E12" s="139">
        <v>72164</v>
      </c>
      <c r="F12" s="40"/>
      <c r="G12" s="140"/>
      <c r="H12" s="140"/>
      <c r="I12" s="40"/>
      <c r="J12" s="13">
        <v>10</v>
      </c>
      <c r="K12" s="89">
        <v>51176</v>
      </c>
      <c r="L12" s="14"/>
      <c r="M12" s="14"/>
      <c r="N12" s="14"/>
      <c r="O12" s="4"/>
      <c r="P12" s="12">
        <v>45</v>
      </c>
      <c r="Q12" s="27">
        <v>0.1</v>
      </c>
      <c r="R12" s="15">
        <f t="shared" si="0"/>
        <v>50618</v>
      </c>
      <c r="S12" s="12">
        <f t="shared" si="1"/>
        <v>55680</v>
      </c>
      <c r="T12" s="27">
        <v>0.15</v>
      </c>
      <c r="U12" s="12">
        <f t="shared" si="2"/>
        <v>7593</v>
      </c>
      <c r="V12" s="4"/>
      <c r="W12" s="12">
        <v>54</v>
      </c>
      <c r="X12" s="27">
        <v>0.15</v>
      </c>
      <c r="Y12" s="15">
        <f t="shared" si="3"/>
        <v>65980</v>
      </c>
      <c r="Z12" s="12">
        <f t="shared" si="4"/>
        <v>75877</v>
      </c>
      <c r="AA12" s="27">
        <v>0.2</v>
      </c>
      <c r="AB12" s="12">
        <f t="shared" si="5"/>
        <v>13196</v>
      </c>
      <c r="AC12" s="78"/>
      <c r="AD12" s="12">
        <v>10</v>
      </c>
      <c r="AE12" s="12">
        <v>8</v>
      </c>
      <c r="AF12" s="12">
        <f t="shared" si="6"/>
        <v>17326</v>
      </c>
      <c r="AG12" s="4"/>
      <c r="AH12" s="1">
        <f ca="1">IFERROR(MATCH(A12,OFFSET(Grades!$A$1,MATCH(Rates!$B$4,LIST,0),2,1,SUMIF(Grades!$A:$A,Rates!$B$4,Grades!$B:$B)),0),"")</f>
        <v>8</v>
      </c>
    </row>
    <row r="13" spans="1:40" ht="18.75" customHeight="1" x14ac:dyDescent="0.2">
      <c r="A13" s="12">
        <v>11</v>
      </c>
      <c r="B13" s="138">
        <v>18777</v>
      </c>
      <c r="C13" s="25"/>
      <c r="D13" s="13">
        <v>11</v>
      </c>
      <c r="E13" s="139">
        <v>73603</v>
      </c>
      <c r="F13" s="40"/>
      <c r="G13" s="140"/>
      <c r="H13" s="140"/>
      <c r="I13" s="40"/>
      <c r="J13" s="13">
        <v>11</v>
      </c>
      <c r="K13" s="89">
        <v>55288</v>
      </c>
      <c r="L13" s="14"/>
      <c r="M13" s="14"/>
      <c r="N13" s="14"/>
      <c r="O13" s="4"/>
      <c r="P13" s="12">
        <v>46</v>
      </c>
      <c r="Q13" s="27">
        <v>0.1</v>
      </c>
      <c r="R13" s="15">
        <f t="shared" si="0"/>
        <v>52132</v>
      </c>
      <c r="S13" s="12">
        <f t="shared" si="1"/>
        <v>57345</v>
      </c>
      <c r="T13" s="27">
        <v>0.15</v>
      </c>
      <c r="U13" s="12">
        <f t="shared" si="2"/>
        <v>7820</v>
      </c>
      <c r="V13" s="4"/>
      <c r="W13" s="12">
        <v>55</v>
      </c>
      <c r="X13" s="27">
        <v>0.15</v>
      </c>
      <c r="Y13" s="15">
        <f t="shared" si="3"/>
        <v>67954</v>
      </c>
      <c r="Z13" s="12">
        <f t="shared" si="4"/>
        <v>78147</v>
      </c>
      <c r="AA13" s="27">
        <v>0.2</v>
      </c>
      <c r="AB13" s="12">
        <f t="shared" si="5"/>
        <v>13591</v>
      </c>
      <c r="AC13" s="78"/>
      <c r="AD13" s="12">
        <v>11</v>
      </c>
      <c r="AE13" s="12">
        <v>9</v>
      </c>
      <c r="AF13" s="12">
        <f t="shared" si="6"/>
        <v>17764</v>
      </c>
      <c r="AG13" s="4"/>
      <c r="AH13" s="1">
        <f ca="1">IFERROR(MATCH(A13,OFFSET(Grades!$A$1,MATCH(Rates!$B$4,LIST,0),2,1,SUMIF(Grades!$A:$A,Rates!$B$4,Grades!$B:$B)),0),"")</f>
        <v>9</v>
      </c>
    </row>
    <row r="14" spans="1:40" ht="18.75" customHeight="1" x14ac:dyDescent="0.2">
      <c r="A14" s="12">
        <v>12</v>
      </c>
      <c r="B14" s="138">
        <v>19305</v>
      </c>
      <c r="C14" s="25"/>
      <c r="D14" s="13">
        <v>12</v>
      </c>
      <c r="E14" s="139">
        <v>75073</v>
      </c>
      <c r="F14" s="40"/>
      <c r="G14" s="140"/>
      <c r="H14" s="140"/>
      <c r="I14" s="40"/>
      <c r="J14" s="13">
        <v>19</v>
      </c>
      <c r="K14" s="89">
        <v>63733</v>
      </c>
      <c r="L14" s="14"/>
      <c r="M14" s="14"/>
      <c r="N14" s="14"/>
      <c r="O14" s="4"/>
      <c r="P14" s="12">
        <v>47</v>
      </c>
      <c r="Q14" s="27">
        <v>0.1</v>
      </c>
      <c r="R14" s="15">
        <f t="shared" si="0"/>
        <v>53691</v>
      </c>
      <c r="S14" s="12">
        <f t="shared" si="1"/>
        <v>59060</v>
      </c>
      <c r="T14" s="27">
        <v>0.15</v>
      </c>
      <c r="U14" s="12">
        <f t="shared" si="2"/>
        <v>8054</v>
      </c>
      <c r="V14" s="4"/>
      <c r="W14" s="12">
        <v>56</v>
      </c>
      <c r="X14" s="27">
        <v>0.15</v>
      </c>
      <c r="Y14" s="15">
        <f t="shared" si="3"/>
        <v>69987</v>
      </c>
      <c r="Z14" s="12">
        <f t="shared" si="4"/>
        <v>80485</v>
      </c>
      <c r="AA14" s="27">
        <v>0.2</v>
      </c>
      <c r="AB14" s="12">
        <f t="shared" si="5"/>
        <v>13997</v>
      </c>
      <c r="AC14" s="78"/>
      <c r="AD14" s="78"/>
      <c r="AE14" s="78"/>
      <c r="AF14" s="78"/>
      <c r="AG14" s="4"/>
      <c r="AH14" s="1">
        <f ca="1">IFERROR(MATCH(A14,OFFSET(Grades!$A$1,MATCH(Rates!$B$4,LIST,0),2,1,SUMIF(Grades!$A:$A,Rates!$B$4,Grades!$B:$B)),0),"")</f>
        <v>10</v>
      </c>
    </row>
    <row r="15" spans="1:40" ht="18.75" customHeight="1" x14ac:dyDescent="0.2">
      <c r="A15" s="12">
        <v>13</v>
      </c>
      <c r="B15" s="138">
        <v>19850</v>
      </c>
      <c r="C15" s="25"/>
      <c r="D15" s="13">
        <v>13</v>
      </c>
      <c r="E15" s="139">
        <v>76571</v>
      </c>
      <c r="F15" s="40"/>
      <c r="G15" s="140"/>
      <c r="H15" s="140"/>
      <c r="I15" s="40"/>
      <c r="J15" s="13">
        <v>20</v>
      </c>
      <c r="K15" s="89">
        <v>68293</v>
      </c>
      <c r="L15" s="14"/>
      <c r="M15" s="14"/>
      <c r="N15" s="14"/>
      <c r="O15" s="4"/>
      <c r="P15" s="12">
        <v>48</v>
      </c>
      <c r="Q15" s="27">
        <v>0.1</v>
      </c>
      <c r="R15" s="15">
        <f t="shared" si="0"/>
        <v>55297</v>
      </c>
      <c r="S15" s="12">
        <f t="shared" si="1"/>
        <v>60827</v>
      </c>
      <c r="T15" s="27">
        <v>0.15</v>
      </c>
      <c r="U15" s="12">
        <f t="shared" si="2"/>
        <v>8295</v>
      </c>
      <c r="V15" s="4"/>
      <c r="W15" s="12">
        <v>57</v>
      </c>
      <c r="X15" s="27">
        <v>0.15</v>
      </c>
      <c r="Y15" s="15">
        <f t="shared" si="3"/>
        <v>72082</v>
      </c>
      <c r="Z15" s="12">
        <f t="shared" si="4"/>
        <v>82894</v>
      </c>
      <c r="AA15" s="27">
        <v>0.2</v>
      </c>
      <c r="AB15" s="12">
        <f t="shared" si="5"/>
        <v>14416</v>
      </c>
      <c r="AC15" s="78"/>
      <c r="AD15" s="78"/>
      <c r="AE15" s="78"/>
      <c r="AF15" s="78"/>
      <c r="AG15" s="4"/>
      <c r="AH15" s="1">
        <f ca="1">IFERROR(MATCH(A15,OFFSET(Grades!$A$1,MATCH(Rates!$B$4,LIST,0),2,1,SUMIF(Grades!$A:$A,Rates!$B$4,Grades!$B:$B)),0),"")</f>
        <v>11</v>
      </c>
    </row>
    <row r="16" spans="1:40" ht="18.75" customHeight="1" x14ac:dyDescent="0.2">
      <c r="A16" s="12">
        <v>14</v>
      </c>
      <c r="B16" s="138">
        <v>20411</v>
      </c>
      <c r="C16" s="25"/>
      <c r="D16" s="13">
        <v>14</v>
      </c>
      <c r="E16" s="139">
        <v>78100</v>
      </c>
      <c r="F16" s="40"/>
      <c r="G16" s="140"/>
      <c r="H16" s="140"/>
      <c r="I16" s="40"/>
      <c r="J16" s="13">
        <v>21</v>
      </c>
      <c r="K16" s="89">
        <v>72855</v>
      </c>
      <c r="L16" s="14"/>
      <c r="M16" s="14"/>
      <c r="N16" s="14"/>
      <c r="O16" s="4"/>
      <c r="P16" s="4"/>
      <c r="Q16" s="4"/>
      <c r="R16" s="4"/>
      <c r="S16" s="4"/>
      <c r="T16" s="4"/>
      <c r="U16" s="4"/>
      <c r="V16" s="4"/>
      <c r="W16" s="4"/>
      <c r="X16" s="4"/>
      <c r="Y16" s="4"/>
      <c r="Z16" s="4"/>
      <c r="AA16" s="4"/>
      <c r="AB16" s="4"/>
      <c r="AC16" s="4"/>
      <c r="AD16" s="4"/>
      <c r="AE16" s="4"/>
      <c r="AF16" s="4"/>
      <c r="AG16" s="4"/>
      <c r="AH16" s="1">
        <f ca="1">IFERROR(MATCH(A16,OFFSET(Grades!$A$1,MATCH(Rates!$B$4,LIST,0),2,1,SUMIF(Grades!$A:$A,Rates!$B$4,Grades!$B:$B)),0),"")</f>
        <v>12</v>
      </c>
    </row>
    <row r="17" spans="1:34" ht="18.75" customHeight="1" x14ac:dyDescent="0.2">
      <c r="A17" s="12">
        <v>15</v>
      </c>
      <c r="B17" s="138">
        <v>20989</v>
      </c>
      <c r="C17" s="25"/>
      <c r="D17" s="13">
        <v>15</v>
      </c>
      <c r="E17" s="139">
        <v>79659</v>
      </c>
      <c r="F17" s="40"/>
      <c r="G17" s="140"/>
      <c r="H17" s="140"/>
      <c r="I17" s="40"/>
      <c r="J17" s="13">
        <v>22</v>
      </c>
      <c r="K17" s="89">
        <v>77415</v>
      </c>
      <c r="L17" s="14"/>
      <c r="M17" s="14"/>
      <c r="N17" s="14"/>
      <c r="O17" s="4"/>
      <c r="P17" s="4"/>
      <c r="Q17" s="4"/>
      <c r="R17" s="4"/>
      <c r="S17" s="4"/>
      <c r="T17" s="4"/>
      <c r="U17" s="4"/>
      <c r="V17" s="4"/>
      <c r="W17" s="4"/>
      <c r="X17" s="4"/>
      <c r="Y17" s="4"/>
      <c r="Z17" s="4"/>
      <c r="AA17" s="4"/>
      <c r="AB17" s="4"/>
      <c r="AC17" s="4"/>
      <c r="AD17" s="4"/>
      <c r="AE17" s="4"/>
      <c r="AF17" s="4"/>
      <c r="AG17" s="4"/>
      <c r="AH17" s="1">
        <f ca="1">IFERROR(MATCH(A17,OFFSET(Grades!$A$1,MATCH(Rates!$B$4,LIST,0),2,1,SUMIF(Grades!$A:$A,Rates!$B$4,Grades!$B:$B)),0),"")</f>
        <v>13</v>
      </c>
    </row>
    <row r="18" spans="1:34" ht="18.75" customHeight="1" x14ac:dyDescent="0.2">
      <c r="A18" s="12">
        <v>16</v>
      </c>
      <c r="B18" s="138">
        <v>21585</v>
      </c>
      <c r="C18" s="25"/>
      <c r="D18" s="13">
        <v>16</v>
      </c>
      <c r="E18" s="139">
        <v>81248</v>
      </c>
      <c r="F18" s="40"/>
      <c r="G18" s="140"/>
      <c r="H18" s="140"/>
      <c r="I18" s="40"/>
      <c r="J18" s="13">
        <v>23</v>
      </c>
      <c r="K18" s="89">
        <v>82616</v>
      </c>
      <c r="L18" s="14"/>
      <c r="M18" s="14"/>
      <c r="N18" s="14"/>
      <c r="O18" s="4"/>
      <c r="P18" s="4"/>
      <c r="Q18" s="4"/>
      <c r="R18" s="4"/>
      <c r="S18" s="4"/>
      <c r="T18" s="4"/>
      <c r="U18" s="4"/>
      <c r="V18" s="4"/>
      <c r="W18" s="4"/>
      <c r="X18" s="4"/>
      <c r="Y18" s="4"/>
      <c r="Z18" s="4"/>
      <c r="AA18" s="4"/>
      <c r="AB18" s="4"/>
      <c r="AC18" s="4"/>
      <c r="AD18" s="4"/>
      <c r="AE18" s="4"/>
      <c r="AF18" s="4"/>
      <c r="AG18" s="4"/>
      <c r="AH18" s="1">
        <f ca="1">IFERROR(MATCH(A18,OFFSET(Grades!$A$1,MATCH(Rates!$B$4,LIST,0),2,1,SUMIF(Grades!$A:$A,Rates!$B$4,Grades!$B:$B)),0),"")</f>
        <v>14</v>
      </c>
    </row>
    <row r="19" spans="1:34" ht="18.75" customHeight="1" x14ac:dyDescent="0.2">
      <c r="A19" s="12">
        <v>17</v>
      </c>
      <c r="B19" s="138">
        <v>22214</v>
      </c>
      <c r="C19" s="25"/>
      <c r="D19" s="13">
        <v>17</v>
      </c>
      <c r="E19" s="139">
        <v>82870</v>
      </c>
      <c r="F19" s="40"/>
      <c r="G19" s="140"/>
      <c r="H19" s="140"/>
      <c r="I19" s="40"/>
      <c r="J19" s="14"/>
      <c r="K19" s="14"/>
      <c r="L19" s="7"/>
      <c r="M19" s="4"/>
      <c r="N19" s="4"/>
      <c r="O19" s="4"/>
      <c r="P19" s="4"/>
      <c r="Q19" s="4"/>
      <c r="R19" s="4"/>
      <c r="S19" s="4"/>
      <c r="T19" s="4"/>
      <c r="U19" s="4"/>
      <c r="V19" s="4"/>
      <c r="W19" s="4"/>
      <c r="X19" s="4"/>
      <c r="Y19" s="4"/>
      <c r="Z19" s="4"/>
      <c r="AA19" s="4"/>
      <c r="AB19" s="4"/>
      <c r="AC19" s="4"/>
      <c r="AD19" s="4"/>
      <c r="AE19" s="4"/>
      <c r="AF19" s="4"/>
      <c r="AG19" s="4"/>
      <c r="AH19" s="1">
        <f ca="1">IFERROR(MATCH(A19,OFFSET(Grades!$A$1,MATCH(Rates!$B$4,LIST,0),2,1,SUMIF(Grades!$A:$A,Rates!$B$4,Grades!$B:$B)),0),"")</f>
        <v>15</v>
      </c>
    </row>
    <row r="20" spans="1:34" ht="18.75" customHeight="1" x14ac:dyDescent="0.2">
      <c r="A20" s="12">
        <v>18</v>
      </c>
      <c r="B20" s="138">
        <v>22876</v>
      </c>
      <c r="C20" s="25"/>
      <c r="D20" s="13">
        <v>18</v>
      </c>
      <c r="E20" s="139">
        <v>84524</v>
      </c>
      <c r="F20" s="40"/>
      <c r="G20" s="140"/>
      <c r="H20" s="140"/>
      <c r="I20" s="40"/>
      <c r="J20" s="14"/>
      <c r="K20" s="14"/>
      <c r="L20" s="7"/>
      <c r="M20" s="4"/>
      <c r="N20" s="4"/>
      <c r="O20" s="4"/>
      <c r="P20" s="4"/>
      <c r="Q20" s="4"/>
      <c r="R20" s="4"/>
      <c r="S20" s="4"/>
      <c r="T20" s="4"/>
      <c r="U20" s="4"/>
      <c r="V20" s="4"/>
      <c r="W20" s="4"/>
      <c r="X20" s="4"/>
      <c r="Y20" s="4"/>
      <c r="Z20" s="4"/>
      <c r="AA20" s="4"/>
      <c r="AB20" s="4"/>
      <c r="AC20" s="4"/>
      <c r="AD20" s="4"/>
      <c r="AE20" s="4"/>
      <c r="AF20" s="4"/>
      <c r="AG20" s="4"/>
      <c r="AH20" s="1">
        <f ca="1">IFERROR(MATCH(A20,OFFSET(Grades!$A$1,MATCH(Rates!$B$4,LIST,0),2,1,SUMIF(Grades!$A:$A,Rates!$B$4,Grades!$B:$B)),0),"")</f>
        <v>16</v>
      </c>
    </row>
    <row r="21" spans="1:34" ht="18.75" customHeight="1" x14ac:dyDescent="0.2">
      <c r="A21" s="12">
        <v>19</v>
      </c>
      <c r="B21" s="138">
        <v>23557</v>
      </c>
      <c r="C21" s="25"/>
      <c r="D21" s="13">
        <v>19</v>
      </c>
      <c r="E21" s="139">
        <v>86212</v>
      </c>
      <c r="F21" s="40"/>
      <c r="G21" s="140"/>
      <c r="H21" s="140"/>
      <c r="I21" s="40"/>
      <c r="J21" s="14"/>
      <c r="K21" s="14"/>
      <c r="L21" s="7"/>
      <c r="M21" s="4"/>
      <c r="N21" s="4"/>
      <c r="O21" s="4"/>
      <c r="P21" s="4"/>
      <c r="Q21" s="4"/>
      <c r="R21" s="4"/>
      <c r="S21" s="4"/>
      <c r="T21" s="4"/>
      <c r="U21" s="4"/>
      <c r="V21" s="4"/>
      <c r="W21" s="4"/>
      <c r="X21" s="4"/>
      <c r="Y21" s="4"/>
      <c r="Z21" s="4"/>
      <c r="AA21" s="4"/>
      <c r="AB21" s="4"/>
      <c r="AC21" s="4"/>
      <c r="AD21" s="4"/>
      <c r="AE21" s="4"/>
      <c r="AF21" s="4"/>
      <c r="AG21" s="4"/>
      <c r="AH21" s="1">
        <f ca="1">IFERROR(MATCH(A21,OFFSET(Grades!$A$1,MATCH(Rates!$B$4,LIST,0),2,1,SUMIF(Grades!$A:$A,Rates!$B$4,Grades!$B:$B)),0),"")</f>
        <v>17</v>
      </c>
    </row>
    <row r="22" spans="1:34" ht="18.75" customHeight="1" x14ac:dyDescent="0.2">
      <c r="A22" s="12">
        <v>20</v>
      </c>
      <c r="B22" s="138">
        <v>24285</v>
      </c>
      <c r="C22" s="25"/>
      <c r="D22" s="13">
        <v>20</v>
      </c>
      <c r="E22" s="139">
        <v>87932</v>
      </c>
      <c r="F22" s="40"/>
      <c r="G22" s="140"/>
      <c r="H22" s="140"/>
      <c r="I22" s="40"/>
      <c r="J22" s="14"/>
      <c r="K22" s="14"/>
      <c r="L22" s="7"/>
      <c r="M22" s="4"/>
      <c r="N22" s="4"/>
      <c r="O22" s="4"/>
      <c r="P22" s="4"/>
      <c r="Q22" s="4"/>
      <c r="R22" s="4"/>
      <c r="S22" s="4"/>
      <c r="T22" s="4"/>
      <c r="U22" s="4"/>
      <c r="V22" s="4"/>
      <c r="W22" s="4"/>
      <c r="X22" s="4"/>
      <c r="Y22" s="4"/>
      <c r="Z22" s="4"/>
      <c r="AA22" s="4"/>
      <c r="AB22" s="4"/>
      <c r="AC22" s="4"/>
      <c r="AD22" s="4"/>
      <c r="AE22" s="4"/>
      <c r="AF22" s="4"/>
      <c r="AG22" s="4"/>
      <c r="AH22" s="1">
        <f ca="1">IFERROR(MATCH(A22,OFFSET(Grades!$A$1,MATCH(Rates!$B$4,LIST,0),2,1,SUMIF(Grades!$A:$A,Rates!$B$4,Grades!$B:$B)),0),"")</f>
        <v>18</v>
      </c>
    </row>
    <row r="23" spans="1:34" ht="18.75" customHeight="1" x14ac:dyDescent="0.2">
      <c r="A23" s="12">
        <v>21</v>
      </c>
      <c r="B23" s="138">
        <v>24983</v>
      </c>
      <c r="C23" s="25"/>
      <c r="D23" s="13">
        <v>21</v>
      </c>
      <c r="E23" s="139">
        <v>89687</v>
      </c>
      <c r="F23" s="40"/>
      <c r="G23" s="140"/>
      <c r="H23" s="140"/>
      <c r="I23" s="40"/>
      <c r="J23" s="14"/>
      <c r="K23" s="14"/>
      <c r="L23" s="7"/>
      <c r="M23" s="4"/>
      <c r="N23" s="4"/>
      <c r="O23" s="4"/>
      <c r="P23" s="4"/>
      <c r="Q23" s="4"/>
      <c r="R23" s="4"/>
      <c r="S23" s="4"/>
      <c r="T23" s="4"/>
      <c r="U23" s="4"/>
      <c r="V23" s="4"/>
      <c r="W23" s="4"/>
      <c r="X23" s="4"/>
      <c r="Y23" s="4"/>
      <c r="Z23" s="4"/>
      <c r="AA23" s="4"/>
      <c r="AB23" s="4"/>
      <c r="AC23" s="4"/>
      <c r="AD23" s="4"/>
      <c r="AE23" s="4"/>
      <c r="AF23" s="4"/>
      <c r="AG23" s="4"/>
      <c r="AH23" s="1">
        <f ca="1">IFERROR(MATCH(A23,OFFSET(Grades!$A$1,MATCH(Rates!$B$4,LIST,0),2,1,SUMIF(Grades!$A:$A,Rates!$B$4,Grades!$B:$B)),0),"")</f>
        <v>19</v>
      </c>
    </row>
    <row r="24" spans="1:34" ht="18.75" customHeight="1" x14ac:dyDescent="0.2">
      <c r="A24" s="12">
        <v>22</v>
      </c>
      <c r="B24" s="138">
        <v>25728</v>
      </c>
      <c r="C24" s="25"/>
      <c r="D24" s="13">
        <v>22</v>
      </c>
      <c r="E24" s="139">
        <v>91478</v>
      </c>
      <c r="F24" s="40"/>
      <c r="G24" s="140"/>
      <c r="H24" s="140"/>
      <c r="I24" s="40"/>
      <c r="J24" s="14"/>
      <c r="K24" s="14"/>
      <c r="L24" s="7"/>
      <c r="M24" s="4"/>
      <c r="N24" s="4"/>
      <c r="O24" s="4"/>
      <c r="P24" s="4"/>
      <c r="Q24" s="4"/>
      <c r="R24" s="4"/>
      <c r="S24" s="4"/>
      <c r="T24" s="4"/>
      <c r="U24" s="4"/>
      <c r="V24" s="4"/>
      <c r="W24" s="4"/>
      <c r="X24" s="4"/>
      <c r="Y24" s="4"/>
      <c r="Z24" s="4"/>
      <c r="AA24" s="4"/>
      <c r="AB24" s="4"/>
      <c r="AC24" s="4"/>
      <c r="AD24" s="4"/>
      <c r="AE24" s="4"/>
      <c r="AF24" s="4"/>
      <c r="AG24" s="4"/>
      <c r="AH24" s="1">
        <f ca="1">IFERROR(MATCH(A24,OFFSET(Grades!$A$1,MATCH(Rates!$B$4,LIST,0),2,1,SUMIF(Grades!$A:$A,Rates!$B$4,Grades!$B:$B)),0),"")</f>
        <v>20</v>
      </c>
    </row>
    <row r="25" spans="1:34" ht="18.75" customHeight="1" x14ac:dyDescent="0.2">
      <c r="A25" s="12">
        <v>23</v>
      </c>
      <c r="B25" s="138">
        <v>26495</v>
      </c>
      <c r="C25" s="25"/>
      <c r="D25" s="13">
        <v>23</v>
      </c>
      <c r="E25" s="139">
        <v>93304</v>
      </c>
      <c r="F25" s="40"/>
      <c r="G25" s="140"/>
      <c r="H25" s="140"/>
      <c r="I25" s="40"/>
      <c r="J25" s="14"/>
      <c r="K25" s="14"/>
      <c r="L25" s="7"/>
      <c r="M25" s="4"/>
      <c r="N25" s="4"/>
      <c r="O25" s="4"/>
      <c r="P25" s="4"/>
      <c r="Q25" s="4"/>
      <c r="R25" s="4"/>
      <c r="S25" s="4"/>
      <c r="T25" s="4"/>
      <c r="U25" s="4"/>
      <c r="V25" s="4"/>
      <c r="W25" s="4"/>
      <c r="X25" s="4"/>
      <c r="Y25" s="4"/>
      <c r="Z25" s="4"/>
      <c r="AA25" s="4"/>
      <c r="AB25" s="4"/>
      <c r="AC25" s="4"/>
      <c r="AD25" s="4"/>
      <c r="AE25" s="4"/>
      <c r="AF25" s="4"/>
      <c r="AG25" s="4"/>
      <c r="AH25" s="1">
        <f ca="1">IFERROR(MATCH(A25,OFFSET(Grades!$A$1,MATCH(Rates!$B$4,LIST,0),2,1,SUMIF(Grades!$A:$A,Rates!$B$4,Grades!$B:$B)),0),"")</f>
        <v>21</v>
      </c>
    </row>
    <row r="26" spans="1:34" ht="18.75" customHeight="1" x14ac:dyDescent="0.2">
      <c r="A26" s="12">
        <v>24</v>
      </c>
      <c r="B26" s="138">
        <v>27285</v>
      </c>
      <c r="C26" s="25"/>
      <c r="D26" s="13">
        <v>24</v>
      </c>
      <c r="E26" s="139">
        <v>95167</v>
      </c>
      <c r="F26" s="40"/>
      <c r="G26" s="140"/>
      <c r="H26" s="140"/>
      <c r="I26" s="40"/>
      <c r="J26" s="14"/>
      <c r="K26" s="14"/>
      <c r="L26" s="7"/>
      <c r="M26" s="4"/>
      <c r="N26" s="4"/>
      <c r="O26" s="4"/>
      <c r="P26" s="4"/>
      <c r="Q26" s="4"/>
      <c r="R26" s="4"/>
      <c r="S26" s="4"/>
      <c r="T26" s="4"/>
      <c r="U26" s="4"/>
      <c r="V26" s="4"/>
      <c r="W26" s="4"/>
      <c r="X26" s="4"/>
      <c r="Y26" s="4"/>
      <c r="Z26" s="4"/>
      <c r="AA26" s="4"/>
      <c r="AB26" s="4"/>
      <c r="AC26" s="4"/>
      <c r="AD26" s="4"/>
      <c r="AE26" s="4"/>
      <c r="AF26" s="4"/>
      <c r="AG26" s="4"/>
      <c r="AH26" s="1">
        <f ca="1">IFERROR(MATCH(A26,OFFSET(Grades!$A$1,MATCH(Rates!$B$4,LIST,0),2,1,SUMIF(Grades!$A:$A,Rates!$B$4,Grades!$B:$B)),0),"")</f>
        <v>22</v>
      </c>
    </row>
    <row r="27" spans="1:34" ht="18.75" customHeight="1" x14ac:dyDescent="0.2">
      <c r="A27" s="12">
        <v>25</v>
      </c>
      <c r="B27" s="138">
        <v>28098</v>
      </c>
      <c r="C27" s="25"/>
      <c r="D27" s="13">
        <v>25</v>
      </c>
      <c r="E27" s="139">
        <v>97066</v>
      </c>
      <c r="F27" s="40"/>
      <c r="G27" s="140"/>
      <c r="H27" s="140"/>
      <c r="I27" s="40"/>
      <c r="J27" s="14"/>
      <c r="K27" s="14"/>
      <c r="L27" s="7"/>
      <c r="M27" s="4"/>
      <c r="N27" s="4"/>
      <c r="O27" s="4"/>
      <c r="P27" s="4"/>
      <c r="Q27" s="4"/>
      <c r="R27" s="4"/>
      <c r="S27" s="4"/>
      <c r="T27" s="4"/>
      <c r="U27" s="4"/>
      <c r="V27" s="4"/>
      <c r="W27" s="4"/>
      <c r="X27" s="4"/>
      <c r="Y27" s="4"/>
      <c r="Z27" s="4"/>
      <c r="AA27" s="4"/>
      <c r="AB27" s="4"/>
      <c r="AC27" s="4"/>
      <c r="AD27" s="4"/>
      <c r="AE27" s="4"/>
      <c r="AF27" s="4"/>
      <c r="AG27" s="4"/>
      <c r="AH27" s="1">
        <f ca="1">IFERROR(MATCH(A27,OFFSET(Grades!$A$1,MATCH(Rates!$B$4,LIST,0),2,1,SUMIF(Grades!$A:$A,Rates!$B$4,Grades!$B:$B)),0),"")</f>
        <v>23</v>
      </c>
    </row>
    <row r="28" spans="1:34" ht="18.75" customHeight="1" x14ac:dyDescent="0.2">
      <c r="A28" s="12">
        <v>26</v>
      </c>
      <c r="B28" s="138">
        <v>28936</v>
      </c>
      <c r="C28" s="25"/>
      <c r="D28" s="13">
        <v>26</v>
      </c>
      <c r="E28" s="139">
        <v>99003</v>
      </c>
      <c r="F28" s="40"/>
      <c r="G28" s="140"/>
      <c r="H28" s="140"/>
      <c r="I28" s="40"/>
      <c r="J28" s="14"/>
      <c r="K28" s="14"/>
      <c r="L28" s="7"/>
      <c r="M28" s="4"/>
      <c r="N28" s="4"/>
      <c r="O28" s="4"/>
      <c r="P28" s="4"/>
      <c r="Q28" s="4"/>
      <c r="R28" s="4"/>
      <c r="S28" s="4"/>
      <c r="T28" s="4"/>
      <c r="U28" s="4"/>
      <c r="V28" s="4"/>
      <c r="W28" s="4"/>
      <c r="X28" s="4"/>
      <c r="Y28" s="4"/>
      <c r="Z28" s="4"/>
      <c r="AA28" s="4"/>
      <c r="AB28" s="4"/>
      <c r="AC28" s="4"/>
      <c r="AD28" s="4"/>
      <c r="AE28" s="4"/>
      <c r="AF28" s="4"/>
      <c r="AG28" s="4"/>
      <c r="AH28" s="1">
        <f ca="1">IFERROR(MATCH(A28,OFFSET(Grades!$A$1,MATCH(Rates!$B$4,LIST,0),2,1,SUMIF(Grades!$A:$A,Rates!$B$4,Grades!$B:$B)),0),"")</f>
        <v>24</v>
      </c>
    </row>
    <row r="29" spans="1:34" ht="18.75" customHeight="1" x14ac:dyDescent="0.2">
      <c r="A29" s="12">
        <v>27</v>
      </c>
      <c r="B29" s="138">
        <v>29799</v>
      </c>
      <c r="C29" s="25"/>
      <c r="D29" s="4"/>
      <c r="E29" s="4"/>
      <c r="F29" s="7"/>
      <c r="G29" s="4"/>
      <c r="H29" s="4"/>
      <c r="I29" s="7"/>
      <c r="J29" s="4"/>
      <c r="K29" s="4"/>
      <c r="L29" s="7"/>
      <c r="M29" s="4"/>
      <c r="N29" s="4"/>
      <c r="O29" s="4"/>
      <c r="P29" s="4"/>
      <c r="Q29" s="4"/>
      <c r="R29" s="4"/>
      <c r="S29" s="4"/>
      <c r="T29" s="4"/>
      <c r="U29" s="4"/>
      <c r="V29" s="4"/>
      <c r="W29" s="4"/>
      <c r="X29" s="4"/>
      <c r="Y29" s="4"/>
      <c r="Z29" s="4"/>
      <c r="AA29" s="4"/>
      <c r="AB29" s="4"/>
      <c r="AC29" s="4"/>
      <c r="AD29" s="4"/>
      <c r="AE29" s="4"/>
      <c r="AF29" s="4"/>
      <c r="AG29" s="4"/>
      <c r="AH29" s="1">
        <f ca="1">IFERROR(MATCH(A29,OFFSET(Grades!$A$1,MATCH(Rates!$B$4,LIST,0),2,1,SUMIF(Grades!$A:$A,Rates!$B$4,Grades!$B:$B)),0),"")</f>
        <v>25</v>
      </c>
    </row>
    <row r="30" spans="1:34" ht="18.75" customHeight="1" x14ac:dyDescent="0.2">
      <c r="A30" s="12">
        <v>28</v>
      </c>
      <c r="B30" s="138">
        <v>30688</v>
      </c>
      <c r="C30" s="25"/>
      <c r="D30" s="4"/>
      <c r="E30" s="4"/>
      <c r="F30" s="7"/>
      <c r="G30" s="4"/>
      <c r="H30" s="4"/>
      <c r="I30" s="7"/>
      <c r="J30" s="4"/>
      <c r="K30" s="4"/>
      <c r="L30" s="7"/>
      <c r="M30" s="4"/>
      <c r="N30" s="4"/>
      <c r="O30" s="4"/>
      <c r="P30" s="4"/>
      <c r="Q30" s="4"/>
      <c r="R30" s="4"/>
      <c r="S30" s="4"/>
      <c r="T30" s="4"/>
      <c r="U30" s="4"/>
      <c r="V30" s="4"/>
      <c r="W30" s="4"/>
      <c r="X30" s="4"/>
      <c r="Y30" s="4"/>
      <c r="Z30" s="4"/>
      <c r="AA30" s="4"/>
      <c r="AB30" s="4"/>
      <c r="AC30" s="4"/>
      <c r="AD30" s="4"/>
      <c r="AE30" s="4"/>
      <c r="AF30" s="4"/>
      <c r="AG30" s="4"/>
      <c r="AH30" s="1">
        <f ca="1">IFERROR(MATCH(A30,OFFSET(Grades!$A$1,MATCH(Rates!$B$4,LIST,0),2,1,SUMIF(Grades!$A:$A,Rates!$B$4,Grades!$B:$B)),0),"")</f>
        <v>26</v>
      </c>
    </row>
    <row r="31" spans="1:34" ht="18.75" customHeight="1" x14ac:dyDescent="0.2">
      <c r="A31" s="12">
        <v>29</v>
      </c>
      <c r="B31" s="138">
        <v>31604</v>
      </c>
      <c r="C31" s="25"/>
      <c r="D31" s="4"/>
      <c r="E31" s="4"/>
      <c r="F31" s="7"/>
      <c r="G31" s="4"/>
      <c r="H31" s="4"/>
      <c r="I31" s="7"/>
      <c r="J31" s="4"/>
      <c r="K31" s="4"/>
      <c r="L31" s="7"/>
      <c r="M31" s="4"/>
      <c r="N31" s="4"/>
      <c r="O31" s="4"/>
      <c r="P31" s="4"/>
      <c r="Q31" s="4"/>
      <c r="R31" s="4"/>
      <c r="S31" s="4"/>
      <c r="T31" s="4"/>
      <c r="U31" s="4"/>
      <c r="V31" s="4"/>
      <c r="W31" s="4"/>
      <c r="X31" s="4"/>
      <c r="Y31" s="4"/>
      <c r="Z31" s="4"/>
      <c r="AA31" s="4"/>
      <c r="AB31" s="4"/>
      <c r="AC31" s="4"/>
      <c r="AD31" s="4"/>
      <c r="AE31" s="4"/>
      <c r="AF31" s="4"/>
      <c r="AG31" s="4"/>
      <c r="AH31" s="1">
        <f ca="1">IFERROR(MATCH(A31,OFFSET(Grades!$A$1,MATCH(Rates!$B$4,LIST,0),2,1,SUMIF(Grades!$A:$A,Rates!$B$4,Grades!$B:$B)),0),"")</f>
        <v>27</v>
      </c>
    </row>
    <row r="32" spans="1:34" ht="18.75" customHeight="1" x14ac:dyDescent="0.2">
      <c r="A32" s="12">
        <v>30</v>
      </c>
      <c r="B32" s="138">
        <v>32548</v>
      </c>
      <c r="C32" s="25"/>
      <c r="D32" s="4"/>
      <c r="E32" s="4"/>
      <c r="F32" s="7"/>
      <c r="G32" s="4"/>
      <c r="H32" s="4"/>
      <c r="I32" s="7"/>
      <c r="J32" s="4"/>
      <c r="K32" s="4"/>
      <c r="L32" s="7"/>
      <c r="M32" s="4"/>
      <c r="N32" s="4"/>
      <c r="O32" s="4"/>
      <c r="P32" s="4"/>
      <c r="Q32" s="4"/>
      <c r="R32" s="4"/>
      <c r="S32" s="4"/>
      <c r="T32" s="4"/>
      <c r="U32" s="4"/>
      <c r="V32" s="4"/>
      <c r="W32" s="4"/>
      <c r="X32" s="4"/>
      <c r="Y32" s="4"/>
      <c r="Z32" s="4"/>
      <c r="AA32" s="4"/>
      <c r="AB32" s="4"/>
      <c r="AC32" s="4"/>
      <c r="AD32" s="4"/>
      <c r="AE32" s="4"/>
      <c r="AF32" s="4"/>
      <c r="AG32" s="4"/>
      <c r="AH32" s="1">
        <f ca="1">IFERROR(MATCH(A32,OFFSET(Grades!$A$1,MATCH(Rates!$B$4,LIST,0),2,1,SUMIF(Grades!$A:$A,Rates!$B$4,Grades!$B:$B)),0),"")</f>
        <v>28</v>
      </c>
    </row>
    <row r="33" spans="1:34" ht="18.75" customHeight="1" x14ac:dyDescent="0.2">
      <c r="A33" s="12">
        <v>31</v>
      </c>
      <c r="B33" s="138">
        <v>33518</v>
      </c>
      <c r="C33" s="25"/>
      <c r="D33" s="4"/>
      <c r="E33" s="4"/>
      <c r="F33" s="7"/>
      <c r="G33" s="4"/>
      <c r="H33" s="4"/>
      <c r="I33" s="7"/>
      <c r="J33" s="4"/>
      <c r="K33" s="4"/>
      <c r="L33" s="7"/>
      <c r="M33" s="4"/>
      <c r="N33" s="4"/>
      <c r="O33" s="4"/>
      <c r="P33" s="4"/>
      <c r="Q33" s="4"/>
      <c r="R33" s="4"/>
      <c r="S33" s="4"/>
      <c r="T33" s="4"/>
      <c r="U33" s="4"/>
      <c r="V33" s="4"/>
      <c r="W33" s="4"/>
      <c r="X33" s="4"/>
      <c r="Y33" s="4"/>
      <c r="Z33" s="4"/>
      <c r="AA33" s="4"/>
      <c r="AB33" s="4"/>
      <c r="AC33" s="4"/>
      <c r="AD33" s="4"/>
      <c r="AE33" s="4"/>
      <c r="AF33" s="4"/>
      <c r="AG33" s="4"/>
      <c r="AH33" s="1">
        <f ca="1">IFERROR(MATCH(A33,OFFSET(Grades!$A$1,MATCH(Rates!$B$4,LIST,0),2,1,SUMIF(Grades!$A:$A,Rates!$B$4,Grades!$B:$B)),0),"")</f>
        <v>29</v>
      </c>
    </row>
    <row r="34" spans="1:34" ht="18.75" customHeight="1" x14ac:dyDescent="0.2">
      <c r="A34" s="12">
        <v>32</v>
      </c>
      <c r="B34" s="138">
        <v>34520</v>
      </c>
      <c r="C34" s="25"/>
      <c r="D34" s="4"/>
      <c r="E34" s="4"/>
      <c r="F34" s="7"/>
      <c r="G34" s="4"/>
      <c r="H34" s="4"/>
      <c r="I34" s="7"/>
      <c r="J34" s="4"/>
      <c r="K34" s="4"/>
      <c r="L34" s="7"/>
      <c r="M34" s="4"/>
      <c r="N34" s="4"/>
      <c r="O34" s="4"/>
      <c r="P34" s="4"/>
      <c r="Q34" s="4"/>
      <c r="R34" s="4"/>
      <c r="S34" s="4"/>
      <c r="T34" s="4"/>
      <c r="U34" s="4"/>
      <c r="V34" s="4"/>
      <c r="W34" s="4"/>
      <c r="X34" s="4"/>
      <c r="Y34" s="4"/>
      <c r="Z34" s="4"/>
      <c r="AA34" s="4"/>
      <c r="AB34" s="4"/>
      <c r="AC34" s="4"/>
      <c r="AD34" s="4"/>
      <c r="AE34" s="4"/>
      <c r="AF34" s="4"/>
      <c r="AG34" s="4"/>
      <c r="AH34" s="1">
        <f ca="1">IFERROR(MATCH(A34,OFFSET(Grades!$A$1,MATCH(Rates!$B$4,LIST,0),2,1,SUMIF(Grades!$A:$A,Rates!$B$4,Grades!$B:$B)),0),"")</f>
        <v>30</v>
      </c>
    </row>
    <row r="35" spans="1:34" ht="18.75" customHeight="1" x14ac:dyDescent="0.2">
      <c r="A35" s="12">
        <v>33</v>
      </c>
      <c r="B35" s="138">
        <v>35550</v>
      </c>
      <c r="C35" s="25"/>
      <c r="D35" s="4"/>
      <c r="E35" s="4"/>
      <c r="F35" s="7"/>
      <c r="G35" s="4"/>
      <c r="H35" s="4"/>
      <c r="I35" s="7"/>
      <c r="J35" s="4"/>
      <c r="K35" s="4"/>
      <c r="L35" s="7"/>
      <c r="M35" s="4"/>
      <c r="N35" s="4"/>
      <c r="O35" s="4"/>
      <c r="P35" s="4"/>
      <c r="Q35" s="4"/>
      <c r="R35" s="4"/>
      <c r="S35" s="4"/>
      <c r="T35" s="4"/>
      <c r="U35" s="4"/>
      <c r="V35" s="4"/>
      <c r="W35" s="4"/>
      <c r="X35" s="4"/>
      <c r="Y35" s="4"/>
      <c r="Z35" s="4"/>
      <c r="AA35" s="4"/>
      <c r="AB35" s="4"/>
      <c r="AC35" s="4"/>
      <c r="AD35" s="4"/>
      <c r="AE35" s="4"/>
      <c r="AF35" s="4"/>
      <c r="AG35" s="4"/>
      <c r="AH35" s="1">
        <f ca="1">IFERROR(MATCH(A35,OFFSET(Grades!$A$1,MATCH(Rates!$B$4,LIST,0),2,1,SUMIF(Grades!$A:$A,Rates!$B$4,Grades!$B:$B)),0),"")</f>
        <v>31</v>
      </c>
    </row>
    <row r="36" spans="1:34" ht="18.75" customHeight="1" x14ac:dyDescent="0.2">
      <c r="A36" s="12">
        <v>34</v>
      </c>
      <c r="B36" s="138">
        <v>36613</v>
      </c>
      <c r="C36" s="25"/>
      <c r="D36" s="4"/>
      <c r="E36" s="4"/>
      <c r="F36" s="7"/>
      <c r="G36" s="4"/>
      <c r="H36" s="4"/>
      <c r="I36" s="7"/>
      <c r="J36" s="4"/>
      <c r="K36" s="4"/>
      <c r="L36" s="7"/>
      <c r="M36" s="4"/>
      <c r="N36" s="4"/>
      <c r="O36" s="4"/>
      <c r="P36" s="4"/>
      <c r="Q36" s="4"/>
      <c r="R36" s="4"/>
      <c r="S36" s="4"/>
      <c r="T36" s="4"/>
      <c r="U36" s="4"/>
      <c r="V36" s="4"/>
      <c r="W36" s="4"/>
      <c r="X36" s="4"/>
      <c r="Y36" s="4"/>
      <c r="Z36" s="4"/>
      <c r="AA36" s="4"/>
      <c r="AB36" s="4"/>
      <c r="AC36" s="4"/>
      <c r="AD36" s="4"/>
      <c r="AE36" s="4"/>
      <c r="AF36" s="4"/>
      <c r="AG36" s="4"/>
      <c r="AH36" s="1">
        <f ca="1">IFERROR(MATCH(A36,OFFSET(Grades!$A$1,MATCH(Rates!$B$4,LIST,0),2,1,SUMIF(Grades!$A:$A,Rates!$B$4,Grades!$B:$B)),0),"")</f>
        <v>32</v>
      </c>
    </row>
    <row r="37" spans="1:34" ht="18.75" customHeight="1" x14ac:dyDescent="0.2">
      <c r="A37" s="12">
        <v>35</v>
      </c>
      <c r="B37" s="138">
        <v>37706</v>
      </c>
      <c r="C37" s="25"/>
      <c r="D37" s="4"/>
      <c r="E37" s="4"/>
      <c r="F37" s="7"/>
      <c r="G37" s="4"/>
      <c r="H37" s="4"/>
      <c r="I37" s="7"/>
      <c r="J37" s="4"/>
      <c r="K37" s="4"/>
      <c r="L37" s="7"/>
      <c r="M37" s="4"/>
      <c r="N37" s="4"/>
      <c r="O37" s="4"/>
      <c r="P37" s="4"/>
      <c r="Q37" s="4"/>
      <c r="R37" s="4"/>
      <c r="S37" s="4"/>
      <c r="T37" s="4"/>
      <c r="U37" s="4"/>
      <c r="V37" s="4"/>
      <c r="W37" s="4"/>
      <c r="X37" s="4"/>
      <c r="Y37" s="4"/>
      <c r="Z37" s="4"/>
      <c r="AA37" s="4"/>
      <c r="AB37" s="4"/>
      <c r="AC37" s="4"/>
      <c r="AD37" s="4"/>
      <c r="AE37" s="4"/>
      <c r="AF37" s="4"/>
      <c r="AG37" s="4"/>
      <c r="AH37" s="1">
        <f ca="1">IFERROR(MATCH(A37,OFFSET(Grades!$A$1,MATCH(Rates!$B$4,LIST,0),2,1,SUMIF(Grades!$A:$A,Rates!$B$4,Grades!$B:$B)),0),"")</f>
        <v>33</v>
      </c>
    </row>
    <row r="38" spans="1:34" ht="18.75" customHeight="1" x14ac:dyDescent="0.2">
      <c r="A38" s="12">
        <v>36</v>
      </c>
      <c r="B38" s="138">
        <v>38833</v>
      </c>
      <c r="C38" s="25"/>
      <c r="D38" s="4"/>
      <c r="E38" s="4"/>
      <c r="F38" s="7"/>
      <c r="G38" s="4"/>
      <c r="H38" s="4"/>
      <c r="I38" s="7"/>
      <c r="J38" s="4"/>
      <c r="K38" s="4"/>
      <c r="L38" s="7"/>
      <c r="M38" s="4"/>
      <c r="N38" s="4"/>
      <c r="O38" s="4"/>
      <c r="P38" s="4"/>
      <c r="Q38" s="4"/>
      <c r="R38" s="4"/>
      <c r="S38" s="4"/>
      <c r="T38" s="4"/>
      <c r="U38" s="4"/>
      <c r="V38" s="4"/>
      <c r="W38" s="4"/>
      <c r="X38" s="4"/>
      <c r="Y38" s="4"/>
      <c r="Z38" s="4"/>
      <c r="AA38" s="4"/>
      <c r="AB38" s="4"/>
      <c r="AC38" s="4"/>
      <c r="AD38" s="4"/>
      <c r="AE38" s="4"/>
      <c r="AF38" s="4"/>
      <c r="AG38" s="4"/>
      <c r="AH38" s="1">
        <f ca="1">IFERROR(MATCH(A38,OFFSET(Grades!$A$1,MATCH(Rates!$B$4,LIST,0),2,1,SUMIF(Grades!$A:$A,Rates!$B$4,Grades!$B:$B)),0),"")</f>
        <v>34</v>
      </c>
    </row>
    <row r="39" spans="1:34" ht="18.75" customHeight="1" x14ac:dyDescent="0.2">
      <c r="A39" s="12">
        <v>37</v>
      </c>
      <c r="B39" s="138">
        <v>39992</v>
      </c>
      <c r="C39" s="25"/>
      <c r="D39" s="4"/>
      <c r="E39" s="4"/>
      <c r="F39" s="7"/>
      <c r="G39" s="4"/>
      <c r="H39" s="4"/>
      <c r="I39" s="7"/>
      <c r="J39" s="4"/>
      <c r="K39" s="4"/>
      <c r="L39" s="7"/>
      <c r="M39" s="4"/>
      <c r="N39" s="4"/>
      <c r="O39" s="4"/>
      <c r="P39" s="4"/>
      <c r="Q39" s="4"/>
      <c r="R39" s="4"/>
      <c r="S39" s="4"/>
      <c r="T39" s="4"/>
      <c r="U39" s="4"/>
      <c r="V39" s="4"/>
      <c r="W39" s="4"/>
      <c r="X39" s="4"/>
      <c r="Y39" s="4"/>
      <c r="Z39" s="4"/>
      <c r="AA39" s="4"/>
      <c r="AB39" s="4"/>
      <c r="AC39" s="4"/>
      <c r="AD39" s="4"/>
      <c r="AE39" s="4"/>
      <c r="AF39" s="4"/>
      <c r="AG39" s="4"/>
      <c r="AH39" s="1">
        <f ca="1">IFERROR(MATCH(A39,OFFSET(Grades!$A$1,MATCH(Rates!$B$4,LIST,0),2,1,SUMIF(Grades!$A:$A,Rates!$B$4,Grades!$B:$B)),0),"")</f>
        <v>35</v>
      </c>
    </row>
    <row r="40" spans="1:34" ht="18.75" customHeight="1" x14ac:dyDescent="0.2">
      <c r="A40" s="12">
        <v>38</v>
      </c>
      <c r="B40" s="138">
        <v>41212</v>
      </c>
      <c r="C40" s="25"/>
      <c r="D40" s="4"/>
      <c r="E40" s="4"/>
      <c r="F40" s="7"/>
      <c r="G40" s="4"/>
      <c r="H40" s="4"/>
      <c r="I40" s="7"/>
      <c r="J40" s="4"/>
      <c r="K40" s="4"/>
      <c r="L40" s="7"/>
      <c r="M40" s="4"/>
      <c r="N40" s="4"/>
      <c r="O40" s="4"/>
      <c r="P40" s="4"/>
      <c r="Q40" s="4"/>
      <c r="R40" s="4"/>
      <c r="S40" s="4"/>
      <c r="T40" s="4"/>
      <c r="U40" s="4"/>
      <c r="V40" s="4"/>
      <c r="W40" s="4"/>
      <c r="X40" s="4"/>
      <c r="Y40" s="4"/>
      <c r="Z40" s="4"/>
      <c r="AA40" s="4"/>
      <c r="AB40" s="4"/>
      <c r="AC40" s="4"/>
      <c r="AD40" s="4"/>
      <c r="AE40" s="4"/>
      <c r="AF40" s="4"/>
      <c r="AG40" s="4"/>
      <c r="AH40" s="1">
        <f ca="1">IFERROR(MATCH(A40,OFFSET(Grades!$A$1,MATCH(Rates!$B$4,LIST,0),2,1,SUMIF(Grades!$A:$A,Rates!$B$4,Grades!$B:$B)),0),"")</f>
        <v>36</v>
      </c>
    </row>
    <row r="41" spans="1:34" ht="18.75" customHeight="1" x14ac:dyDescent="0.2">
      <c r="A41" s="12">
        <v>39</v>
      </c>
      <c r="B41" s="138">
        <v>42418</v>
      </c>
      <c r="C41" s="25"/>
      <c r="D41" s="4"/>
      <c r="E41" s="4"/>
      <c r="F41" s="7"/>
      <c r="G41" s="4"/>
      <c r="H41" s="4"/>
      <c r="I41" s="7"/>
      <c r="J41" s="4"/>
      <c r="K41" s="4"/>
      <c r="L41" s="7"/>
      <c r="M41" s="4"/>
      <c r="N41" s="4"/>
      <c r="O41" s="4"/>
      <c r="P41" s="4"/>
      <c r="Q41" s="4"/>
      <c r="R41" s="4"/>
      <c r="S41" s="4"/>
      <c r="T41" s="4"/>
      <c r="U41" s="4"/>
      <c r="V41" s="4"/>
      <c r="W41" s="4"/>
      <c r="X41" s="4"/>
      <c r="Y41" s="4"/>
      <c r="Z41" s="4"/>
      <c r="AA41" s="4"/>
      <c r="AB41" s="4"/>
      <c r="AC41" s="4"/>
      <c r="AD41" s="4"/>
      <c r="AE41" s="4"/>
      <c r="AF41" s="4"/>
      <c r="AG41" s="4"/>
      <c r="AH41" s="1">
        <f ca="1">IFERROR(MATCH(A41,OFFSET(Grades!$A$1,MATCH(Rates!$B$4,LIST,0),2,1,SUMIF(Grades!$A:$A,Rates!$B$4,Grades!$B:$B)),0),"")</f>
        <v>37</v>
      </c>
    </row>
    <row r="42" spans="1:34" ht="18.75" customHeight="1" x14ac:dyDescent="0.2">
      <c r="A42" s="12">
        <v>40</v>
      </c>
      <c r="B42" s="138">
        <v>43685</v>
      </c>
      <c r="C42" s="25"/>
      <c r="D42" s="4"/>
      <c r="E42" s="4"/>
      <c r="F42" s="7"/>
      <c r="G42" s="4"/>
      <c r="H42" s="4"/>
      <c r="I42" s="7"/>
      <c r="J42" s="4"/>
      <c r="K42" s="4"/>
      <c r="L42" s="7"/>
      <c r="M42" s="4"/>
      <c r="N42" s="4"/>
      <c r="O42" s="4"/>
      <c r="P42" s="4"/>
      <c r="Q42" s="4"/>
      <c r="R42" s="4"/>
      <c r="S42" s="4"/>
      <c r="T42" s="4"/>
      <c r="U42" s="4"/>
      <c r="V42" s="4"/>
      <c r="W42" s="4"/>
      <c r="X42" s="4"/>
      <c r="Y42" s="4"/>
      <c r="Z42" s="4"/>
      <c r="AA42" s="4"/>
      <c r="AB42" s="4"/>
      <c r="AC42" s="4"/>
      <c r="AD42" s="4"/>
      <c r="AE42" s="4"/>
      <c r="AF42" s="4"/>
      <c r="AG42" s="4"/>
      <c r="AH42" s="1">
        <f ca="1">IFERROR(MATCH(A42,OFFSET(Grades!$A$1,MATCH(Rates!$B$4,LIST,0),2,1,SUMIF(Grades!$A:$A,Rates!$B$4,Grades!$B:$B)),0),"")</f>
        <v>38</v>
      </c>
    </row>
    <row r="43" spans="1:34" ht="18.75" customHeight="1" x14ac:dyDescent="0.2">
      <c r="A43" s="12">
        <v>41</v>
      </c>
      <c r="B43" s="138">
        <v>44992</v>
      </c>
      <c r="C43" s="25"/>
      <c r="D43" s="4"/>
      <c r="E43" s="4"/>
      <c r="F43" s="7"/>
      <c r="G43" s="4"/>
      <c r="H43" s="4"/>
      <c r="I43" s="7"/>
      <c r="J43" s="4"/>
      <c r="K43" s="4"/>
      <c r="L43" s="7"/>
      <c r="M43" s="4"/>
      <c r="N43" s="4"/>
      <c r="O43" s="4"/>
      <c r="P43" s="4"/>
      <c r="Q43" s="4"/>
      <c r="R43" s="4"/>
      <c r="S43" s="4"/>
      <c r="T43" s="4"/>
      <c r="U43" s="4"/>
      <c r="V43" s="4"/>
      <c r="W43" s="4"/>
      <c r="X43" s="4"/>
      <c r="Y43" s="4"/>
      <c r="Z43" s="4"/>
      <c r="AA43" s="4"/>
      <c r="AB43" s="4"/>
      <c r="AC43" s="4"/>
      <c r="AD43" s="4"/>
      <c r="AE43" s="4"/>
      <c r="AF43" s="4"/>
      <c r="AG43" s="4"/>
      <c r="AH43" s="1">
        <f ca="1">IFERROR(MATCH(A43,OFFSET(Grades!$A$1,MATCH(Rates!$B$4,LIST,0),2,1,SUMIF(Grades!$A:$A,Rates!$B$4,Grades!$B:$B)),0),"")</f>
        <v>39</v>
      </c>
    </row>
    <row r="44" spans="1:34" ht="18.75" customHeight="1" x14ac:dyDescent="0.2">
      <c r="A44" s="12">
        <v>42</v>
      </c>
      <c r="B44" s="138">
        <v>46336</v>
      </c>
      <c r="C44" s="25"/>
      <c r="D44" s="4"/>
      <c r="E44" s="4"/>
      <c r="F44" s="7"/>
      <c r="G44" s="4"/>
      <c r="H44" s="4"/>
      <c r="I44" s="7"/>
      <c r="J44" s="4"/>
      <c r="K44" s="4"/>
      <c r="L44" s="7"/>
      <c r="M44" s="4"/>
      <c r="N44" s="4"/>
      <c r="O44" s="4"/>
      <c r="P44" s="4"/>
      <c r="Q44" s="4"/>
      <c r="R44" s="4"/>
      <c r="S44" s="4"/>
      <c r="T44" s="4"/>
      <c r="U44" s="4"/>
      <c r="V44" s="4"/>
      <c r="W44" s="4"/>
      <c r="X44" s="4"/>
      <c r="Y44" s="4"/>
      <c r="Z44" s="4"/>
      <c r="AA44" s="4"/>
      <c r="AB44" s="4"/>
      <c r="AC44" s="4"/>
      <c r="AD44" s="4"/>
      <c r="AE44" s="4"/>
      <c r="AF44" s="4"/>
      <c r="AG44" s="4"/>
      <c r="AH44" s="1">
        <f ca="1">IFERROR(MATCH(A44,OFFSET(Grades!$A$1,MATCH(Rates!$B$4,LIST,0),2,1,SUMIF(Grades!$A:$A,Rates!$B$4,Grades!$B:$B)),0),"")</f>
        <v>40</v>
      </c>
    </row>
    <row r="45" spans="1:34" ht="18.75" customHeight="1" x14ac:dyDescent="0.2">
      <c r="A45" s="12">
        <v>43</v>
      </c>
      <c r="B45" s="138">
        <v>47722</v>
      </c>
      <c r="C45" s="25"/>
      <c r="D45" s="4"/>
      <c r="E45" s="4"/>
      <c r="F45" s="7"/>
      <c r="G45" s="4"/>
      <c r="H45" s="4"/>
      <c r="I45" s="7"/>
      <c r="J45" s="4"/>
      <c r="K45" s="4"/>
      <c r="L45" s="7"/>
      <c r="M45" s="4"/>
      <c r="N45" s="4"/>
      <c r="O45" s="4"/>
      <c r="P45" s="4"/>
      <c r="Q45" s="4"/>
      <c r="R45" s="4"/>
      <c r="S45" s="4"/>
      <c r="T45" s="4"/>
      <c r="U45" s="4"/>
      <c r="V45" s="4"/>
      <c r="W45" s="4"/>
      <c r="X45" s="4"/>
      <c r="Y45" s="4"/>
      <c r="Z45" s="4"/>
      <c r="AA45" s="4"/>
      <c r="AB45" s="4"/>
      <c r="AC45" s="4"/>
      <c r="AD45" s="4"/>
      <c r="AE45" s="4"/>
      <c r="AF45" s="4"/>
      <c r="AG45" s="4"/>
      <c r="AH45" s="1">
        <f ca="1">IFERROR(MATCH(A45,OFFSET(Grades!$A$1,MATCH(Rates!$B$4,LIST,0),2,1,SUMIF(Grades!$A:$A,Rates!$B$4,Grades!$B:$B)),0),"")</f>
        <v>41</v>
      </c>
    </row>
    <row r="46" spans="1:34" ht="18.75" customHeight="1" x14ac:dyDescent="0.2">
      <c r="A46" s="12">
        <v>44</v>
      </c>
      <c r="B46" s="138">
        <v>49149</v>
      </c>
      <c r="C46" s="25"/>
      <c r="D46" s="4"/>
      <c r="E46" s="4"/>
      <c r="F46" s="7"/>
      <c r="G46" s="4"/>
      <c r="H46" s="4"/>
      <c r="I46" s="7"/>
      <c r="J46" s="4"/>
      <c r="K46" s="4"/>
      <c r="L46" s="7"/>
      <c r="M46" s="4"/>
      <c r="N46" s="4"/>
      <c r="O46" s="4"/>
      <c r="P46" s="4"/>
      <c r="Q46" s="4"/>
      <c r="R46" s="4"/>
      <c r="S46" s="4"/>
      <c r="T46" s="4"/>
      <c r="U46" s="4"/>
      <c r="V46" s="4"/>
      <c r="W46" s="4"/>
      <c r="X46" s="4"/>
      <c r="Y46" s="4"/>
      <c r="Z46" s="4"/>
      <c r="AA46" s="4"/>
      <c r="AB46" s="4"/>
      <c r="AC46" s="4"/>
      <c r="AD46" s="4"/>
      <c r="AE46" s="4"/>
      <c r="AF46" s="4"/>
      <c r="AG46" s="4"/>
      <c r="AH46" s="1">
        <f ca="1">IFERROR(MATCH(A46,OFFSET(Grades!$A$1,MATCH(Rates!$B$4,LIST,0),2,1,SUMIF(Grades!$A:$A,Rates!$B$4,Grades!$B:$B)),0),"")</f>
        <v>42</v>
      </c>
    </row>
    <row r="47" spans="1:34" ht="18.75" customHeight="1" x14ac:dyDescent="0.2">
      <c r="A47" s="12">
        <v>45</v>
      </c>
      <c r="B47" s="138">
        <v>50618</v>
      </c>
      <c r="C47" s="25"/>
      <c r="D47" s="4"/>
      <c r="E47" s="4"/>
      <c r="F47" s="7"/>
      <c r="G47" s="4"/>
      <c r="H47" s="4"/>
      <c r="I47" s="7"/>
      <c r="J47" s="4"/>
      <c r="K47" s="4"/>
      <c r="L47" s="7"/>
      <c r="M47" s="4"/>
      <c r="N47" s="4"/>
      <c r="O47" s="4"/>
      <c r="P47" s="4"/>
      <c r="Q47" s="4"/>
      <c r="R47" s="4"/>
      <c r="S47" s="4"/>
      <c r="T47" s="4"/>
      <c r="U47" s="4"/>
      <c r="V47" s="4"/>
      <c r="W47" s="4"/>
      <c r="X47" s="4"/>
      <c r="Y47" s="4"/>
      <c r="Z47" s="4"/>
      <c r="AA47" s="4"/>
      <c r="AB47" s="4"/>
      <c r="AC47" s="4"/>
      <c r="AD47" s="4"/>
      <c r="AE47" s="4"/>
      <c r="AF47" s="4"/>
      <c r="AG47" s="4"/>
      <c r="AH47" s="1">
        <f ca="1">IFERROR(MATCH(A47,OFFSET(Grades!$A$1,MATCH(Rates!$B$4,LIST,0),2,1,SUMIF(Grades!$A:$A,Rates!$B$4,Grades!$B:$B)),0),"")</f>
        <v>43</v>
      </c>
    </row>
    <row r="48" spans="1:34" ht="18.75" customHeight="1" x14ac:dyDescent="0.2">
      <c r="A48" s="12">
        <v>46</v>
      </c>
      <c r="B48" s="138">
        <v>52132</v>
      </c>
      <c r="C48" s="25"/>
      <c r="D48" s="4"/>
      <c r="E48" s="4"/>
      <c r="F48" s="7"/>
      <c r="G48" s="4"/>
      <c r="H48" s="4"/>
      <c r="I48" s="7"/>
      <c r="J48" s="4"/>
      <c r="K48" s="4"/>
      <c r="L48" s="7"/>
      <c r="M48" s="4"/>
      <c r="N48" s="4"/>
      <c r="O48" s="4"/>
      <c r="P48" s="4"/>
      <c r="Q48" s="4"/>
      <c r="R48" s="4"/>
      <c r="S48" s="4"/>
      <c r="T48" s="4"/>
      <c r="U48" s="4"/>
      <c r="V48" s="4"/>
      <c r="W48" s="4"/>
      <c r="X48" s="4"/>
      <c r="Y48" s="4"/>
      <c r="Z48" s="4"/>
      <c r="AA48" s="4"/>
      <c r="AB48" s="4"/>
      <c r="AC48" s="4"/>
      <c r="AD48" s="4"/>
      <c r="AE48" s="4"/>
      <c r="AF48" s="4"/>
      <c r="AG48" s="4"/>
      <c r="AH48" s="1">
        <f ca="1">IFERROR(MATCH(A48,OFFSET(Grades!$A$1,MATCH(Rates!$B$4,LIST,0),2,1,SUMIF(Grades!$A:$A,Rates!$B$4,Grades!$B:$B)),0),"")</f>
        <v>44</v>
      </c>
    </row>
    <row r="49" spans="1:34" ht="18.75" customHeight="1" x14ac:dyDescent="0.2">
      <c r="A49" s="12">
        <v>47</v>
      </c>
      <c r="B49" s="138">
        <v>53691</v>
      </c>
      <c r="C49" s="25"/>
      <c r="D49" s="4"/>
      <c r="E49" s="4"/>
      <c r="F49" s="7"/>
      <c r="G49" s="4"/>
      <c r="H49" s="4"/>
      <c r="I49" s="7"/>
      <c r="J49" s="4"/>
      <c r="K49" s="4"/>
      <c r="L49" s="7"/>
      <c r="M49" s="4"/>
      <c r="N49" s="4"/>
      <c r="O49" s="4"/>
      <c r="P49" s="4"/>
      <c r="Q49" s="4"/>
      <c r="R49" s="4"/>
      <c r="S49" s="4"/>
      <c r="T49" s="4"/>
      <c r="U49" s="4"/>
      <c r="V49" s="4"/>
      <c r="W49" s="4"/>
      <c r="X49" s="4"/>
      <c r="Y49" s="4"/>
      <c r="Z49" s="4"/>
      <c r="AA49" s="4"/>
      <c r="AB49" s="4"/>
      <c r="AC49" s="4"/>
      <c r="AD49" s="4"/>
      <c r="AE49" s="4"/>
      <c r="AF49" s="4"/>
      <c r="AG49" s="4"/>
      <c r="AH49" s="1">
        <f ca="1">IFERROR(MATCH(A49,OFFSET(Grades!$A$1,MATCH(Rates!$B$4,LIST,0),2,1,SUMIF(Grades!$A:$A,Rates!$B$4,Grades!$B:$B)),0),"")</f>
        <v>45</v>
      </c>
    </row>
    <row r="50" spans="1:34" ht="18.75" customHeight="1" x14ac:dyDescent="0.2">
      <c r="A50" s="12">
        <v>48</v>
      </c>
      <c r="B50" s="138">
        <v>55297</v>
      </c>
      <c r="C50" s="25"/>
      <c r="D50" s="4"/>
      <c r="E50" s="4"/>
      <c r="F50" s="7"/>
      <c r="G50" s="4"/>
      <c r="H50" s="4"/>
      <c r="I50" s="7"/>
      <c r="J50" s="4"/>
      <c r="K50" s="4"/>
      <c r="L50" s="7"/>
      <c r="M50" s="4"/>
      <c r="N50" s="4"/>
      <c r="O50" s="4"/>
      <c r="P50" s="4"/>
      <c r="Q50" s="4"/>
      <c r="R50" s="4"/>
      <c r="S50" s="4"/>
      <c r="T50" s="4"/>
      <c r="U50" s="4"/>
      <c r="V50" s="4"/>
      <c r="W50" s="4"/>
      <c r="X50" s="4"/>
      <c r="Y50" s="4"/>
      <c r="Z50" s="4"/>
      <c r="AA50" s="4"/>
      <c r="AB50" s="4"/>
      <c r="AC50" s="4"/>
      <c r="AD50" s="4"/>
      <c r="AE50" s="4"/>
      <c r="AF50" s="4"/>
      <c r="AG50" s="4"/>
      <c r="AH50" s="1">
        <f ca="1">IFERROR(MATCH(A50,OFFSET(Grades!$A$1,MATCH(Rates!$B$4,LIST,0),2,1,SUMIF(Grades!$A:$A,Rates!$B$4,Grades!$B:$B)),0),"")</f>
        <v>46</v>
      </c>
    </row>
    <row r="51" spans="1:34" ht="18.75" customHeight="1" x14ac:dyDescent="0.2">
      <c r="A51" s="12">
        <v>49</v>
      </c>
      <c r="B51" s="138">
        <v>56950</v>
      </c>
      <c r="C51" s="25"/>
      <c r="D51" s="4"/>
      <c r="E51" s="4"/>
      <c r="F51" s="7"/>
      <c r="G51" s="4"/>
      <c r="H51" s="4"/>
      <c r="I51" s="7"/>
      <c r="J51" s="4"/>
      <c r="K51" s="4"/>
      <c r="L51" s="7"/>
      <c r="M51" s="4"/>
      <c r="N51" s="4"/>
      <c r="O51" s="4"/>
      <c r="P51" s="4"/>
      <c r="Q51" s="4"/>
      <c r="R51" s="4"/>
      <c r="S51" s="4"/>
      <c r="T51" s="4"/>
      <c r="U51" s="4"/>
      <c r="V51" s="4"/>
      <c r="W51" s="4"/>
      <c r="X51" s="4"/>
      <c r="Y51" s="4"/>
      <c r="Z51" s="4"/>
      <c r="AA51" s="4"/>
      <c r="AB51" s="4"/>
      <c r="AC51" s="4"/>
      <c r="AD51" s="4"/>
      <c r="AE51" s="4"/>
      <c r="AF51" s="4"/>
      <c r="AG51" s="4"/>
      <c r="AH51" s="1">
        <f ca="1">IFERROR(MATCH(A51,OFFSET(Grades!$A$1,MATCH(Rates!$B$4,LIST,0),2,1,SUMIF(Grades!$A:$A,Rates!$B$4,Grades!$B:$B)),0),"")</f>
        <v>47</v>
      </c>
    </row>
    <row r="52" spans="1:34" ht="18.75" customHeight="1" x14ac:dyDescent="0.2">
      <c r="A52" s="12">
        <v>50</v>
      </c>
      <c r="B52" s="138">
        <v>58655</v>
      </c>
      <c r="C52" s="25"/>
      <c r="D52" s="4"/>
      <c r="E52" s="4"/>
      <c r="F52" s="7"/>
      <c r="G52" s="4"/>
      <c r="H52" s="4"/>
      <c r="I52" s="7"/>
      <c r="J52" s="4"/>
      <c r="K52" s="4"/>
      <c r="L52" s="7"/>
      <c r="M52" s="4"/>
      <c r="N52" s="4"/>
      <c r="O52" s="4"/>
      <c r="P52" s="4"/>
      <c r="Q52" s="4"/>
      <c r="R52" s="4"/>
      <c r="S52" s="4"/>
      <c r="T52" s="4"/>
      <c r="U52" s="4"/>
      <c r="V52" s="4"/>
      <c r="W52" s="4"/>
      <c r="X52" s="4"/>
      <c r="Y52" s="4"/>
      <c r="Z52" s="4"/>
      <c r="AA52" s="4"/>
      <c r="AB52" s="4"/>
      <c r="AC52" s="4"/>
      <c r="AD52" s="4"/>
      <c r="AE52" s="4"/>
      <c r="AF52" s="4"/>
      <c r="AG52" s="4"/>
      <c r="AH52" s="1">
        <f ca="1">IFERROR(MATCH(A52,OFFSET(Grades!$A$1,MATCH(Rates!$B$4,LIST,0),2,1,SUMIF(Grades!$A:$A,Rates!$B$4,Grades!$B:$B)),0),"")</f>
        <v>48</v>
      </c>
    </row>
    <row r="53" spans="1:34" ht="18.75" customHeight="1" x14ac:dyDescent="0.2">
      <c r="A53" s="12">
        <v>51</v>
      </c>
      <c r="B53" s="138">
        <v>60410</v>
      </c>
      <c r="C53" s="25"/>
      <c r="D53" s="4"/>
      <c r="E53" s="4"/>
      <c r="F53" s="7"/>
      <c r="G53" s="4"/>
      <c r="H53" s="4"/>
      <c r="I53" s="7"/>
      <c r="J53" s="4"/>
      <c r="K53" s="4"/>
      <c r="L53" s="7"/>
      <c r="M53" s="4"/>
      <c r="N53" s="4"/>
      <c r="O53" s="4"/>
      <c r="P53" s="4"/>
      <c r="Q53" s="4"/>
      <c r="R53" s="4"/>
      <c r="S53" s="4"/>
      <c r="T53" s="4"/>
      <c r="U53" s="4"/>
      <c r="V53" s="4"/>
      <c r="W53" s="4"/>
      <c r="X53" s="4"/>
      <c r="Y53" s="4"/>
      <c r="Z53" s="4"/>
      <c r="AA53" s="4"/>
      <c r="AB53" s="4"/>
      <c r="AC53" s="4"/>
      <c r="AD53" s="4"/>
      <c r="AE53" s="4"/>
      <c r="AF53" s="4"/>
      <c r="AG53" s="4"/>
      <c r="AH53" s="1">
        <f ca="1">IFERROR(MATCH(A53,OFFSET(Grades!$A$1,MATCH(Rates!$B$4,LIST,0),2,1,SUMIF(Grades!$A:$A,Rates!$B$4,Grades!$B:$B)),0),"")</f>
        <v>49</v>
      </c>
    </row>
    <row r="54" spans="1:34" ht="18.75" customHeight="1" x14ac:dyDescent="0.25">
      <c r="A54" s="15">
        <v>52</v>
      </c>
      <c r="B54" s="126">
        <v>62199</v>
      </c>
      <c r="C54" s="25"/>
      <c r="D54" s="4"/>
      <c r="E54" s="4"/>
      <c r="F54" s="7"/>
      <c r="G54" s="4"/>
      <c r="H54" s="4"/>
      <c r="I54" s="7"/>
      <c r="J54" s="4"/>
      <c r="K54" s="4"/>
      <c r="L54" s="7"/>
      <c r="M54" s="4"/>
      <c r="N54" s="4"/>
      <c r="O54" s="4"/>
      <c r="P54" s="4"/>
      <c r="Q54" s="4"/>
      <c r="R54" s="4"/>
      <c r="S54" s="4"/>
      <c r="T54" s="4"/>
      <c r="U54" s="4"/>
      <c r="V54" s="4"/>
      <c r="W54" s="4"/>
      <c r="X54" s="4"/>
      <c r="Y54" s="4"/>
      <c r="Z54" s="4"/>
      <c r="AA54" s="4"/>
      <c r="AB54" s="4"/>
      <c r="AC54" s="4"/>
      <c r="AD54" s="4"/>
      <c r="AE54" s="4"/>
      <c r="AF54" s="4"/>
      <c r="AG54" s="4"/>
      <c r="AH54" s="1">
        <f ca="1">IFERROR(MATCH(A54,OFFSET(Grades!$A$1,MATCH(Rates!$B$4,LIST,0),2,1,SUMIF(Grades!$A:$A,Rates!$B$4,Grades!$B:$B)),0),"")</f>
        <v>50</v>
      </c>
    </row>
    <row r="55" spans="1:34" ht="18.75" customHeight="1" x14ac:dyDescent="0.25">
      <c r="A55" s="15">
        <v>53</v>
      </c>
      <c r="B55" s="126">
        <v>64061</v>
      </c>
      <c r="C55" s="25"/>
      <c r="D55" s="4"/>
      <c r="E55" s="4"/>
      <c r="F55" s="7"/>
      <c r="G55" s="4"/>
      <c r="H55" s="4"/>
      <c r="I55" s="7"/>
      <c r="J55" s="4"/>
      <c r="K55" s="4"/>
      <c r="L55" s="7"/>
      <c r="M55" s="4"/>
      <c r="N55" s="4"/>
      <c r="O55" s="4"/>
      <c r="P55" s="4"/>
      <c r="Q55" s="4"/>
      <c r="R55" s="4"/>
      <c r="S55" s="4"/>
      <c r="T55" s="4"/>
      <c r="U55" s="4"/>
      <c r="V55" s="4"/>
      <c r="W55" s="4"/>
      <c r="X55" s="4"/>
      <c r="Y55" s="4"/>
      <c r="Z55" s="4"/>
      <c r="AA55" s="4"/>
      <c r="AB55" s="4"/>
      <c r="AC55" s="4"/>
      <c r="AD55" s="4"/>
      <c r="AE55" s="4"/>
      <c r="AF55" s="4"/>
      <c r="AG55" s="4"/>
      <c r="AH55" s="1">
        <f ca="1">IFERROR(MATCH(A55,OFFSET(Grades!$A$1,MATCH(Rates!$B$4,LIST,0),2,1,SUMIF(Grades!$A:$A,Rates!$B$4,Grades!$B:$B)),0),"")</f>
        <v>51</v>
      </c>
    </row>
    <row r="56" spans="1:34" ht="18.75" customHeight="1" x14ac:dyDescent="0.25">
      <c r="A56" s="15">
        <v>54</v>
      </c>
      <c r="B56" s="126">
        <v>65980</v>
      </c>
      <c r="C56" s="25"/>
      <c r="D56" s="4"/>
      <c r="E56" s="4"/>
      <c r="F56" s="7"/>
      <c r="G56" s="4"/>
      <c r="H56" s="4"/>
      <c r="I56" s="7"/>
      <c r="J56" s="4"/>
      <c r="K56" s="4"/>
      <c r="L56" s="7"/>
      <c r="M56" s="4"/>
      <c r="N56" s="4"/>
      <c r="O56" s="4"/>
      <c r="P56" s="4"/>
      <c r="Q56" s="4"/>
      <c r="R56" s="4"/>
      <c r="S56" s="4"/>
      <c r="T56" s="4"/>
      <c r="U56" s="4"/>
      <c r="V56" s="4"/>
      <c r="W56" s="4"/>
      <c r="X56" s="4"/>
      <c r="Y56" s="4"/>
      <c r="Z56" s="4"/>
      <c r="AA56" s="4"/>
      <c r="AB56" s="4"/>
      <c r="AC56" s="4"/>
      <c r="AD56" s="4"/>
      <c r="AE56" s="4"/>
      <c r="AF56" s="4"/>
      <c r="AG56" s="4"/>
      <c r="AH56" s="1">
        <f ca="1">IFERROR(MATCH(A56,OFFSET(Grades!$A$1,MATCH(Rates!$B$4,LIST,0),2,1,SUMIF(Grades!$A:$A,Rates!$B$4,Grades!$B:$B)),0),"")</f>
        <v>52</v>
      </c>
    </row>
    <row r="57" spans="1:34" ht="18.75" customHeight="1" x14ac:dyDescent="0.25">
      <c r="A57" s="15">
        <v>55</v>
      </c>
      <c r="B57" s="126">
        <v>67954</v>
      </c>
      <c r="C57" s="25"/>
      <c r="D57" s="4"/>
      <c r="E57" s="4"/>
      <c r="F57" s="7"/>
      <c r="G57" s="4"/>
      <c r="H57" s="4"/>
      <c r="I57" s="7"/>
      <c r="J57" s="4"/>
      <c r="K57" s="4"/>
      <c r="L57" s="7"/>
      <c r="M57" s="4"/>
      <c r="N57" s="4"/>
      <c r="O57" s="4"/>
      <c r="P57" s="4"/>
      <c r="Q57" s="4"/>
      <c r="R57" s="4"/>
      <c r="S57" s="4"/>
      <c r="T57" s="4"/>
      <c r="U57" s="4"/>
      <c r="V57" s="4"/>
      <c r="W57" s="4"/>
      <c r="X57" s="4"/>
      <c r="Y57" s="4"/>
      <c r="Z57" s="4"/>
      <c r="AA57" s="4"/>
      <c r="AB57" s="4"/>
      <c r="AC57" s="4"/>
      <c r="AD57" s="4"/>
      <c r="AE57" s="4"/>
      <c r="AF57" s="4"/>
      <c r="AG57" s="4"/>
      <c r="AH57" s="1">
        <f ca="1">IFERROR(MATCH(A57,OFFSET(Grades!$A$1,MATCH(Rates!$B$4,LIST,0),2,1,SUMIF(Grades!$A:$A,Rates!$B$4,Grades!$B:$B)),0),"")</f>
        <v>53</v>
      </c>
    </row>
    <row r="58" spans="1:34" ht="18.75" customHeight="1" x14ac:dyDescent="0.25">
      <c r="A58" s="15">
        <v>56</v>
      </c>
      <c r="B58" s="126">
        <v>69987</v>
      </c>
      <c r="C58" s="25"/>
      <c r="D58" s="4"/>
      <c r="E58" s="4"/>
      <c r="F58" s="7"/>
      <c r="G58" s="4"/>
      <c r="H58" s="4"/>
      <c r="I58" s="7"/>
      <c r="J58" s="4"/>
      <c r="K58" s="4"/>
      <c r="L58" s="7"/>
      <c r="M58" s="4"/>
      <c r="N58" s="4"/>
      <c r="O58" s="4"/>
      <c r="P58" s="4"/>
      <c r="Q58" s="4"/>
      <c r="R58" s="4"/>
      <c r="S58" s="4"/>
      <c r="T58" s="4"/>
      <c r="U58" s="4"/>
      <c r="V58" s="4"/>
      <c r="W58" s="4"/>
      <c r="X58" s="4"/>
      <c r="Y58" s="4"/>
      <c r="Z58" s="4"/>
      <c r="AA58" s="4"/>
      <c r="AB58" s="4"/>
      <c r="AC58" s="4"/>
      <c r="AD58" s="4"/>
      <c r="AE58" s="4"/>
      <c r="AF58" s="4"/>
      <c r="AG58" s="4"/>
      <c r="AH58" s="1">
        <f ca="1">IFERROR(MATCH(A58,OFFSET(Grades!$A$1,MATCH(Rates!$B$4,LIST,0),2,1,SUMIF(Grades!$A:$A,Rates!$B$4,Grades!$B:$B)),0),"")</f>
        <v>54</v>
      </c>
    </row>
    <row r="59" spans="1:34" ht="18.75" customHeight="1" x14ac:dyDescent="0.25">
      <c r="A59" s="15">
        <v>57</v>
      </c>
      <c r="B59" s="126">
        <v>72082</v>
      </c>
      <c r="C59" s="25"/>
      <c r="D59" s="4"/>
      <c r="E59" s="4"/>
      <c r="F59" s="7"/>
      <c r="G59" s="4"/>
      <c r="H59" s="4"/>
      <c r="I59" s="7"/>
      <c r="J59" s="4"/>
      <c r="K59" s="4"/>
      <c r="L59" s="7"/>
      <c r="M59" s="4"/>
      <c r="N59" s="4"/>
      <c r="O59" s="4"/>
      <c r="P59" s="4"/>
      <c r="Q59" s="4"/>
      <c r="R59" s="4"/>
      <c r="S59" s="4"/>
      <c r="T59" s="4"/>
      <c r="U59" s="4"/>
      <c r="V59" s="4"/>
      <c r="W59" s="4"/>
      <c r="X59" s="4"/>
      <c r="Y59" s="4"/>
      <c r="Z59" s="4"/>
      <c r="AA59" s="4"/>
      <c r="AB59" s="4"/>
      <c r="AC59" s="4"/>
      <c r="AD59" s="4"/>
      <c r="AE59" s="4"/>
      <c r="AF59" s="4"/>
      <c r="AG59" s="4"/>
      <c r="AH59" s="1">
        <f ca="1">IFERROR(MATCH(A59,OFFSET(Grades!$A$1,MATCH(Rates!$B$4,LIST,0),2,1,SUMIF(Grades!$A:$A,Rates!$B$4,Grades!$B:$B)),0),"")</f>
        <v>55</v>
      </c>
    </row>
    <row r="60" spans="1:34" ht="18.75" customHeight="1" x14ac:dyDescent="0.2">
      <c r="A60" s="15">
        <v>116</v>
      </c>
      <c r="B60" s="143">
        <f>ROUND(B3*70%,0)</f>
        <v>10588</v>
      </c>
      <c r="C60" s="86" t="s">
        <v>145</v>
      </c>
      <c r="D60" s="4"/>
      <c r="E60" s="4"/>
      <c r="F60" s="7"/>
      <c r="G60" s="4"/>
      <c r="H60" s="4"/>
      <c r="I60" s="7"/>
      <c r="J60" s="4"/>
      <c r="K60" s="4"/>
      <c r="L60" s="7"/>
      <c r="M60" s="4"/>
      <c r="N60" s="4"/>
      <c r="O60" s="4"/>
      <c r="P60" s="4"/>
      <c r="Q60" s="4"/>
      <c r="R60" s="4"/>
      <c r="S60" s="4"/>
      <c r="T60" s="4"/>
      <c r="U60" s="4"/>
      <c r="V60" s="4"/>
      <c r="W60" s="4"/>
      <c r="X60" s="4"/>
      <c r="Y60" s="4"/>
      <c r="Z60" s="4"/>
      <c r="AA60" s="4"/>
      <c r="AB60" s="4"/>
      <c r="AC60" s="4"/>
      <c r="AD60" s="4"/>
      <c r="AE60" s="4"/>
      <c r="AF60" s="4"/>
      <c r="AG60" s="4"/>
      <c r="AH60" s="1" t="str">
        <f ca="1">IFERROR(MATCH(A61,OFFSET(Grades!$A$1,MATCH(Rates!$B$4,LIST,0),2,1,SUMIF(Grades!$A:$A,Rates!$B$4,Grades!$B:$B)),0),"")</f>
        <v/>
      </c>
    </row>
    <row r="61" spans="1:34" ht="18.75" customHeight="1" x14ac:dyDescent="0.25">
      <c r="A61" s="15">
        <v>216</v>
      </c>
      <c r="B61" s="12">
        <f t="shared" ref="B61:B68" si="7">ROUND(B4*70%,0)</f>
        <v>10792</v>
      </c>
      <c r="C61" s="86"/>
      <c r="D61" s="4"/>
      <c r="E61" s="4"/>
      <c r="F61" s="7"/>
      <c r="G61" s="4"/>
      <c r="H61" s="4"/>
      <c r="I61" s="7"/>
      <c r="J61" s="4"/>
      <c r="K61" s="4"/>
      <c r="L61" s="7"/>
      <c r="M61" s="4"/>
      <c r="N61" s="4"/>
      <c r="O61" s="4"/>
      <c r="P61" s="4"/>
      <c r="Q61" s="4"/>
      <c r="R61" s="4"/>
      <c r="S61" s="4"/>
      <c r="T61" s="4"/>
      <c r="U61" s="4"/>
      <c r="V61" s="4"/>
      <c r="W61" s="4"/>
      <c r="X61" s="4"/>
      <c r="Y61" s="4"/>
      <c r="Z61" s="4"/>
      <c r="AA61" s="4"/>
      <c r="AB61" s="4"/>
      <c r="AC61" s="4"/>
      <c r="AD61" s="4"/>
      <c r="AE61" s="4"/>
      <c r="AF61" s="4"/>
      <c r="AG61" s="4"/>
      <c r="AH61" s="1" t="str">
        <f ca="1">IFERROR(MATCH(A62,OFFSET(Grades!$A$1,MATCH(Rates!$B$4,LIST,0),2,1,SUMIF(Grades!$A:$A,Rates!$B$4,Grades!$B:$B)),0),"")</f>
        <v/>
      </c>
    </row>
    <row r="62" spans="1:34" ht="18.75" customHeight="1" x14ac:dyDescent="0.25">
      <c r="A62" s="15">
        <v>316</v>
      </c>
      <c r="B62" s="12">
        <f t="shared" si="7"/>
        <v>11005</v>
      </c>
      <c r="C62" s="4"/>
      <c r="D62" s="16"/>
      <c r="E62" s="16"/>
      <c r="F62" s="17"/>
      <c r="G62" s="16"/>
      <c r="H62" s="16"/>
      <c r="I62" s="17"/>
      <c r="J62" s="16"/>
      <c r="K62" s="16"/>
      <c r="AH62" s="1" t="str">
        <f ca="1">IFERROR(MATCH(A63,OFFSET(Grades!$A$1,MATCH(Rates!$B$4,LIST,0),2,1,SUMIF(Grades!$A:$A,Rates!$B$4,Grades!$B:$B)),0),"")</f>
        <v/>
      </c>
    </row>
    <row r="63" spans="1:34" ht="18.75" customHeight="1" x14ac:dyDescent="0.25">
      <c r="A63" s="15">
        <v>416</v>
      </c>
      <c r="B63" s="12">
        <f t="shared" si="7"/>
        <v>11225</v>
      </c>
      <c r="C63" s="4"/>
      <c r="D63" s="16"/>
      <c r="E63" s="16"/>
      <c r="F63" s="17"/>
      <c r="G63" s="16"/>
      <c r="H63" s="16"/>
      <c r="I63" s="17"/>
      <c r="J63" s="16"/>
      <c r="K63" s="16"/>
      <c r="AH63" s="1" t="str">
        <f ca="1">IFERROR(MATCH(A64,OFFSET(Grades!$A$1,MATCH(Rates!$B$4,LIST,0),2,1,SUMIF(Grades!$A:$A,Rates!$B$4,Grades!$B:$B)),0),"")</f>
        <v/>
      </c>
    </row>
    <row r="64" spans="1:34" ht="18.75" customHeight="1" x14ac:dyDescent="0.25">
      <c r="A64" s="15">
        <v>516</v>
      </c>
      <c r="B64" s="12">
        <f t="shared" si="7"/>
        <v>11439</v>
      </c>
      <c r="C64" s="4"/>
      <c r="D64" s="16"/>
      <c r="E64" s="16"/>
      <c r="F64" s="17"/>
      <c r="G64" s="16"/>
      <c r="H64" s="16"/>
      <c r="I64" s="17"/>
      <c r="J64" s="16"/>
      <c r="K64" s="16"/>
      <c r="AH64" s="1" t="str">
        <f ca="1">IFERROR(MATCH(A65,OFFSET(Grades!$A$1,MATCH(Rates!$B$4,LIST,0),2,1,SUMIF(Grades!$A:$A,Rates!$B$4,Grades!$B:$B)),0),"")</f>
        <v/>
      </c>
    </row>
    <row r="65" spans="1:34" ht="18.75" customHeight="1" x14ac:dyDescent="0.25">
      <c r="A65" s="15">
        <v>616</v>
      </c>
      <c r="B65" s="12">
        <f t="shared" si="7"/>
        <v>11658</v>
      </c>
      <c r="C65" s="4"/>
      <c r="D65" s="16"/>
      <c r="E65" s="16"/>
      <c r="F65" s="17"/>
      <c r="G65" s="16"/>
      <c r="H65" s="16"/>
      <c r="I65" s="17"/>
      <c r="J65" s="16"/>
      <c r="K65" s="16"/>
      <c r="AH65" s="1" t="str">
        <f ca="1">IFERROR(MATCH(A66,OFFSET(Grades!$A$1,MATCH(Rates!$B$4,LIST,0),2,1,SUMIF(Grades!$A:$A,Rates!$B$4,Grades!$B:$B)),0),"")</f>
        <v/>
      </c>
    </row>
    <row r="66" spans="1:34" ht="18.75" customHeight="1" x14ac:dyDescent="0.25">
      <c r="A66" s="15">
        <v>716</v>
      </c>
      <c r="B66" s="12">
        <f t="shared" si="7"/>
        <v>11888</v>
      </c>
      <c r="C66" s="4"/>
      <c r="D66" s="16"/>
      <c r="E66" s="16"/>
      <c r="F66" s="17"/>
      <c r="G66" s="16"/>
      <c r="H66" s="16"/>
      <c r="I66" s="17"/>
      <c r="J66" s="16"/>
      <c r="K66" s="16"/>
      <c r="AH66" s="1" t="str">
        <f ca="1">IFERROR(MATCH(A67,OFFSET(Grades!$A$1,MATCH(Rates!$B$4,LIST,0),2,1,SUMIF(Grades!$A:$A,Rates!$B$4,Grades!$B:$B)),0),"")</f>
        <v/>
      </c>
    </row>
    <row r="67" spans="1:34" ht="18.75" customHeight="1" x14ac:dyDescent="0.25">
      <c r="A67" s="15">
        <v>816</v>
      </c>
      <c r="B67" s="12">
        <f t="shared" si="7"/>
        <v>12128</v>
      </c>
      <c r="C67" s="4"/>
      <c r="D67" s="16"/>
      <c r="E67" s="16"/>
      <c r="F67" s="17"/>
      <c r="G67" s="16"/>
      <c r="H67" s="16"/>
      <c r="I67" s="17"/>
      <c r="J67" s="16"/>
      <c r="K67" s="87"/>
      <c r="AH67" s="1" t="str">
        <f ca="1">IFERROR(MATCH(A68,OFFSET(Grades!$A$1,MATCH(Rates!$B$4,LIST,0),2,1,SUMIF(Grades!$A:$A,Rates!$B$4,Grades!$B:$B)),0),"")</f>
        <v/>
      </c>
    </row>
    <row r="68" spans="1:34" ht="18.75" customHeight="1" x14ac:dyDescent="0.25">
      <c r="A68" s="15">
        <v>916</v>
      </c>
      <c r="B68" s="12">
        <f t="shared" si="7"/>
        <v>12435</v>
      </c>
      <c r="C68" s="4"/>
      <c r="D68" s="16"/>
      <c r="E68" s="16"/>
      <c r="F68" s="17"/>
      <c r="G68" s="16"/>
      <c r="H68" s="16"/>
      <c r="I68" s="17"/>
      <c r="J68" s="16"/>
      <c r="K68" s="16"/>
      <c r="AH68" s="1" t="str">
        <f ca="1">IFERROR(MATCH(A69,OFFSET(Grades!$A$1,MATCH(Rates!$B$4,LIST,0),2,1,SUMIF(Grades!$A:$A,Rates!$B$4,Grades!$B:$B)),0),"")</f>
        <v/>
      </c>
    </row>
    <row r="69" spans="1:34" ht="18.75" customHeight="1" x14ac:dyDescent="0.25">
      <c r="A69" s="15">
        <v>117</v>
      </c>
      <c r="B69" s="142">
        <f>ROUND(B3*85%,0)</f>
        <v>12857</v>
      </c>
      <c r="C69" s="86" t="s">
        <v>145</v>
      </c>
      <c r="AH69" s="1" t="str">
        <f ca="1">IFERROR(MATCH(A70,OFFSET(Grades!$A$1,MATCH(Rates!$B$4,LIST,0),2,1,SUMIF(Grades!$A:$A,Rates!$B$4,Grades!$B:$B)),0),"")</f>
        <v/>
      </c>
    </row>
    <row r="70" spans="1:34" ht="18.75" customHeight="1" x14ac:dyDescent="0.25">
      <c r="A70" s="15">
        <v>217</v>
      </c>
      <c r="B70" s="12">
        <f t="shared" ref="B70:B77" si="8">ROUND(B4*85%,0)</f>
        <v>13104</v>
      </c>
      <c r="C70" s="86"/>
      <c r="AH70" s="1" t="str">
        <f ca="1">IFERROR(MATCH(A71,OFFSET(Grades!$A$1,MATCH(Rates!$B$4,LIST,0),2,1,SUMIF(Grades!$A:$A,Rates!$B$4,Grades!$B:$B)),0),"")</f>
        <v/>
      </c>
    </row>
    <row r="71" spans="1:34" ht="18.75" customHeight="1" x14ac:dyDescent="0.25">
      <c r="A71" s="15">
        <v>317</v>
      </c>
      <c r="B71" s="12">
        <f t="shared" si="8"/>
        <v>13363</v>
      </c>
      <c r="C71" s="4"/>
      <c r="AH71" s="1" t="str">
        <f ca="1">IFERROR(MATCH(A72,OFFSET(Grades!$A$1,MATCH(Rates!$B$4,LIST,0),2,1,SUMIF(Grades!$A:$A,Rates!$B$4,Grades!$B:$B)),0),"")</f>
        <v/>
      </c>
    </row>
    <row r="72" spans="1:34" ht="18.75" customHeight="1" x14ac:dyDescent="0.25">
      <c r="A72" s="15">
        <v>417</v>
      </c>
      <c r="B72" s="12">
        <f t="shared" si="8"/>
        <v>13630</v>
      </c>
      <c r="C72" s="4"/>
      <c r="AH72" s="1" t="str">
        <f ca="1">IFERROR(MATCH(A73,OFFSET(Grades!$A$1,MATCH(Rates!$B$4,LIST,0),2,1,SUMIF(Grades!$A:$A,Rates!$B$4,Grades!$B:$B)),0),"")</f>
        <v/>
      </c>
    </row>
    <row r="73" spans="1:34" ht="18.75" customHeight="1" x14ac:dyDescent="0.25">
      <c r="A73" s="15">
        <v>517</v>
      </c>
      <c r="B73" s="12">
        <f t="shared" si="8"/>
        <v>13890</v>
      </c>
      <c r="C73" s="4"/>
      <c r="AH73" s="1" t="str">
        <f ca="1">IFERROR(MATCH(A74,OFFSET(Grades!$A$1,MATCH(Rates!$B$4,LIST,0),2,1,SUMIF(Grades!$A:$A,Rates!$B$4,Grades!$B:$B)),0),"")</f>
        <v/>
      </c>
    </row>
    <row r="74" spans="1:34" ht="18.75" customHeight="1" x14ac:dyDescent="0.25">
      <c r="A74" s="15">
        <v>617</v>
      </c>
      <c r="B74" s="12">
        <f t="shared" si="8"/>
        <v>14156</v>
      </c>
      <c r="C74" s="4"/>
      <c r="AH74" s="1" t="str">
        <f ca="1">IFERROR(MATCH(A75,OFFSET(Grades!$A$1,MATCH(Rates!$B$4,LIST,0),2,1,SUMIF(Grades!$A:$A,Rates!$B$4,Grades!$B:$B)),0),"")</f>
        <v/>
      </c>
    </row>
    <row r="75" spans="1:34" ht="18.75" customHeight="1" x14ac:dyDescent="0.25">
      <c r="A75" s="15">
        <v>717</v>
      </c>
      <c r="B75" s="12">
        <f t="shared" si="8"/>
        <v>14436</v>
      </c>
      <c r="C75" s="4"/>
      <c r="AH75" s="1" t="str">
        <f ca="1">IFERROR(MATCH(A76,OFFSET(Grades!$A$1,MATCH(Rates!$B$4,LIST,0),2,1,SUMIF(Grades!$A:$A,Rates!$B$4,Grades!$B:$B)),0),"")</f>
        <v/>
      </c>
    </row>
    <row r="76" spans="1:34" ht="18.75" customHeight="1" x14ac:dyDescent="0.25">
      <c r="A76" s="15">
        <v>817</v>
      </c>
      <c r="B76" s="12">
        <f t="shared" si="8"/>
        <v>14727</v>
      </c>
      <c r="C76" s="4"/>
      <c r="AH76" s="1" t="str">
        <f ca="1">IFERROR(MATCH(A77,OFFSET(Grades!$A$1,MATCH(Rates!$B$4,LIST,0),2,1,SUMIF(Grades!$A:$A,Rates!$B$4,Grades!$B:$B)),0),"")</f>
        <v/>
      </c>
    </row>
    <row r="77" spans="1:34" ht="18.75" customHeight="1" x14ac:dyDescent="0.25">
      <c r="A77" s="15">
        <v>917</v>
      </c>
      <c r="B77" s="12">
        <f t="shared" si="8"/>
        <v>15099</v>
      </c>
      <c r="C77" s="4"/>
      <c r="AH77" s="1" t="str">
        <f ca="1">IFERROR(MATCH(A78,OFFSET(Grades!$A$1,MATCH(Rates!$B$4,LIST,0),2,1,SUMIF(Grades!$A:$A,Rates!$B$4,Grades!$B:$B)),0),"")</f>
        <v/>
      </c>
    </row>
    <row r="78" spans="1:34" ht="18.75" customHeight="1" x14ac:dyDescent="0.25">
      <c r="A78" s="15"/>
      <c r="B78" s="12"/>
      <c r="AH78" s="1" t="str">
        <f ca="1">IFERROR(MATCH(A79,OFFSET(Grades!$A$1,MATCH(Rates!$B$4,LIST,0),2,1,SUMIF(Grades!$A:$A,Rates!$B$4,Grades!$B:$B)),0),"")</f>
        <v/>
      </c>
    </row>
    <row r="79" spans="1:34" ht="18.75" customHeight="1" x14ac:dyDescent="0.25">
      <c r="A79" s="15" t="s">
        <v>102</v>
      </c>
      <c r="B79" s="12">
        <v>15417</v>
      </c>
      <c r="C79" s="88"/>
      <c r="AH79" s="1" t="str">
        <f ca="1">IFERROR(MATCH(A80,OFFSET(Grades!$A$1,MATCH(Rates!$B$4,LIST,0),2,1,SUMIF(Grades!$A:$A,Rates!$B$4,Grades!$B:$B)),0),"")</f>
        <v/>
      </c>
    </row>
    <row r="80" spans="1:34" ht="18.75" customHeight="1" x14ac:dyDescent="0.25">
      <c r="A80" s="15"/>
      <c r="B80" s="12"/>
      <c r="AH80" s="1" t="str">
        <f ca="1">IFERROR(MATCH(A81,OFFSET(Grades!$A$1,MATCH(Rates!$B$4,LIST,0),2,1,SUMIF(Grades!$A:$A,Rates!$B$4,Grades!$B:$B)),0),"")</f>
        <v/>
      </c>
    </row>
    <row r="81" spans="1:34" ht="18.75" customHeight="1" x14ac:dyDescent="0.25">
      <c r="A81" s="15"/>
      <c r="B81" s="12"/>
      <c r="C81" s="88" t="s">
        <v>143</v>
      </c>
      <c r="AH81" s="1" t="str">
        <f ca="1">IFERROR(MATCH(A82,OFFSET(Grades!$A$1,MATCH(Rates!$B$4,LIST,0),2,1,SUMIF(Grades!$A:$A,Rates!$B$4,Grades!$B:$B)),0),"")</f>
        <v/>
      </c>
    </row>
    <row r="82" spans="1:34" ht="18.75" customHeight="1" x14ac:dyDescent="0.25">
      <c r="A82" s="15"/>
      <c r="B82" s="12"/>
      <c r="C82" s="88" t="s">
        <v>144</v>
      </c>
      <c r="AH82" s="1" t="str">
        <f ca="1">IFERROR(MATCH(A83,OFFSET(Grades!$A$1,MATCH(Rates!$B$4,LIST,0),2,1,SUMIF(Grades!$A:$A,Rates!$B$4,Grades!$B:$B)),0),"")</f>
        <v/>
      </c>
    </row>
    <row r="83" spans="1:34" ht="18.75" customHeight="1" x14ac:dyDescent="0.25">
      <c r="A83" s="15"/>
      <c r="B83" s="12"/>
      <c r="AH83" s="1" t="str">
        <f ca="1">IFERROR(MATCH(A84,OFFSET(Grades!$A$1,MATCH(Rates!$B$4,LIST,0),2,1,SUMIF(Grades!$A:$A,Rates!$B$4,Grades!$B:$B)),0),"")</f>
        <v/>
      </c>
    </row>
    <row r="84" spans="1:34" ht="18.75" customHeight="1" x14ac:dyDescent="0.25">
      <c r="A84" s="15"/>
      <c r="B84" s="12"/>
      <c r="AH84" s="1" t="str">
        <f ca="1">IFERROR(MATCH(A85,OFFSET(Grades!$A$1,MATCH(Rates!$B$4,LIST,0),2,1,SUMIF(Grades!$A:$A,Rates!$B$4,Grades!$B:$B)),0),"")</f>
        <v/>
      </c>
    </row>
    <row r="85" spans="1:34" ht="18.75" customHeight="1" x14ac:dyDescent="0.25">
      <c r="A85" s="15"/>
      <c r="B85" s="12"/>
      <c r="AH85" s="1" t="str">
        <f ca="1">IFERROR(MATCH(A86,OFFSET(Grades!$A$1,MATCH(Rates!$B$4,LIST,0),2,1,SUMIF(Grades!$A:$A,Rates!$B$4,Grades!$B:$B)),0),"")</f>
        <v/>
      </c>
    </row>
    <row r="86" spans="1:34" ht="18.75" customHeight="1" x14ac:dyDescent="0.25">
      <c r="A86" s="15"/>
      <c r="B86" s="12"/>
      <c r="AH86" s="1" t="str">
        <f ca="1">IFERROR(MATCH(A87,OFFSET(Grades!$A$1,MATCH(Rates!$B$4,LIST,0),2,1,SUMIF(Grades!$A:$A,Rates!$B$4,Grades!$B:$B)),0),"")</f>
        <v/>
      </c>
    </row>
    <row r="87" spans="1:34" ht="18.75" customHeight="1" x14ac:dyDescent="0.25">
      <c r="A87" s="15"/>
      <c r="B87" s="12"/>
      <c r="AH87" s="1" t="str">
        <f ca="1">IFERROR(MATCH(A88,OFFSET(Grades!$A$1,MATCH(Rates!$B$4,LIST,0),2,1,SUMIF(Grades!$A:$A,Rates!$B$4,Grades!$B:$B)),0),"")</f>
        <v/>
      </c>
    </row>
    <row r="88" spans="1:34" ht="18.75" customHeight="1" x14ac:dyDescent="0.25">
      <c r="A88" s="15"/>
      <c r="B88" s="12"/>
      <c r="AH88" s="1" t="str">
        <f ca="1">IFERROR(MATCH(A89,OFFSET(Grades!$A$1,MATCH(Rates!$B$4,LIST,0),2,1,SUMIF(Grades!$A:$A,Rates!$B$4,Grades!$B:$B)),0),"")</f>
        <v/>
      </c>
    </row>
    <row r="89" spans="1:34" ht="18.75" customHeight="1" x14ac:dyDescent="0.25">
      <c r="A89" s="15"/>
      <c r="B89" s="12"/>
      <c r="AH89" s="1" t="str">
        <f ca="1">IFERROR(MATCH(A90,OFFSET(Grades!$A$1,MATCH(Rates!$B$4,LIST,0),2,1,SUMIF(Grades!$A:$A,Rates!$B$4,Grades!$B:$B)),0),"")</f>
        <v/>
      </c>
    </row>
    <row r="90" spans="1:34" ht="18.75" customHeight="1" x14ac:dyDescent="0.25">
      <c r="A90" s="15"/>
      <c r="B90" s="12"/>
      <c r="AH90" s="1" t="str">
        <f ca="1">IFERROR(MATCH(A91,OFFSET(Grades!$A$1,MATCH(Rates!$B$4,LIST,0),2,1,SUMIF(Grades!$A:$A,Rates!$B$4,Grades!$B:$B)),0),"")</f>
        <v/>
      </c>
    </row>
    <row r="91" spans="1:34" ht="18.75" customHeight="1" x14ac:dyDescent="0.25">
      <c r="A91" s="15"/>
      <c r="B91" s="12"/>
      <c r="AH91" s="1" t="str">
        <f ca="1">IFERROR(MATCH(A92,OFFSET(Grades!$A$1,MATCH(Rates!$B$4,LIST,0),2,1,SUMIF(Grades!$A:$A,Rates!$B$4,Grades!$B:$B)),0),"")</f>
        <v/>
      </c>
    </row>
    <row r="92" spans="1:34" ht="18.75" customHeight="1" x14ac:dyDescent="0.25">
      <c r="A92" s="15"/>
      <c r="B92" s="12"/>
      <c r="AH92" s="1" t="str">
        <f ca="1">IFERROR(MATCH(A93,OFFSET(Grades!$A$1,MATCH(Rates!$B$4,LIST,0),2,1,SUMIF(Grades!$A:$A,Rates!$B$4,Grades!$B:$B)),0),"")</f>
        <v/>
      </c>
    </row>
    <row r="93" spans="1:34" ht="18.75" customHeight="1" x14ac:dyDescent="0.25">
      <c r="A93" s="15"/>
      <c r="B93" s="12"/>
      <c r="AH93" s="1" t="str">
        <f ca="1">IFERROR(MATCH(A94,OFFSET(Grades!$A$1,MATCH(Rates!$B$4,LIST,0),2,1,SUMIF(Grades!$A:$A,Rates!$B$4,Grades!$B:$B)),0),"")</f>
        <v/>
      </c>
    </row>
    <row r="94" spans="1:34" ht="18.75" customHeight="1" x14ac:dyDescent="0.25">
      <c r="A94" s="15"/>
      <c r="B94" s="12"/>
      <c r="AH94" s="1" t="str">
        <f ca="1">IFERROR(MATCH(A95,OFFSET(Grades!$A$1,MATCH(Rates!$B$4,LIST,0),2,1,SUMIF(Grades!$A:$A,Rates!$B$4,Grades!$B:$B)),0),"")</f>
        <v/>
      </c>
    </row>
    <row r="95" spans="1:34" ht="18.75" customHeight="1" x14ac:dyDescent="0.25">
      <c r="A95" s="15"/>
      <c r="B95" s="12"/>
      <c r="AH95" s="1" t="str">
        <f ca="1">IFERROR(MATCH(A96,OFFSET(Grades!$A$1,MATCH(Rates!$B$4,LIST,0),2,1,SUMIF(Grades!$A:$A,Rates!$B$4,Grades!$B:$B)),0),"")</f>
        <v/>
      </c>
    </row>
    <row r="96" spans="1:34" ht="18.75" customHeight="1" x14ac:dyDescent="0.25">
      <c r="A96" s="15"/>
      <c r="B96" s="12"/>
      <c r="AH96" s="1" t="str">
        <f ca="1">IFERROR(MATCH(A97,OFFSET(Grades!$A$1,MATCH(Rates!$B$4,LIST,0),2,1,SUMIF(Grades!$A:$A,Rates!$B$4,Grades!$B:$B)),0),"")</f>
        <v/>
      </c>
    </row>
    <row r="97" spans="1:34" ht="18.75" customHeight="1" x14ac:dyDescent="0.25">
      <c r="A97" s="15"/>
      <c r="B97" s="12"/>
      <c r="AH97" s="1" t="str">
        <f ca="1">IFERROR(MATCH(A98,OFFSET(Grades!$A$1,MATCH(Rates!$B$4,LIST,0),2,1,SUMIF(Grades!$A:$A,Rates!$B$4,Grades!$B:$B)),0),"")</f>
        <v/>
      </c>
    </row>
    <row r="98" spans="1:34" ht="18.75" customHeight="1" x14ac:dyDescent="0.25">
      <c r="A98" s="15"/>
      <c r="B98" s="12"/>
      <c r="AH98" s="1" t="str">
        <f ca="1">IFERROR(MATCH(A99,OFFSET(Grades!$A$1,MATCH(Rates!$B$4,LIST,0),2,1,SUMIF(Grades!$A:$A,Rates!$B$4,Grades!$B:$B)),0),"")</f>
        <v/>
      </c>
    </row>
    <row r="99" spans="1:34" ht="18.75" customHeight="1" x14ac:dyDescent="0.25">
      <c r="A99" s="15"/>
      <c r="B99" s="12"/>
      <c r="AH99" s="1" t="str">
        <f ca="1">IFERROR(MATCH(A100,OFFSET(Grades!$A$1,MATCH(Rates!$B$4,LIST,0),2,1,SUMIF(Grades!$A:$A,Rates!$B$4,Grades!$B:$B)),0),"")</f>
        <v/>
      </c>
    </row>
    <row r="100" spans="1:34" ht="18.75" customHeight="1" x14ac:dyDescent="0.25">
      <c r="A100" s="15"/>
      <c r="B100" s="12"/>
      <c r="AH100" s="1" t="str">
        <f ca="1">IFERROR(MATCH(A101,OFFSET(Grades!$A$1,MATCH(Rates!$B$4,LIST,0),2,1,SUMIF(Grades!$A:$A,Rates!$B$4,Grades!$B:$B)),0),"")</f>
        <v/>
      </c>
    </row>
    <row r="101" spans="1:34" ht="18.75" customHeight="1" x14ac:dyDescent="0.25">
      <c r="A101" s="15"/>
      <c r="B101" s="12"/>
      <c r="AH101" s="1" t="str">
        <f ca="1">IFERROR(MATCH(A102,OFFSET(Grades!$A$1,MATCH(Rates!$B$4,LIST,0),2,1,SUMIF(Grades!$A:$A,Rates!$B$4,Grades!$B:$B)),0),"")</f>
        <v/>
      </c>
    </row>
    <row r="102" spans="1:34" ht="18.75" customHeight="1" x14ac:dyDescent="0.25">
      <c r="A102" s="15"/>
      <c r="B102" s="12"/>
      <c r="AH102" s="1" t="str">
        <f ca="1">IFERROR(MATCH(A103,OFFSET(Grades!$A$1,MATCH(Rates!$B$4,LIST,0),2,1,SUMIF(Grades!$A:$A,Rates!$B$4,Grades!$B:$B)),0),"")</f>
        <v/>
      </c>
    </row>
    <row r="103" spans="1:34" ht="18.75" customHeight="1" x14ac:dyDescent="0.25">
      <c r="A103" s="15"/>
      <c r="B103" s="12"/>
      <c r="AH103" s="1" t="str">
        <f ca="1">IFERROR(MATCH(A104,OFFSET(Grades!$A$1,MATCH(Rates!$B$4,LIST,0),2,1,SUMIF(Grades!$A:$A,Rates!$B$4,Grades!$B:$B)),0),"")</f>
        <v/>
      </c>
    </row>
    <row r="104" spans="1:34" ht="18.75" customHeight="1" x14ac:dyDescent="0.25">
      <c r="A104" s="15"/>
      <c r="B104" s="12"/>
      <c r="AH104" s="1" t="str">
        <f ca="1">IFERROR(MATCH(A105,OFFSET(Grades!$A$1,MATCH(Rates!$B$4,LIST,0),2,1,SUMIF(Grades!$A:$A,Rates!$B$4,Grades!$B:$B)),0),"")</f>
        <v/>
      </c>
    </row>
    <row r="105" spans="1:34" ht="18.75" customHeight="1" x14ac:dyDescent="0.25">
      <c r="A105" s="15"/>
      <c r="B105" s="12"/>
      <c r="AH105" s="1" t="str">
        <f ca="1">IFERROR(MATCH(A106,OFFSET(Grades!$A$1,MATCH(Rates!$B$4,LIST,0),2,1,SUMIF(Grades!$A:$A,Rates!$B$4,Grades!$B:$B)),0),"")</f>
        <v/>
      </c>
    </row>
    <row r="106" spans="1:34" ht="18.75" customHeight="1" x14ac:dyDescent="0.25">
      <c r="A106" s="15"/>
      <c r="B106" s="12"/>
      <c r="AH106" s="1" t="str">
        <f ca="1">IFERROR(MATCH(A107,OFFSET(Grades!$A$1,MATCH(Rates!$B$4,LIST,0),2,1,SUMIF(Grades!$A:$A,Rates!$B$4,Grades!$B:$B)),0),"")</f>
        <v/>
      </c>
    </row>
    <row r="107" spans="1:34" ht="18.75" customHeight="1" x14ac:dyDescent="0.25">
      <c r="A107" s="15"/>
      <c r="B107" s="12"/>
      <c r="AH107" s="1" t="str">
        <f ca="1">IFERROR(MATCH(A108,OFFSET(Grades!$A$1,MATCH(Rates!$B$4,LIST,0),2,1,SUMIF(Grades!$A:$A,Rates!$B$4,Grades!$B:$B)),0),"")</f>
        <v/>
      </c>
    </row>
    <row r="108" spans="1:34" ht="18.75" customHeight="1" x14ac:dyDescent="0.25">
      <c r="A108" s="15"/>
      <c r="B108" s="12"/>
      <c r="AH108" s="1" t="str">
        <f ca="1">IFERROR(MATCH(A109,OFFSET(Grades!$A$1,MATCH(Rates!$B$4,LIST,0),2,1,SUMIF(Grades!$A:$A,Rates!$B$4,Grades!$B:$B)),0),"")</f>
        <v/>
      </c>
    </row>
    <row r="109" spans="1:34" ht="18.75" customHeight="1" x14ac:dyDescent="0.25">
      <c r="A109" s="15"/>
      <c r="B109" s="12"/>
      <c r="AH109" s="1" t="str">
        <f ca="1">IFERROR(MATCH(A110,OFFSET(Grades!$A$1,MATCH(Rates!$B$4,LIST,0),2,1,SUMIF(Grades!$A:$A,Rates!$B$4,Grades!$B:$B)),0),"")</f>
        <v/>
      </c>
    </row>
    <row r="110" spans="1:34" ht="18.75" customHeight="1" x14ac:dyDescent="0.25">
      <c r="A110" s="15"/>
      <c r="B110" s="12"/>
      <c r="AH110" s="1" t="str">
        <f ca="1">IFERROR(MATCH(A111,OFFSET(Grades!$A$1,MATCH(Rates!$B$4,LIST,0),2,1,SUMIF(Grades!$A:$A,Rates!$B$4,Grades!$B:$B)),0),"")</f>
        <v/>
      </c>
    </row>
    <row r="111" spans="1:34" ht="18.75" customHeight="1" x14ac:dyDescent="0.25">
      <c r="A111" s="15"/>
      <c r="B111" s="12"/>
      <c r="AH111" s="1" t="str">
        <f ca="1">IFERROR(MATCH(A112,OFFSET(Grades!$A$1,MATCH(Rates!$B$4,LIST,0),2,1,SUMIF(Grades!$A:$A,Rates!$B$4,Grades!$B:$B)),0),"")</f>
        <v/>
      </c>
    </row>
    <row r="112" spans="1:34" ht="18.75" customHeight="1" x14ac:dyDescent="0.25">
      <c r="A112" s="15"/>
      <c r="B112" s="12"/>
      <c r="AH112" s="1" t="str">
        <f ca="1">IFERROR(MATCH(A113,OFFSET(Grades!$A$1,MATCH(Rates!$B$4,LIST,0),2,1,SUMIF(Grades!$A:$A,Rates!$B$4,Grades!$B:$B)),0),"")</f>
        <v/>
      </c>
    </row>
    <row r="113" spans="1:34" ht="18.75" customHeight="1" x14ac:dyDescent="0.25">
      <c r="A113" s="15"/>
      <c r="B113" s="12"/>
      <c r="AH113" s="1" t="str">
        <f ca="1">IFERROR(MATCH(A114,OFFSET(Grades!$A$1,MATCH(Rates!$B$4,LIST,0),2,1,SUMIF(Grades!$A:$A,Rates!$B$4,Grades!$B:$B)),0),"")</f>
        <v/>
      </c>
    </row>
    <row r="114" spans="1:34" ht="18.75" customHeight="1" x14ac:dyDescent="0.25">
      <c r="A114" s="15"/>
      <c r="B114" s="12"/>
      <c r="AH114" s="1" t="str">
        <f ca="1">IFERROR(MATCH(A115,OFFSET(Grades!$A$1,MATCH(Rates!$B$4,LIST,0),2,1,SUMIF(Grades!$A:$A,Rates!$B$4,Grades!$B:$B)),0),"")</f>
        <v/>
      </c>
    </row>
    <row r="115" spans="1:34" ht="18.75" customHeight="1" x14ac:dyDescent="0.25">
      <c r="A115" s="15"/>
      <c r="B115" s="12"/>
      <c r="AH115" s="1" t="str">
        <f ca="1">IFERROR(MATCH(A116,OFFSET(Grades!$A$1,MATCH(Rates!$B$4,LIST,0),2,1,SUMIF(Grades!$A:$A,Rates!$B$4,Grades!$B:$B)),0),"")</f>
        <v/>
      </c>
    </row>
    <row r="116" spans="1:34" ht="18.75" customHeight="1" x14ac:dyDescent="0.25">
      <c r="A116" s="15"/>
      <c r="B116" s="12"/>
      <c r="AH116" s="1" t="str">
        <f ca="1">IFERROR(MATCH(A117,OFFSET(Grades!$A$1,MATCH(Rates!$B$4,LIST,0),2,1,SUMIF(Grades!$A:$A,Rates!$B$4,Grades!$B:$B)),0),"")</f>
        <v/>
      </c>
    </row>
    <row r="117" spans="1:34" ht="18.75" customHeight="1" x14ac:dyDescent="0.25">
      <c r="A117" s="15"/>
      <c r="B117" s="12"/>
      <c r="AH117" s="1" t="str">
        <f ca="1">IFERROR(MATCH(A118,OFFSET(Grades!$A$1,MATCH(Rates!$B$4,LIST,0),2,1,SUMIF(Grades!$A:$A,Rates!$B$4,Grades!$B:$B)),0),"")</f>
        <v/>
      </c>
    </row>
    <row r="118" spans="1:34" ht="18.75" customHeight="1" x14ac:dyDescent="0.25">
      <c r="A118" s="15"/>
      <c r="B118" s="12"/>
      <c r="AH118" s="1" t="str">
        <f ca="1">IFERROR(MATCH(A119,OFFSET(Grades!$A$1,MATCH(Rates!$B$4,LIST,0),2,1,SUMIF(Grades!$A:$A,Rates!$B$4,Grades!$B:$B)),0),"")</f>
        <v/>
      </c>
    </row>
    <row r="119" spans="1:34" ht="18.75" customHeight="1" x14ac:dyDescent="0.25">
      <c r="A119" s="15"/>
      <c r="B119" s="12"/>
      <c r="AH119" s="1" t="str">
        <f ca="1">IFERROR(MATCH(A120,OFFSET(Grades!$A$1,MATCH(Rates!$B$4,LIST,0),2,1,SUMIF(Grades!$A:$A,Rates!$B$4,Grades!$B:$B)),0),"")</f>
        <v/>
      </c>
    </row>
    <row r="120" spans="1:34" ht="18.75" customHeight="1" x14ac:dyDescent="0.25">
      <c r="A120" s="15"/>
      <c r="B120" s="12"/>
      <c r="AH120" s="1" t="str">
        <f ca="1">IFERROR(MATCH(A121,OFFSET(Grades!$A$1,MATCH(Rates!$B$4,LIST,0),2,1,SUMIF(Grades!$A:$A,Rates!$B$4,Grades!$B:$B)),0),"")</f>
        <v/>
      </c>
    </row>
    <row r="121" spans="1:34" ht="18.75" customHeight="1" x14ac:dyDescent="0.25">
      <c r="A121" s="15"/>
      <c r="B121" s="12"/>
      <c r="AH121" s="1" t="str">
        <f ca="1">IFERROR(MATCH(A122,OFFSET(Grades!$A$1,MATCH(Rates!$B$4,LIST,0),2,1,SUMIF(Grades!$A:$A,Rates!$B$4,Grades!$B:$B)),0),"")</f>
        <v/>
      </c>
    </row>
    <row r="122" spans="1:34" ht="18.75" customHeight="1" x14ac:dyDescent="0.25">
      <c r="A122" s="15"/>
      <c r="B122" s="12"/>
      <c r="AH122" s="1" t="str">
        <f ca="1">IFERROR(MATCH(A123,OFFSET(Grades!$A$1,MATCH(Rates!$B$4,LIST,0),2,1,SUMIF(Grades!$A:$A,Rates!$B$4,Grades!$B:$B)),0),"")</f>
        <v/>
      </c>
    </row>
    <row r="123" spans="1:34" ht="18.75" customHeight="1" x14ac:dyDescent="0.25">
      <c r="A123" s="15"/>
      <c r="B123" s="12"/>
      <c r="AH123" s="1" t="str">
        <f ca="1">IFERROR(MATCH(A124,OFFSET(Grades!$A$1,MATCH(Rates!$B$4,LIST,0),2,1,SUMIF(Grades!$A:$A,Rates!$B$4,Grades!$B:$B)),0),"")</f>
        <v/>
      </c>
    </row>
    <row r="124" spans="1:34" ht="18.75" customHeight="1" x14ac:dyDescent="0.25">
      <c r="A124" s="15"/>
      <c r="B124" s="12"/>
      <c r="AH124" s="1" t="str">
        <f ca="1">IFERROR(MATCH(A125,OFFSET(Grades!$A$1,MATCH(Rates!$B$4,LIST,0),2,1,SUMIF(Grades!$A:$A,Rates!$B$4,Grades!$B:$B)),0),"")</f>
        <v/>
      </c>
    </row>
    <row r="125" spans="1:34" ht="18.75" customHeight="1" x14ac:dyDescent="0.25">
      <c r="A125" s="15"/>
      <c r="B125" s="12"/>
      <c r="AH125" s="1" t="str">
        <f ca="1">IFERROR(MATCH(A126,OFFSET(Grades!$A$1,MATCH(Rates!$B$4,LIST,0),2,1,SUMIF(Grades!$A:$A,Rates!$B$4,Grades!$B:$B)),0),"")</f>
        <v/>
      </c>
    </row>
    <row r="126" spans="1:34" ht="18.75" customHeight="1" x14ac:dyDescent="0.25">
      <c r="A126" s="15"/>
      <c r="B126" s="12"/>
      <c r="AH126" s="1" t="str">
        <f ca="1">IFERROR(MATCH(A127,OFFSET(Grades!$A$1,MATCH(Rates!$B$4,LIST,0),2,1,SUMIF(Grades!$A:$A,Rates!$B$4,Grades!$B:$B)),0),"")</f>
        <v/>
      </c>
    </row>
    <row r="127" spans="1:34" ht="18.75" customHeight="1" x14ac:dyDescent="0.25">
      <c r="A127" s="15"/>
      <c r="B127" s="12"/>
      <c r="AH127" s="1" t="str">
        <f ca="1">IFERROR(MATCH(A128,OFFSET(Grades!$A$1,MATCH(Rates!$B$4,LIST,0),2,1,SUMIF(Grades!$A:$A,Rates!$B$4,Grades!$B:$B)),0),"")</f>
        <v/>
      </c>
    </row>
    <row r="128" spans="1:34" ht="18.75" customHeight="1" x14ac:dyDescent="0.25">
      <c r="A128" s="15"/>
      <c r="B128" s="12"/>
      <c r="AH128" s="1" t="str">
        <f ca="1">IFERROR(MATCH(A129,OFFSET(Grades!$A$1,MATCH(Rates!$B$4,LIST,0),2,1,SUMIF(Grades!$A:$A,Rates!$B$4,Grades!$B:$B)),0),"")</f>
        <v/>
      </c>
    </row>
    <row r="129" spans="1:34" ht="18.75" customHeight="1" x14ac:dyDescent="0.25">
      <c r="A129" s="15"/>
      <c r="B129" s="12"/>
      <c r="AH129" s="1" t="str">
        <f ca="1">IFERROR(MATCH(A130,OFFSET(Grades!$A$1,MATCH(Rates!$B$4,LIST,0),2,1,SUMIF(Grades!$A:$A,Rates!$B$4,Grades!$B:$B)),0),"")</f>
        <v/>
      </c>
    </row>
    <row r="130" spans="1:34" ht="18.75" customHeight="1" x14ac:dyDescent="0.25">
      <c r="A130" s="15"/>
      <c r="B130" s="12"/>
      <c r="AH130" s="1" t="str">
        <f ca="1">IFERROR(MATCH(A131,OFFSET(Grades!$A$1,MATCH(Rates!$B$4,LIST,0),2,1,SUMIF(Grades!$A:$A,Rates!$B$4,Grades!$B:$B)),0),"")</f>
        <v/>
      </c>
    </row>
    <row r="131" spans="1:34" ht="18.75" customHeight="1" x14ac:dyDescent="0.25">
      <c r="A131" s="15"/>
      <c r="B131" s="12"/>
      <c r="AH131" s="1" t="str">
        <f ca="1">IFERROR(MATCH(A132,OFFSET(Grades!$A$1,MATCH(Rates!$B$4,LIST,0),2,1,SUMIF(Grades!$A:$A,Rates!$B$4,Grades!$B:$B)),0),"")</f>
        <v/>
      </c>
    </row>
    <row r="132" spans="1:34" ht="18.75" customHeight="1" x14ac:dyDescent="0.25">
      <c r="A132" s="15"/>
      <c r="B132" s="12"/>
      <c r="AH132" s="1" t="str">
        <f ca="1">IFERROR(MATCH(A133,OFFSET(Grades!$A$1,MATCH(Rates!$B$4,LIST,0),2,1,SUMIF(Grades!$A:$A,Rates!$B$4,Grades!$B:$B)),0),"")</f>
        <v/>
      </c>
    </row>
    <row r="133" spans="1:34" ht="18.75" customHeight="1" x14ac:dyDescent="0.25">
      <c r="A133" s="15"/>
      <c r="B133" s="12"/>
      <c r="AH133" s="1" t="str">
        <f ca="1">IFERROR(MATCH(A134,OFFSET(Grades!$A$1,MATCH(Rates!$B$4,LIST,0),2,1,SUMIF(Grades!$A:$A,Rates!$B$4,Grades!$B:$B)),0),"")</f>
        <v/>
      </c>
    </row>
    <row r="134" spans="1:34" ht="18.75" customHeight="1" x14ac:dyDescent="0.25">
      <c r="A134" s="15"/>
      <c r="B134" s="12"/>
      <c r="AH134" s="1" t="str">
        <f ca="1">IFERROR(MATCH(A135,OFFSET(Grades!$A$1,MATCH(Rates!$B$4,LIST,0),2,1,SUMIF(Grades!$A:$A,Rates!$B$4,Grades!$B:$B)),0),"")</f>
        <v/>
      </c>
    </row>
    <row r="135" spans="1:34" ht="18.75" customHeight="1" x14ac:dyDescent="0.25">
      <c r="A135" s="15"/>
      <c r="B135" s="12"/>
      <c r="AH135" s="1" t="str">
        <f ca="1">IFERROR(MATCH(A136,OFFSET(Grades!$A$1,MATCH(Rates!$B$4,LIST,0),2,1,SUMIF(Grades!$A:$A,Rates!$B$4,Grades!$B:$B)),0),"")</f>
        <v/>
      </c>
    </row>
    <row r="136" spans="1:34" ht="18.75" customHeight="1" x14ac:dyDescent="0.25">
      <c r="A136" s="15"/>
      <c r="B136" s="12"/>
      <c r="AH136" s="1" t="str">
        <f ca="1">IFERROR(MATCH(A137,OFFSET(Grades!$A$1,MATCH(Rates!$B$4,LIST,0),2,1,SUMIF(Grades!$A:$A,Rates!$B$4,Grades!$B:$B)),0),"")</f>
        <v/>
      </c>
    </row>
    <row r="137" spans="1:34" ht="18.75" customHeight="1" x14ac:dyDescent="0.25">
      <c r="A137" s="15"/>
      <c r="B137" s="12"/>
      <c r="AH137" s="1" t="str">
        <f ca="1">IFERROR(MATCH(A138,OFFSET(Grades!$A$1,MATCH(Rates!$B$4,LIST,0),2,1,SUMIF(Grades!$A:$A,Rates!$B$4,Grades!$B:$B)),0),"")</f>
        <v/>
      </c>
    </row>
    <row r="138" spans="1:34" ht="18.75" customHeight="1" x14ac:dyDescent="0.25">
      <c r="A138" s="15"/>
      <c r="B138" s="12"/>
      <c r="AH138" s="1" t="str">
        <f ca="1">IFERROR(MATCH(A139,OFFSET(Grades!$A$1,MATCH(Rates!$B$4,LIST,0),2,1,SUMIF(Grades!$A:$A,Rates!$B$4,Grades!$B:$B)),0),"")</f>
        <v/>
      </c>
    </row>
    <row r="139" spans="1:34" ht="18.75" customHeight="1" x14ac:dyDescent="0.25">
      <c r="A139" s="15"/>
      <c r="B139" s="12"/>
      <c r="AH139" s="1" t="str">
        <f ca="1">IFERROR(MATCH(A140,OFFSET(Grades!$A$1,MATCH(Rates!$B$4,LIST,0),2,1,SUMIF(Grades!$A:$A,Rates!$B$4,Grades!$B:$B)),0),"")</f>
        <v/>
      </c>
    </row>
    <row r="140" spans="1:34" ht="18.75" customHeight="1" x14ac:dyDescent="0.25">
      <c r="A140" s="15"/>
      <c r="B140" s="12"/>
      <c r="AH140" s="1" t="str">
        <f ca="1">IFERROR(MATCH(A141,OFFSET(Grades!$A$1,MATCH(Rates!$B$4,LIST,0),2,1,SUMIF(Grades!$A:$A,Rates!$B$4,Grades!$B:$B)),0),"")</f>
        <v/>
      </c>
    </row>
    <row r="141" spans="1:34" ht="18.75" customHeight="1" x14ac:dyDescent="0.25">
      <c r="A141" s="15"/>
      <c r="B141" s="12"/>
      <c r="AH141" s="1" t="str">
        <f ca="1">IFERROR(MATCH(A142,OFFSET(Grades!$A$1,MATCH(Rates!$B$4,LIST,0),2,1,SUMIF(Grades!$A:$A,Rates!$B$4,Grades!$B:$B)),0),"")</f>
        <v/>
      </c>
    </row>
    <row r="142" spans="1:34" ht="18.75" customHeight="1" x14ac:dyDescent="0.25">
      <c r="A142" s="15"/>
      <c r="B142" s="12"/>
      <c r="AH142" s="1" t="str">
        <f ca="1">IFERROR(MATCH(A143,OFFSET(Grades!$A$1,MATCH(Rates!$B$4,LIST,0),2,1,SUMIF(Grades!$A:$A,Rates!$B$4,Grades!$B:$B)),0),"")</f>
        <v/>
      </c>
    </row>
    <row r="143" spans="1:34" ht="18.75" customHeight="1" x14ac:dyDescent="0.25">
      <c r="A143" s="15"/>
      <c r="B143" s="12"/>
      <c r="AH143" s="1" t="str">
        <f ca="1">IFERROR(MATCH(A144,OFFSET(Grades!$A$1,MATCH(Rates!$B$4,LIST,0),2,1,SUMIF(Grades!$A:$A,Rates!$B$4,Grades!$B:$B)),0),"")</f>
        <v/>
      </c>
    </row>
    <row r="144" spans="1:34" ht="18.75" customHeight="1" x14ac:dyDescent="0.25">
      <c r="A144" s="15"/>
      <c r="B144" s="12"/>
      <c r="AH144" s="1" t="str">
        <f ca="1">IFERROR(MATCH(A145,OFFSET(Grades!$A$1,MATCH(Rates!$B$4,LIST,0),2,1,SUMIF(Grades!$A:$A,Rates!$B$4,Grades!$B:$B)),0),"")</f>
        <v/>
      </c>
    </row>
    <row r="145" spans="1:34" ht="18.75" customHeight="1" x14ac:dyDescent="0.25">
      <c r="A145" s="15"/>
      <c r="B145" s="12"/>
      <c r="AH145" s="1" t="str">
        <f ca="1">IFERROR(MATCH(A146,OFFSET(Grades!$A$1,MATCH(Rates!$B$4,LIST,0),2,1,SUMIF(Grades!$A:$A,Rates!$B$4,Grades!$B:$B)),0),"")</f>
        <v/>
      </c>
    </row>
    <row r="146" spans="1:34" ht="18.75" customHeight="1" x14ac:dyDescent="0.25">
      <c r="A146" s="15"/>
      <c r="B146" s="12"/>
      <c r="AH146" s="1" t="str">
        <f ca="1">IFERROR(MATCH(A147,OFFSET(Grades!$A$1,MATCH(Rates!$B$4,LIST,0),2,1,SUMIF(Grades!$A:$A,Rates!$B$4,Grades!$B:$B)),0),"")</f>
        <v/>
      </c>
    </row>
    <row r="147" spans="1:34" ht="18.75" customHeight="1" x14ac:dyDescent="0.25">
      <c r="A147" s="15"/>
      <c r="B147" s="12"/>
      <c r="AH147" s="1" t="str">
        <f ca="1">IFERROR(MATCH(A148,OFFSET(Grades!$A$1,MATCH(Rates!$B$4,LIST,0),2,1,SUMIF(Grades!$A:$A,Rates!$B$4,Grades!$B:$B)),0),"")</f>
        <v/>
      </c>
    </row>
    <row r="148" spans="1:34" ht="18.75" customHeight="1" x14ac:dyDescent="0.25">
      <c r="A148" s="15"/>
      <c r="B148" s="12"/>
      <c r="AH148" s="1" t="str">
        <f ca="1">IFERROR(MATCH(A149,OFFSET(Grades!$A$1,MATCH(Rates!$B$4,LIST,0),2,1,SUMIF(Grades!$A:$A,Rates!$B$4,Grades!$B:$B)),0),"")</f>
        <v/>
      </c>
    </row>
    <row r="149" spans="1:34" ht="18.75" customHeight="1" x14ac:dyDescent="0.25">
      <c r="A149" s="15"/>
      <c r="B149" s="12"/>
      <c r="AH149" s="1" t="str">
        <f ca="1">IFERROR(MATCH(A150,OFFSET(Grades!$A$1,MATCH(Rates!$B$4,LIST,0),2,1,SUMIF(Grades!$A:$A,Rates!$B$4,Grades!$B:$B)),0),"")</f>
        <v/>
      </c>
    </row>
    <row r="150" spans="1:34" ht="18.75" customHeight="1" x14ac:dyDescent="0.25">
      <c r="A150" s="15"/>
      <c r="B150" s="12"/>
      <c r="AH150" s="1" t="str">
        <f ca="1">IFERROR(MATCH(A151,OFFSET(Grades!$A$1,MATCH(Rates!$B$4,LIST,0),2,1,SUMIF(Grades!$A:$A,Rates!$B$4,Grades!$B:$B)),0),"")</f>
        <v/>
      </c>
    </row>
    <row r="151" spans="1:34" ht="18.75" customHeight="1" x14ac:dyDescent="0.25">
      <c r="A151" s="15"/>
      <c r="B151" s="12"/>
      <c r="AH151" s="1" t="str">
        <f ca="1">IFERROR(MATCH(A152,OFFSET(Grades!$A$1,MATCH(Rates!$B$4,LIST,0),2,1,SUMIF(Grades!$A:$A,Rates!$B$4,Grades!$B:$B)),0),"")</f>
        <v/>
      </c>
    </row>
    <row r="152" spans="1:34" ht="18.75" customHeight="1" x14ac:dyDescent="0.25">
      <c r="A152" s="15"/>
      <c r="B152" s="12"/>
      <c r="AH152" s="1" t="str">
        <f ca="1">IFERROR(MATCH(A153,OFFSET(Grades!$A$1,MATCH(Rates!$B$4,LIST,0),2,1,SUMIF(Grades!$A:$A,Rates!$B$4,Grades!$B:$B)),0),"")</f>
        <v/>
      </c>
    </row>
    <row r="153" spans="1:34" ht="18.75" customHeight="1" x14ac:dyDescent="0.25">
      <c r="A153" s="15"/>
      <c r="B153" s="12"/>
      <c r="AH153" s="1" t="str">
        <f ca="1">IFERROR(MATCH(A154,OFFSET(Grades!$A$1,MATCH(Rates!$B$4,LIST,0),2,1,SUMIF(Grades!$A:$A,Rates!$B$4,Grades!$B:$B)),0),"")</f>
        <v/>
      </c>
    </row>
    <row r="154" spans="1:34" ht="18.75" customHeight="1" x14ac:dyDescent="0.25">
      <c r="A154" s="15"/>
      <c r="B154" s="12"/>
      <c r="AH154" s="1" t="str">
        <f ca="1">IFERROR(MATCH(A155,OFFSET(Grades!$A$1,MATCH(Rates!$B$4,LIST,0),2,1,SUMIF(Grades!$A:$A,Rates!$B$4,Grades!$B:$B)),0),"")</f>
        <v/>
      </c>
    </row>
    <row r="155" spans="1:34" ht="18.75" customHeight="1" x14ac:dyDescent="0.25">
      <c r="A155" s="15"/>
      <c r="B155" s="12"/>
      <c r="AH155" s="1" t="str">
        <f ca="1">IFERROR(MATCH(A156,OFFSET(Grades!$A$1,MATCH(Rates!$B$4,LIST,0),2,1,SUMIF(Grades!$A:$A,Rates!$B$4,Grades!$B:$B)),0),"")</f>
        <v/>
      </c>
    </row>
    <row r="156" spans="1:34" ht="18.75" customHeight="1" x14ac:dyDescent="0.25">
      <c r="A156" s="15"/>
      <c r="B156" s="12"/>
      <c r="AH156" s="1" t="str">
        <f ca="1">IFERROR(MATCH(A157,OFFSET(Grades!$A$1,MATCH(Rates!$B$4,LIST,0),2,1,SUMIF(Grades!$A:$A,Rates!$B$4,Grades!$B:$B)),0),"")</f>
        <v/>
      </c>
    </row>
    <row r="157" spans="1:34" ht="18.75" customHeight="1" x14ac:dyDescent="0.25">
      <c r="A157" s="15"/>
      <c r="B157" s="12"/>
      <c r="AH157" s="1" t="str">
        <f ca="1">IFERROR(MATCH(A158,OFFSET(Grades!$A$1,MATCH(Rates!$B$4,LIST,0),2,1,SUMIF(Grades!$A:$A,Rates!$B$4,Grades!$B:$B)),0),"")</f>
        <v/>
      </c>
    </row>
    <row r="158" spans="1:34" ht="18.75" customHeight="1" x14ac:dyDescent="0.25">
      <c r="A158" s="15"/>
      <c r="B158" s="12"/>
      <c r="AH158" s="1" t="str">
        <f ca="1">IFERROR(MATCH(A159,OFFSET(Grades!$A$1,MATCH(Rates!$B$4,LIST,0),2,1,SUMIF(Grades!$A:$A,Rates!$B$4,Grades!$B:$B)),0),"")</f>
        <v/>
      </c>
    </row>
    <row r="159" spans="1:34" ht="18.75" customHeight="1" x14ac:dyDescent="0.25">
      <c r="A159" s="15"/>
      <c r="B159" s="12"/>
      <c r="AH159" s="1" t="str">
        <f ca="1">IFERROR(MATCH(A160,OFFSET(Grades!$A$1,MATCH(Rates!$B$4,LIST,0),2,1,SUMIF(Grades!$A:$A,Rates!$B$4,Grades!$B:$B)),0),"")</f>
        <v/>
      </c>
    </row>
    <row r="160" spans="1:34" ht="18.75" customHeight="1" x14ac:dyDescent="0.25">
      <c r="A160" s="15"/>
      <c r="B160" s="12"/>
      <c r="AH160" s="1" t="str">
        <f ca="1">IFERROR(MATCH(A161,OFFSET(Grades!$A$1,MATCH(Rates!$B$4,LIST,0),2,1,SUMIF(Grades!$A:$A,Rates!$B$4,Grades!$B:$B)),0),"")</f>
        <v/>
      </c>
    </row>
    <row r="161" spans="1:34" ht="18.75" customHeight="1" x14ac:dyDescent="0.25">
      <c r="A161" s="15"/>
      <c r="B161" s="12"/>
      <c r="AH161" s="1" t="str">
        <f ca="1">IFERROR(MATCH(A162,OFFSET(Grades!$A$1,MATCH(Rates!$B$4,LIST,0),2,1,SUMIF(Grades!$A:$A,Rates!$B$4,Grades!$B:$B)),0),"")</f>
        <v/>
      </c>
    </row>
    <row r="162" spans="1:34" ht="18.75" customHeight="1" x14ac:dyDescent="0.25">
      <c r="A162" s="15"/>
      <c r="B162" s="12"/>
      <c r="AH162" s="1" t="str">
        <f ca="1">IFERROR(MATCH(A163,OFFSET(Grades!$A$1,MATCH(Rates!$B$4,LIST,0),2,1,SUMIF(Grades!$A:$A,Rates!$B$4,Grades!$B:$B)),0),"")</f>
        <v/>
      </c>
    </row>
    <row r="163" spans="1:34" ht="18.75" customHeight="1" x14ac:dyDescent="0.25">
      <c r="A163" s="15"/>
      <c r="B163" s="12"/>
      <c r="AH163" s="1" t="str">
        <f ca="1">IFERROR(MATCH(A164,OFFSET(Grades!$A$1,MATCH(Rates!$B$4,LIST,0),2,1,SUMIF(Grades!$A:$A,Rates!$B$4,Grades!$B:$B)),0),"")</f>
        <v/>
      </c>
    </row>
    <row r="164" spans="1:34" ht="18.75" customHeight="1" x14ac:dyDescent="0.25">
      <c r="A164" s="15"/>
      <c r="B164" s="12"/>
      <c r="AH164" s="1" t="str">
        <f ca="1">IFERROR(MATCH(A165,OFFSET(Grades!$A$1,MATCH(Rates!$B$4,LIST,0),2,1,SUMIF(Grades!$A:$A,Rates!$B$4,Grades!$B:$B)),0),"")</f>
        <v/>
      </c>
    </row>
    <row r="165" spans="1:34" ht="18.75" customHeight="1" x14ac:dyDescent="0.25">
      <c r="A165" s="15"/>
      <c r="B165" s="12"/>
      <c r="AH165" s="1" t="str">
        <f ca="1">IFERROR(MATCH(A166,OFFSET(Grades!$A$1,MATCH(Rates!$B$4,LIST,0),2,1,SUMIF(Grades!$A:$A,Rates!$B$4,Grades!$B:$B)),0),"")</f>
        <v/>
      </c>
    </row>
    <row r="166" spans="1:34" ht="18.75" customHeight="1" x14ac:dyDescent="0.25">
      <c r="A166" s="15"/>
      <c r="B166" s="12"/>
      <c r="AH166" s="1" t="str">
        <f ca="1">IFERROR(MATCH(A167,OFFSET(Grades!$A$1,MATCH(Rates!$B$4,LIST,0),2,1,SUMIF(Grades!$A:$A,Rates!$B$4,Grades!$B:$B)),0),"")</f>
        <v/>
      </c>
    </row>
    <row r="167" spans="1:34" ht="18.75" customHeight="1" x14ac:dyDescent="0.25">
      <c r="A167" s="15"/>
      <c r="B167" s="12"/>
      <c r="AH167" s="1" t="str">
        <f ca="1">IFERROR(MATCH(A168,OFFSET(Grades!$A$1,MATCH(Rates!$B$4,LIST,0),2,1,SUMIF(Grades!$A:$A,Rates!$B$4,Grades!$B:$B)),0),"")</f>
        <v/>
      </c>
    </row>
    <row r="168" spans="1:34" ht="18.75" customHeight="1" x14ac:dyDescent="0.25">
      <c r="A168" s="15"/>
      <c r="B168" s="12"/>
      <c r="AH168" s="1" t="str">
        <f ca="1">IFERROR(MATCH(A169,OFFSET(Grades!$A$1,MATCH(Rates!$B$4,LIST,0),2,1,SUMIF(Grades!$A:$A,Rates!$B$4,Grades!$B:$B)),0),"")</f>
        <v/>
      </c>
    </row>
    <row r="169" spans="1:34" ht="18.75" customHeight="1" x14ac:dyDescent="0.25">
      <c r="A169" s="15"/>
      <c r="B169" s="12"/>
      <c r="AH169" s="1" t="str">
        <f ca="1">IFERROR(MATCH(A170,OFFSET(Grades!$A$1,MATCH(Rates!$B$4,LIST,0),2,1,SUMIF(Grades!$A:$A,Rates!$B$4,Grades!$B:$B)),0),"")</f>
        <v/>
      </c>
    </row>
    <row r="170" spans="1:34" ht="18.75" customHeight="1" x14ac:dyDescent="0.25">
      <c r="A170" s="15"/>
      <c r="B170" s="12"/>
      <c r="AH170" s="1" t="str">
        <f ca="1">IFERROR(MATCH(A171,OFFSET(Grades!$A$1,MATCH(Rates!$B$4,LIST,0),2,1,SUMIF(Grades!$A:$A,Rates!$B$4,Grades!$B:$B)),0),"")</f>
        <v/>
      </c>
    </row>
    <row r="171" spans="1:34" ht="18.75" customHeight="1" x14ac:dyDescent="0.25">
      <c r="A171" s="15"/>
      <c r="B171" s="12"/>
      <c r="AH171" s="1" t="str">
        <f ca="1">IFERROR(MATCH(A172,OFFSET(Grades!$A$1,MATCH(Rates!$B$4,LIST,0),2,1,SUMIF(Grades!$A:$A,Rates!$B$4,Grades!$B:$B)),0),"")</f>
        <v/>
      </c>
    </row>
    <row r="172" spans="1:34" ht="18.75" customHeight="1" x14ac:dyDescent="0.25">
      <c r="A172" s="15"/>
      <c r="B172" s="12"/>
      <c r="AH172" s="1" t="str">
        <f ca="1">IFERROR(MATCH(A173,OFFSET(Grades!$A$1,MATCH(Rates!$B$4,LIST,0),2,1,SUMIF(Grades!$A:$A,Rates!$B$4,Grades!$B:$B)),0),"")</f>
        <v/>
      </c>
    </row>
    <row r="173" spans="1:34" ht="18.75" customHeight="1" x14ac:dyDescent="0.25">
      <c r="A173" s="15"/>
      <c r="B173" s="12"/>
      <c r="AH173" s="1" t="str">
        <f ca="1">IFERROR(MATCH(A174,OFFSET(Grades!$A$1,MATCH(Rates!$B$4,LIST,0),2,1,SUMIF(Grades!$A:$A,Rates!$B$4,Grades!$B:$B)),0),"")</f>
        <v/>
      </c>
    </row>
    <row r="174" spans="1:34" ht="18.75" customHeight="1" x14ac:dyDescent="0.25">
      <c r="A174" s="15"/>
      <c r="B174" s="12"/>
      <c r="AH174" s="1" t="str">
        <f ca="1">IFERROR(MATCH(A175,OFFSET(Grades!$A$1,MATCH(Rates!$B$4,LIST,0),2,1,SUMIF(Grades!$A:$A,Rates!$B$4,Grades!$B:$B)),0),"")</f>
        <v/>
      </c>
    </row>
    <row r="175" spans="1:34" ht="18.75" customHeight="1" x14ac:dyDescent="0.25">
      <c r="A175" s="15"/>
      <c r="B175" s="12"/>
      <c r="AH175" s="1" t="str">
        <f ca="1">IFERROR(MATCH(A176,OFFSET(Grades!$A$1,MATCH(Rates!$B$4,LIST,0),2,1,SUMIF(Grades!$A:$A,Rates!$B$4,Grades!$B:$B)),0),"")</f>
        <v/>
      </c>
    </row>
    <row r="176" spans="1:34" ht="18.75" customHeight="1" x14ac:dyDescent="0.25">
      <c r="A176" s="15"/>
      <c r="B176" s="12"/>
      <c r="AH176" s="1" t="str">
        <f ca="1">IFERROR(MATCH(A177,OFFSET(Grades!$A$1,MATCH(Rates!$B$4,LIST,0),2,1,SUMIF(Grades!$A:$A,Rates!$B$4,Grades!$B:$B)),0),"")</f>
        <v/>
      </c>
    </row>
    <row r="177" spans="1:34" ht="18.75" customHeight="1" x14ac:dyDescent="0.25">
      <c r="A177" s="15"/>
      <c r="B177" s="12"/>
      <c r="AH177" s="1" t="str">
        <f ca="1">IFERROR(MATCH(A178,OFFSET(Grades!$A$1,MATCH(Rates!$B$4,LIST,0),2,1,SUMIF(Grades!$A:$A,Rates!$B$4,Grades!$B:$B)),0),"")</f>
        <v/>
      </c>
    </row>
    <row r="178" spans="1:34" ht="18.75" customHeight="1" x14ac:dyDescent="0.25">
      <c r="A178" s="15"/>
      <c r="B178" s="12"/>
      <c r="AH178" s="1" t="str">
        <f ca="1">IFERROR(MATCH(A179,OFFSET(Grades!$A$1,MATCH(Rates!$B$4,LIST,0),2,1,SUMIF(Grades!$A:$A,Rates!$B$4,Grades!$B:$B)),0),"")</f>
        <v/>
      </c>
    </row>
    <row r="179" spans="1:34" ht="18.75" customHeight="1" x14ac:dyDescent="0.25">
      <c r="A179" s="15"/>
      <c r="B179" s="12"/>
      <c r="AH179" s="1" t="str">
        <f ca="1">IFERROR(MATCH(A180,OFFSET(Grades!$A$1,MATCH(Rates!$B$4,LIST,0),2,1,SUMIF(Grades!$A:$A,Rates!$B$4,Grades!$B:$B)),0),"")</f>
        <v/>
      </c>
    </row>
    <row r="180" spans="1:34" ht="18.75" customHeight="1" x14ac:dyDescent="0.25">
      <c r="A180" s="15"/>
      <c r="B180" s="12"/>
      <c r="AH180" s="1" t="str">
        <f ca="1">IFERROR(MATCH(A181,OFFSET(Grades!$A$1,MATCH(Rates!$B$4,LIST,0),2,1,SUMIF(Grades!$A:$A,Rates!$B$4,Grades!$B:$B)),0),"")</f>
        <v/>
      </c>
    </row>
    <row r="181" spans="1:34" ht="18.75" customHeight="1" x14ac:dyDescent="0.25">
      <c r="A181" s="15"/>
      <c r="B181" s="12"/>
      <c r="AH181" s="1" t="str">
        <f ca="1">IFERROR(MATCH(A182,OFFSET(Grades!$A$1,MATCH(Rates!$B$4,LIST,0),2,1,SUMIF(Grades!$A:$A,Rates!$B$4,Grades!$B:$B)),0),"")</f>
        <v/>
      </c>
    </row>
    <row r="182" spans="1:34" ht="18.75" customHeight="1" x14ac:dyDescent="0.25">
      <c r="A182" s="15"/>
      <c r="B182" s="12"/>
      <c r="AH182" s="1" t="str">
        <f ca="1">IFERROR(MATCH(A183,OFFSET(Grades!$A$1,MATCH(Rates!$B$4,LIST,0),2,1,SUMIF(Grades!$A:$A,Rates!$B$4,Grades!$B:$B)),0),"")</f>
        <v/>
      </c>
    </row>
    <row r="183" spans="1:34" ht="18.75" customHeight="1" x14ac:dyDescent="0.25">
      <c r="A183" s="15"/>
      <c r="B183" s="12"/>
      <c r="AH183" s="1" t="str">
        <f ca="1">IFERROR(MATCH(A184,OFFSET(Grades!$A$1,MATCH(Rates!$B$4,LIST,0),2,1,SUMIF(Grades!$A:$A,Rates!$B$4,Grades!$B:$B)),0),"")</f>
        <v/>
      </c>
    </row>
    <row r="184" spans="1:34" ht="18.75" customHeight="1" x14ac:dyDescent="0.25">
      <c r="A184" s="15"/>
      <c r="B184" s="12"/>
      <c r="AH184" s="1" t="str">
        <f ca="1">IFERROR(MATCH(A185,OFFSET(Grades!$A$1,MATCH(Rates!$B$4,LIST,0),2,1,SUMIF(Grades!$A:$A,Rates!$B$4,Grades!$B:$B)),0),"")</f>
        <v/>
      </c>
    </row>
    <row r="185" spans="1:34" ht="18.75" customHeight="1" x14ac:dyDescent="0.25">
      <c r="A185" s="15"/>
      <c r="B185" s="12"/>
      <c r="AH185" s="1" t="str">
        <f ca="1">IFERROR(MATCH(A186,OFFSET(Grades!$A$1,MATCH(Rates!$B$4,LIST,0),2,1,SUMIF(Grades!$A:$A,Rates!$B$4,Grades!$B:$B)),0),"")</f>
        <v/>
      </c>
    </row>
    <row r="186" spans="1:34" ht="18.75" customHeight="1" x14ac:dyDescent="0.25">
      <c r="A186" s="15"/>
      <c r="B186" s="12"/>
      <c r="AH186" s="1" t="str">
        <f ca="1">IFERROR(MATCH(A187,OFFSET(Grades!$A$1,MATCH(Rates!$B$4,LIST,0),2,1,SUMIF(Grades!$A:$A,Rates!$B$4,Grades!$B:$B)),0),"")</f>
        <v/>
      </c>
    </row>
    <row r="187" spans="1:34" ht="18.75" customHeight="1" x14ac:dyDescent="0.25">
      <c r="A187" s="15"/>
      <c r="B187" s="12"/>
      <c r="AH187" s="1" t="str">
        <f ca="1">IFERROR(MATCH(A188,OFFSET(Grades!$A$1,MATCH(Rates!$B$4,LIST,0),2,1,SUMIF(Grades!$A:$A,Rates!$B$4,Grades!$B:$B)),0),"")</f>
        <v/>
      </c>
    </row>
    <row r="188" spans="1:34" ht="18.75" customHeight="1" x14ac:dyDescent="0.25">
      <c r="A188" s="15"/>
      <c r="B188" s="12"/>
      <c r="AH188" s="1" t="str">
        <f ca="1">IFERROR(MATCH(A189,OFFSET(Grades!$A$1,MATCH(Rates!$B$4,LIST,0),2,1,SUMIF(Grades!$A:$A,Rates!$B$4,Grades!$B:$B)),0),"")</f>
        <v/>
      </c>
    </row>
    <row r="189" spans="1:34" ht="18.75" customHeight="1" x14ac:dyDescent="0.25">
      <c r="A189" s="15"/>
      <c r="B189" s="12"/>
      <c r="AH189" s="1" t="str">
        <f ca="1">IFERROR(MATCH(A190,OFFSET(Grades!$A$1,MATCH(Rates!$B$4,LIST,0),2,1,SUMIF(Grades!$A:$A,Rates!$B$4,Grades!$B:$B)),0),"")</f>
        <v/>
      </c>
    </row>
    <row r="190" spans="1:34" ht="18.75" customHeight="1" x14ac:dyDescent="0.25">
      <c r="A190" s="15"/>
      <c r="B190" s="12"/>
      <c r="AH190" s="1" t="str">
        <f ca="1">IFERROR(MATCH(A191,OFFSET(Grades!$A$1,MATCH(Rates!$B$4,LIST,0),2,1,SUMIF(Grades!$A:$A,Rates!$B$4,Grades!$B:$B)),0),"")</f>
        <v/>
      </c>
    </row>
    <row r="191" spans="1:34" ht="18.75" customHeight="1" x14ac:dyDescent="0.25">
      <c r="A191" s="15"/>
      <c r="B191" s="12"/>
      <c r="AH191" s="1" t="str">
        <f ca="1">IFERROR(MATCH(A192,OFFSET(Grades!$A$1,MATCH(Rates!$B$4,LIST,0),2,1,SUMIF(Grades!$A:$A,Rates!$B$4,Grades!$B:$B)),0),"")</f>
        <v/>
      </c>
    </row>
    <row r="192" spans="1:34" ht="18.75" customHeight="1" x14ac:dyDescent="0.25">
      <c r="A192" s="15"/>
      <c r="B192" s="12"/>
      <c r="AH192" s="1" t="str">
        <f ca="1">IFERROR(MATCH(A193,OFFSET(Grades!$A$1,MATCH(Rates!$B$4,LIST,0),2,1,SUMIF(Grades!$A:$A,Rates!$B$4,Grades!$B:$B)),0),"")</f>
        <v/>
      </c>
    </row>
    <row r="193" spans="1:34" ht="18.75" customHeight="1" x14ac:dyDescent="0.25">
      <c r="A193" s="15"/>
      <c r="B193" s="12"/>
      <c r="AH193" s="1" t="str">
        <f ca="1">IFERROR(MATCH(A194,OFFSET(Grades!$A$1,MATCH(Rates!$B$4,LIST,0),2,1,SUMIF(Grades!$A:$A,Rates!$B$4,Grades!$B:$B)),0),"")</f>
        <v/>
      </c>
    </row>
    <row r="194" spans="1:34" ht="18.75" customHeight="1" x14ac:dyDescent="0.25">
      <c r="A194" s="15"/>
      <c r="B194" s="12"/>
      <c r="AH194" s="1" t="str">
        <f ca="1">IFERROR(MATCH(A195,OFFSET(Grades!$A$1,MATCH(Rates!$B$4,LIST,0),2,1,SUMIF(Grades!$A:$A,Rates!$B$4,Grades!$B:$B)),0),"")</f>
        <v/>
      </c>
    </row>
    <row r="195" spans="1:34" ht="18.75" customHeight="1" x14ac:dyDescent="0.25">
      <c r="A195" s="15"/>
      <c r="B195" s="12"/>
      <c r="AH195" s="1" t="str">
        <f ca="1">IFERROR(MATCH(A196,OFFSET(Grades!$A$1,MATCH(Rates!$B$4,LIST,0),2,1,SUMIF(Grades!$A:$A,Rates!$B$4,Grades!$B:$B)),0),"")</f>
        <v/>
      </c>
    </row>
    <row r="196" spans="1:34" ht="18.75" customHeight="1" x14ac:dyDescent="0.25">
      <c r="A196" s="15"/>
      <c r="B196" s="12"/>
      <c r="AH196" s="1" t="str">
        <f ca="1">IFERROR(MATCH(A197,OFFSET(Grades!$A$1,MATCH(Rates!$B$4,LIST,0),2,1,SUMIF(Grades!$A:$A,Rates!$B$4,Grades!$B:$B)),0),"")</f>
        <v/>
      </c>
    </row>
    <row r="197" spans="1:34" ht="18.75" customHeight="1" x14ac:dyDescent="0.25">
      <c r="A197" s="15"/>
      <c r="B197" s="12"/>
      <c r="AH197" s="1" t="str">
        <f ca="1">IFERROR(MATCH(A198,OFFSET(Grades!$A$1,MATCH(Rates!$B$4,LIST,0),2,1,SUMIF(Grades!$A:$A,Rates!$B$4,Grades!$B:$B)),0),"")</f>
        <v/>
      </c>
    </row>
    <row r="198" spans="1:34" ht="18.75" customHeight="1" x14ac:dyDescent="0.25">
      <c r="A198" s="15"/>
      <c r="B198" s="12"/>
      <c r="AH198" s="1" t="str">
        <f ca="1">IFERROR(MATCH(A199,OFFSET(Grades!$A$1,MATCH(Rates!$B$4,LIST,0),2,1,SUMIF(Grades!$A:$A,Rates!$B$4,Grades!$B:$B)),0),"")</f>
        <v/>
      </c>
    </row>
    <row r="199" spans="1:34" ht="18.75" customHeight="1" x14ac:dyDescent="0.25">
      <c r="A199" s="15"/>
      <c r="B199" s="12"/>
      <c r="AH199" s="1" t="str">
        <f ca="1">IFERROR(MATCH(A200,OFFSET(Grades!$A$1,MATCH(Rates!$B$4,LIST,0),2,1,SUMIF(Grades!$A:$A,Rates!$B$4,Grades!$B:$B)),0),"")</f>
        <v/>
      </c>
    </row>
    <row r="200" spans="1:34" ht="18.75" customHeight="1" x14ac:dyDescent="0.25">
      <c r="A200" s="15"/>
      <c r="B200" s="12"/>
      <c r="AH200" s="1" t="str">
        <f ca="1">IFERROR(MATCH(A201,OFFSET(Grades!$A$1,MATCH(Rates!$B$4,LIST,0),2,1,SUMIF(Grades!$A:$A,Rates!$B$4,Grades!$B:$B)),0),"")</f>
        <v/>
      </c>
    </row>
    <row r="201" spans="1:34" ht="18.75" customHeight="1" x14ac:dyDescent="0.25">
      <c r="A201" s="15"/>
      <c r="B201" s="12"/>
      <c r="AH201" s="1" t="str">
        <f ca="1">IFERROR(MATCH(A202,OFFSET(Grades!$A$1,MATCH(Rates!$B$4,LIST,0),2,1,SUMIF(Grades!$A:$A,Rates!$B$4,Grades!$B:$B)),0),"")</f>
        <v/>
      </c>
    </row>
    <row r="202" spans="1:34" ht="18.75" customHeight="1" x14ac:dyDescent="0.25">
      <c r="A202" s="15"/>
      <c r="B202" s="12"/>
      <c r="AH202" s="1" t="str">
        <f ca="1">IFERROR(MATCH(A203,OFFSET(Grades!$A$1,MATCH(Rates!$B$4,LIST,0),2,1,SUMIF(Grades!$A:$A,Rates!$B$4,Grades!$B:$B)),0),"")</f>
        <v/>
      </c>
    </row>
    <row r="203" spans="1:34" ht="18.75" customHeight="1" x14ac:dyDescent="0.25">
      <c r="A203" s="15"/>
      <c r="B203" s="12"/>
      <c r="AH203" s="1" t="str">
        <f ca="1">IFERROR(MATCH(A204,OFFSET(Grades!$A$1,MATCH(Rates!$B$4,LIST,0),2,1,SUMIF(Grades!$A:$A,Rates!$B$4,Grades!$B:$B)),0),"")</f>
        <v/>
      </c>
    </row>
    <row r="204" spans="1:34" ht="18.75" customHeight="1" x14ac:dyDescent="0.25">
      <c r="A204" s="15"/>
      <c r="B204" s="12"/>
      <c r="AH204" s="1" t="str">
        <f ca="1">IFERROR(MATCH(A205,OFFSET(Grades!$A$1,MATCH(Rates!$B$4,LIST,0),2,1,SUMIF(Grades!$A:$A,Rates!$B$4,Grades!$B:$B)),0),"")</f>
        <v/>
      </c>
    </row>
    <row r="205" spans="1:34" ht="18.75" customHeight="1" x14ac:dyDescent="0.25">
      <c r="A205" s="15"/>
      <c r="B205" s="12"/>
      <c r="AH205" s="1" t="str">
        <f ca="1">IFERROR(MATCH(A206,OFFSET(Grades!$A$1,MATCH(Rates!$B$4,LIST,0),2,1,SUMIF(Grades!$A:$A,Rates!$B$4,Grades!$B:$B)),0),"")</f>
        <v/>
      </c>
    </row>
    <row r="206" spans="1:34" ht="18.75" customHeight="1" x14ac:dyDescent="0.25">
      <c r="A206" s="15"/>
      <c r="B206" s="12"/>
      <c r="AH206" s="1" t="str">
        <f ca="1">IFERROR(MATCH(A207,OFFSET(Grades!$A$1,MATCH(Rates!$B$4,LIST,0),2,1,SUMIF(Grades!$A:$A,Rates!$B$4,Grades!$B:$B)),0),"")</f>
        <v/>
      </c>
    </row>
    <row r="207" spans="1:34" ht="18.75" customHeight="1" x14ac:dyDescent="0.25">
      <c r="A207" s="15"/>
      <c r="B207" s="12"/>
      <c r="AH207" s="1" t="str">
        <f ca="1">IFERROR(MATCH(A208,OFFSET(Grades!$A$1,MATCH(Rates!$B$4,LIST,0),2,1,SUMIF(Grades!$A:$A,Rates!$B$4,Grades!$B:$B)),0),"")</f>
        <v/>
      </c>
    </row>
    <row r="208" spans="1:34" ht="18.75" customHeight="1" x14ac:dyDescent="0.25">
      <c r="A208" s="15"/>
      <c r="B208" s="12"/>
      <c r="AH208" s="1" t="str">
        <f ca="1">IFERROR(MATCH(A209,OFFSET(Grades!$A$1,MATCH(Rates!$B$4,LIST,0),2,1,SUMIF(Grades!$A:$A,Rates!$B$4,Grades!$B:$B)),0),"")</f>
        <v/>
      </c>
    </row>
    <row r="209" spans="1:34" ht="18.75" customHeight="1" x14ac:dyDescent="0.25">
      <c r="A209" s="15"/>
      <c r="B209" s="12"/>
      <c r="AH209" s="1" t="str">
        <f ca="1">IFERROR(MATCH(A210,OFFSET(Grades!$A$1,MATCH(Rates!$B$4,LIST,0),2,1,SUMIF(Grades!$A:$A,Rates!$B$4,Grades!$B:$B)),0),"")</f>
        <v/>
      </c>
    </row>
    <row r="210" spans="1:34" ht="18.75" customHeight="1" x14ac:dyDescent="0.25">
      <c r="A210" s="15"/>
      <c r="B210" s="12"/>
      <c r="AH210" s="1" t="str">
        <f ca="1">IFERROR(MATCH(A211,OFFSET(Grades!$A$1,MATCH(Rates!$B$4,LIST,0),2,1,SUMIF(Grades!$A:$A,Rates!$B$4,Grades!$B:$B)),0),"")</f>
        <v/>
      </c>
    </row>
    <row r="211" spans="1:34" ht="18.75" customHeight="1" x14ac:dyDescent="0.25">
      <c r="A211" s="15"/>
      <c r="B211" s="12"/>
      <c r="AH211" s="1" t="str">
        <f ca="1">IFERROR(MATCH(A212,OFFSET(Grades!$A$1,MATCH(Rates!$B$4,LIST,0),2,1,SUMIF(Grades!$A:$A,Rates!$B$4,Grades!$B:$B)),0),"")</f>
        <v/>
      </c>
    </row>
    <row r="212" spans="1:34" ht="18.75" customHeight="1" x14ac:dyDescent="0.25">
      <c r="A212" s="15"/>
      <c r="B212" s="12"/>
      <c r="AH212" s="1" t="str">
        <f ca="1">IFERROR(MATCH(A213,OFFSET(Grades!$A$1,MATCH(Rates!$B$4,LIST,0),2,1,SUMIF(Grades!$A:$A,Rates!$B$4,Grades!$B:$B)),0),"")</f>
        <v/>
      </c>
    </row>
    <row r="213" spans="1:34" ht="18.75" customHeight="1" x14ac:dyDescent="0.25">
      <c r="A213" s="15"/>
      <c r="B213" s="12"/>
      <c r="AH213" s="1" t="str">
        <f ca="1">IFERROR(MATCH(A214,OFFSET(Grades!$A$1,MATCH(Rates!$B$4,LIST,0),2,1,SUMIF(Grades!$A:$A,Rates!$B$4,Grades!$B:$B)),0),"")</f>
        <v/>
      </c>
    </row>
    <row r="214" spans="1:34" ht="18.75" customHeight="1" x14ac:dyDescent="0.25">
      <c r="A214" s="15"/>
      <c r="B214" s="12"/>
      <c r="AH214" s="1" t="str">
        <f ca="1">IFERROR(MATCH(A215,OFFSET(Grades!$A$1,MATCH(Rates!$B$4,LIST,0),2,1,SUMIF(Grades!$A:$A,Rates!$B$4,Grades!$B:$B)),0),"")</f>
        <v/>
      </c>
    </row>
    <row r="215" spans="1:34" ht="18.75" customHeight="1" x14ac:dyDescent="0.25">
      <c r="A215" s="15"/>
      <c r="B215" s="12"/>
      <c r="AH215" s="1" t="str">
        <f ca="1">IFERROR(MATCH(A216,OFFSET(Grades!$A$1,MATCH(Rates!$B$4,LIST,0),2,1,SUMIF(Grades!$A:$A,Rates!$B$4,Grades!$B:$B)),0),"")</f>
        <v/>
      </c>
    </row>
    <row r="216" spans="1:34" ht="18.75" customHeight="1" x14ac:dyDescent="0.25">
      <c r="A216" s="15"/>
      <c r="B216" s="12"/>
      <c r="AH216" s="1" t="str">
        <f ca="1">IFERROR(MATCH(A217,OFFSET(Grades!$A$1,MATCH(Rates!$B$4,LIST,0),2,1,SUMIF(Grades!$A:$A,Rates!$B$4,Grades!$B:$B)),0),"")</f>
        <v/>
      </c>
    </row>
    <row r="217" spans="1:34" ht="18.75" customHeight="1" x14ac:dyDescent="0.25">
      <c r="A217" s="15"/>
      <c r="B217" s="12"/>
      <c r="AH217" s="1" t="str">
        <f ca="1">IFERROR(MATCH(A218,OFFSET(Grades!$A$1,MATCH(Rates!$B$4,LIST,0),2,1,SUMIF(Grades!$A:$A,Rates!$B$4,Grades!$B:$B)),0),"")</f>
        <v/>
      </c>
    </row>
    <row r="218" spans="1:34" ht="18.75" customHeight="1" x14ac:dyDescent="0.25">
      <c r="A218" s="15"/>
      <c r="B218" s="12"/>
      <c r="AH218" s="1" t="str">
        <f ca="1">IFERROR(MATCH(A219,OFFSET(Grades!$A$1,MATCH(Rates!$B$4,LIST,0),2,1,SUMIF(Grades!$A:$A,Rates!$B$4,Grades!$B:$B)),0),"")</f>
        <v/>
      </c>
    </row>
    <row r="219" spans="1:34" ht="18.75" customHeight="1" x14ac:dyDescent="0.25">
      <c r="A219" s="15"/>
      <c r="B219" s="12"/>
      <c r="AH219" s="1" t="str">
        <f ca="1">IFERROR(MATCH(A220,OFFSET(Grades!$A$1,MATCH(Rates!$B$4,LIST,0),2,1,SUMIF(Grades!$A:$A,Rates!$B$4,Grades!$B:$B)),0),"")</f>
        <v/>
      </c>
    </row>
    <row r="220" spans="1:34" ht="18.75" customHeight="1" x14ac:dyDescent="0.25">
      <c r="A220" s="15"/>
      <c r="B220" s="12"/>
      <c r="AH220" s="1" t="str">
        <f ca="1">IFERROR(MATCH(A221,OFFSET(Grades!$A$1,MATCH(Rates!$B$4,LIST,0),2,1,SUMIF(Grades!$A:$A,Rates!$B$4,Grades!$B:$B)),0),"")</f>
        <v/>
      </c>
    </row>
    <row r="221" spans="1:34" ht="18.75" customHeight="1" x14ac:dyDescent="0.25">
      <c r="A221" s="15"/>
      <c r="B221" s="12"/>
      <c r="AH221" s="1" t="str">
        <f ca="1">IFERROR(MATCH(A222,OFFSET(Grades!$A$1,MATCH(Rates!$B$4,LIST,0),2,1,SUMIF(Grades!$A:$A,Rates!$B$4,Grades!$B:$B)),0),"")</f>
        <v/>
      </c>
    </row>
    <row r="222" spans="1:34" ht="18.75" customHeight="1" x14ac:dyDescent="0.25">
      <c r="A222" s="15"/>
      <c r="B222" s="12"/>
      <c r="AH222" s="1" t="str">
        <f ca="1">IFERROR(MATCH(A223,OFFSET(Grades!$A$1,MATCH(Rates!$B$4,LIST,0),2,1,SUMIF(Grades!$A:$A,Rates!$B$4,Grades!$B:$B)),0),"")</f>
        <v/>
      </c>
    </row>
    <row r="223" spans="1:34" ht="18.75" customHeight="1" x14ac:dyDescent="0.25">
      <c r="A223" s="15"/>
      <c r="B223" s="12"/>
      <c r="AH223" s="1" t="str">
        <f ca="1">IFERROR(MATCH(A224,OFFSET(Grades!$A$1,MATCH(Rates!$B$4,LIST,0),2,1,SUMIF(Grades!$A:$A,Rates!$B$4,Grades!$B:$B)),0),"")</f>
        <v/>
      </c>
    </row>
    <row r="224" spans="1:34" ht="18.75" customHeight="1" x14ac:dyDescent="0.25">
      <c r="A224" s="15"/>
      <c r="B224" s="12"/>
      <c r="AH224" s="1" t="str">
        <f ca="1">IFERROR(MATCH(A225,OFFSET(Grades!$A$1,MATCH(Rates!$B$4,LIST,0),2,1,SUMIF(Grades!$A:$A,Rates!$B$4,Grades!$B:$B)),0),"")</f>
        <v/>
      </c>
    </row>
    <row r="225" spans="1:34" ht="18.75" customHeight="1" x14ac:dyDescent="0.25">
      <c r="A225" s="15"/>
      <c r="B225" s="12"/>
      <c r="AH225" s="1" t="str">
        <f ca="1">IFERROR(MATCH(A226,OFFSET(Grades!$A$1,MATCH(Rates!$B$4,LIST,0),2,1,SUMIF(Grades!$A:$A,Rates!$B$4,Grades!$B:$B)),0),"")</f>
        <v/>
      </c>
    </row>
    <row r="226" spans="1:34" ht="18.75" customHeight="1" x14ac:dyDescent="0.25">
      <c r="A226" s="15"/>
      <c r="B226" s="12"/>
      <c r="AH226" s="1" t="str">
        <f ca="1">IFERROR(MATCH(A227,OFFSET(Grades!$A$1,MATCH(Rates!$B$4,LIST,0),2,1,SUMIF(Grades!$A:$A,Rates!$B$4,Grades!$B:$B)),0),"")</f>
        <v/>
      </c>
    </row>
    <row r="227" spans="1:34" ht="18.75" customHeight="1" x14ac:dyDescent="0.25">
      <c r="A227" s="15"/>
      <c r="B227" s="12"/>
      <c r="AH227" s="1" t="str">
        <f ca="1">IFERROR(MATCH(A228,OFFSET(Grades!$A$1,MATCH(Rates!$B$4,LIST,0),2,1,SUMIF(Grades!$A:$A,Rates!$B$4,Grades!$B:$B)),0),"")</f>
        <v/>
      </c>
    </row>
    <row r="228" spans="1:34" ht="18.75" customHeight="1" x14ac:dyDescent="0.25">
      <c r="A228" s="15"/>
      <c r="B228" s="12"/>
      <c r="AH228" s="1" t="str">
        <f ca="1">IFERROR(MATCH(A229,OFFSET(Grades!$A$1,MATCH(Rates!$B$4,LIST,0),2,1,SUMIF(Grades!$A:$A,Rates!$B$4,Grades!$B:$B)),0),"")</f>
        <v/>
      </c>
    </row>
    <row r="229" spans="1:34" ht="18.75" customHeight="1" x14ac:dyDescent="0.25">
      <c r="A229" s="15"/>
      <c r="B229" s="12"/>
      <c r="AH229" s="1" t="str">
        <f ca="1">IFERROR(MATCH(A230,OFFSET(Grades!$A$1,MATCH(Rates!$B$4,LIST,0),2,1,SUMIF(Grades!$A:$A,Rates!$B$4,Grades!$B:$B)),0),"")</f>
        <v/>
      </c>
    </row>
    <row r="230" spans="1:34" ht="18.75" customHeight="1" x14ac:dyDescent="0.25">
      <c r="A230" s="15"/>
      <c r="B230" s="12"/>
      <c r="AH230" s="1" t="str">
        <f ca="1">IFERROR(MATCH(A231,OFFSET(Grades!$A$1,MATCH(Rates!$B$4,LIST,0),2,1,SUMIF(Grades!$A:$A,Rates!$B$4,Grades!$B:$B)),0),"")</f>
        <v/>
      </c>
    </row>
    <row r="231" spans="1:34" ht="18.75" customHeight="1" x14ac:dyDescent="0.25">
      <c r="A231" s="15"/>
      <c r="B231" s="12"/>
      <c r="AH231" s="1" t="str">
        <f ca="1">IFERROR(MATCH(A232,OFFSET(Grades!$A$1,MATCH(Rates!$B$4,LIST,0),2,1,SUMIF(Grades!$A:$A,Rates!$B$4,Grades!$B:$B)),0),"")</f>
        <v/>
      </c>
    </row>
    <row r="232" spans="1:34" ht="18.75" customHeight="1" x14ac:dyDescent="0.25">
      <c r="A232" s="15"/>
      <c r="B232" s="12"/>
      <c r="AH232" s="1" t="str">
        <f ca="1">IFERROR(MATCH(A233,OFFSET(Grades!$A$1,MATCH(Rates!$B$4,LIST,0),2,1,SUMIF(Grades!$A:$A,Rates!$B$4,Grades!$B:$B)),0),"")</f>
        <v/>
      </c>
    </row>
    <row r="233" spans="1:34" ht="18.75" customHeight="1" x14ac:dyDescent="0.25">
      <c r="A233" s="15"/>
      <c r="B233" s="12"/>
      <c r="AH233" s="1" t="str">
        <f ca="1">IFERROR(MATCH(A234,OFFSET(Grades!$A$1,MATCH(Rates!$B$4,LIST,0),2,1,SUMIF(Grades!$A:$A,Rates!$B$4,Grades!$B:$B)),0),"")</f>
        <v/>
      </c>
    </row>
    <row r="234" spans="1:34" ht="18.75" customHeight="1" x14ac:dyDescent="0.25">
      <c r="A234" s="15"/>
      <c r="B234" s="12"/>
      <c r="AH234" s="1" t="str">
        <f ca="1">IFERROR(MATCH(A235,OFFSET(Grades!$A$1,MATCH(Rates!$B$4,LIST,0),2,1,SUMIF(Grades!$A:$A,Rates!$B$4,Grades!$B:$B)),0),"")</f>
        <v/>
      </c>
    </row>
    <row r="235" spans="1:34" ht="18.75" customHeight="1" x14ac:dyDescent="0.25">
      <c r="A235" s="15"/>
      <c r="B235" s="12"/>
      <c r="AH235" s="1" t="str">
        <f ca="1">IFERROR(MATCH(A236,OFFSET(Grades!$A$1,MATCH(Rates!$B$4,LIST,0),2,1,SUMIF(Grades!$A:$A,Rates!$B$4,Grades!$B:$B)),0),"")</f>
        <v/>
      </c>
    </row>
    <row r="236" spans="1:34" ht="18.75" customHeight="1" x14ac:dyDescent="0.25">
      <c r="A236" s="15"/>
      <c r="B236" s="12"/>
      <c r="AH236" s="1" t="str">
        <f ca="1">IFERROR(MATCH(A237,OFFSET(Grades!$A$1,MATCH(Rates!$B$4,LIST,0),2,1,SUMIF(Grades!$A:$A,Rates!$B$4,Grades!$B:$B)),0),"")</f>
        <v/>
      </c>
    </row>
    <row r="237" spans="1:34" ht="18.75" customHeight="1" x14ac:dyDescent="0.25">
      <c r="A237" s="15"/>
      <c r="B237" s="12"/>
      <c r="AH237" s="1" t="str">
        <f ca="1">IFERROR(MATCH(A238,OFFSET(Grades!$A$1,MATCH(Rates!$B$4,LIST,0),2,1,SUMIF(Grades!$A:$A,Rates!$B$4,Grades!$B:$B)),0),"")</f>
        <v/>
      </c>
    </row>
    <row r="238" spans="1:34" ht="18.75" customHeight="1" x14ac:dyDescent="0.25">
      <c r="A238" s="15"/>
      <c r="B238" s="12"/>
      <c r="AH238" s="1" t="str">
        <f ca="1">IFERROR(MATCH(A239,OFFSET(Grades!$A$1,MATCH(Rates!$B$4,LIST,0),2,1,SUMIF(Grades!$A:$A,Rates!$B$4,Grades!$B:$B)),0),"")</f>
        <v/>
      </c>
    </row>
    <row r="239" spans="1:34" ht="18.75" customHeight="1" x14ac:dyDescent="0.25">
      <c r="A239" s="15"/>
      <c r="B239" s="12"/>
      <c r="AH239" s="1" t="str">
        <f ca="1">IFERROR(MATCH(A240,OFFSET(Grades!$A$1,MATCH(Rates!$B$4,LIST,0),2,1,SUMIF(Grades!$A:$A,Rates!$B$4,Grades!$B:$B)),0),"")</f>
        <v/>
      </c>
    </row>
    <row r="240" spans="1:34" ht="18.75" customHeight="1" x14ac:dyDescent="0.25">
      <c r="A240" s="15"/>
      <c r="B240" s="12"/>
      <c r="AH240" s="1" t="str">
        <f ca="1">IFERROR(MATCH(A241,OFFSET(Grades!$A$1,MATCH(Rates!$B$4,LIST,0),2,1,SUMIF(Grades!$A:$A,Rates!$B$4,Grades!$B:$B)),0),"")</f>
        <v/>
      </c>
    </row>
    <row r="241" spans="1:34" ht="18.75" customHeight="1" x14ac:dyDescent="0.25">
      <c r="A241" s="15"/>
      <c r="B241" s="12"/>
      <c r="AH241" s="1" t="str">
        <f ca="1">IFERROR(MATCH(A242,OFFSET(Grades!$A$1,MATCH(Rates!$B$4,LIST,0),2,1,SUMIF(Grades!$A:$A,Rates!$B$4,Grades!$B:$B)),0),"")</f>
        <v/>
      </c>
    </row>
    <row r="242" spans="1:34" ht="18.75" customHeight="1" x14ac:dyDescent="0.25">
      <c r="A242" s="15"/>
      <c r="B242" s="12"/>
      <c r="AH242" s="1" t="str">
        <f ca="1">IFERROR(MATCH(A243,OFFSET(Grades!$A$1,MATCH(Rates!$B$4,LIST,0),2,1,SUMIF(Grades!$A:$A,Rates!$B$4,Grades!$B:$B)),0),"")</f>
        <v/>
      </c>
    </row>
    <row r="243" spans="1:34" ht="18.75" customHeight="1" x14ac:dyDescent="0.25">
      <c r="A243" s="15"/>
      <c r="B243" s="12"/>
      <c r="AH243" s="1" t="str">
        <f ca="1">IFERROR(MATCH(A244,OFFSET(Grades!$A$1,MATCH(Rates!$B$4,LIST,0),2,1,SUMIF(Grades!$A:$A,Rates!$B$4,Grades!$B:$B)),0),"")</f>
        <v/>
      </c>
    </row>
    <row r="244" spans="1:34" ht="18.75" customHeight="1" x14ac:dyDescent="0.25">
      <c r="A244" s="15"/>
      <c r="B244" s="12"/>
      <c r="AH244" s="1" t="str">
        <f ca="1">IFERROR(MATCH(A245,OFFSET(Grades!$A$1,MATCH(Rates!$B$4,LIST,0),2,1,SUMIF(Grades!$A:$A,Rates!$B$4,Grades!$B:$B)),0),"")</f>
        <v/>
      </c>
    </row>
    <row r="245" spans="1:34" ht="18.75" customHeight="1" x14ac:dyDescent="0.25">
      <c r="A245" s="15"/>
      <c r="B245" s="12"/>
      <c r="AH245" s="1" t="str">
        <f ca="1">IFERROR(MATCH(A246,OFFSET(Grades!$A$1,MATCH(Rates!$B$4,LIST,0),2,1,SUMIF(Grades!$A:$A,Rates!$B$4,Grades!$B:$B)),0),"")</f>
        <v/>
      </c>
    </row>
    <row r="246" spans="1:34" ht="18.75" customHeight="1" x14ac:dyDescent="0.25">
      <c r="A246" s="15"/>
      <c r="B246" s="12"/>
      <c r="AH246" s="1" t="str">
        <f ca="1">IFERROR(MATCH(A247,OFFSET(Grades!$A$1,MATCH(Rates!$B$4,LIST,0),2,1,SUMIF(Grades!$A:$A,Rates!$B$4,Grades!$B:$B)),0),"")</f>
        <v/>
      </c>
    </row>
    <row r="247" spans="1:34" ht="18.75" customHeight="1" x14ac:dyDescent="0.25">
      <c r="A247" s="15"/>
      <c r="B247" s="12"/>
      <c r="AH247" s="1" t="str">
        <f ca="1">IFERROR(MATCH(A248,OFFSET(Grades!$A$1,MATCH(Rates!$B$4,LIST,0),2,1,SUMIF(Grades!$A:$A,Rates!$B$4,Grades!$B:$B)),0),"")</f>
        <v/>
      </c>
    </row>
    <row r="248" spans="1:34" ht="18.75" customHeight="1" x14ac:dyDescent="0.25">
      <c r="A248" s="15"/>
      <c r="B248" s="12"/>
      <c r="AH248" s="1" t="str">
        <f ca="1">IFERROR(MATCH(A249,OFFSET(Grades!$A$1,MATCH(Rates!$B$4,LIST,0),2,1,SUMIF(Grades!$A:$A,Rates!$B$4,Grades!$B:$B)),0),"")</f>
        <v/>
      </c>
    </row>
    <row r="249" spans="1:34" ht="18.75" customHeight="1" x14ac:dyDescent="0.25">
      <c r="A249" s="15"/>
      <c r="B249" s="12"/>
      <c r="AH249" s="1" t="str">
        <f ca="1">IFERROR(MATCH(A250,OFFSET(Grades!$A$1,MATCH(Rates!$B$4,LIST,0),2,1,SUMIF(Grades!$A:$A,Rates!$B$4,Grades!$B:$B)),0),"")</f>
        <v/>
      </c>
    </row>
    <row r="250" spans="1:34" ht="18.75" customHeight="1" x14ac:dyDescent="0.25">
      <c r="A250" s="15"/>
      <c r="B250" s="12"/>
      <c r="AH250" s="1" t="str">
        <f ca="1">IFERROR(MATCH(A251,OFFSET(Grades!$A$1,MATCH(Rates!$B$4,LIST,0),2,1,SUMIF(Grades!$A:$A,Rates!$B$4,Grades!$B:$B)),0),"")</f>
        <v/>
      </c>
    </row>
    <row r="251" spans="1:34" ht="18.75" customHeight="1" x14ac:dyDescent="0.25">
      <c r="A251" s="15"/>
      <c r="B251" s="12"/>
      <c r="AH251" s="1" t="str">
        <f ca="1">IFERROR(MATCH(A252,OFFSET(Grades!$A$1,MATCH(Rates!$B$4,LIST,0),2,1,SUMIF(Grades!$A:$A,Rates!$B$4,Grades!$B:$B)),0),"")</f>
        <v/>
      </c>
    </row>
    <row r="252" spans="1:34" ht="18.75" customHeight="1" x14ac:dyDescent="0.25">
      <c r="A252" s="15"/>
      <c r="B252" s="12"/>
      <c r="AH252" s="1" t="str">
        <f ca="1">IFERROR(MATCH(A253,OFFSET(Grades!$A$1,MATCH(Rates!$B$4,LIST,0),2,1,SUMIF(Grades!$A:$A,Rates!$B$4,Grades!$B:$B)),0),"")</f>
        <v/>
      </c>
    </row>
    <row r="253" spans="1:34" ht="18.75" customHeight="1" x14ac:dyDescent="0.25">
      <c r="A253" s="15"/>
      <c r="B253" s="12"/>
      <c r="AH253" s="1" t="str">
        <f ca="1">IFERROR(MATCH(A254,OFFSET(Grades!$A$1,MATCH(Rates!$B$4,LIST,0),2,1,SUMIF(Grades!$A:$A,Rates!$B$4,Grades!$B:$B)),0),"")</f>
        <v/>
      </c>
    </row>
    <row r="254" spans="1:34" ht="18.75" customHeight="1" x14ac:dyDescent="0.25">
      <c r="A254" s="15"/>
      <c r="B254" s="12"/>
      <c r="AH254" s="1" t="str">
        <f ca="1">IFERROR(MATCH(A255,OFFSET(Grades!$A$1,MATCH(Rates!$B$4,LIST,0),2,1,SUMIF(Grades!$A:$A,Rates!$B$4,Grades!$B:$B)),0),"")</f>
        <v/>
      </c>
    </row>
    <row r="255" spans="1:34" ht="18.75" customHeight="1" x14ac:dyDescent="0.25">
      <c r="A255" s="15"/>
      <c r="B255" s="12"/>
      <c r="AH255" s="1" t="str">
        <f ca="1">IFERROR(MATCH(A256,OFFSET(Grades!$A$1,MATCH(Rates!$B$4,LIST,0),2,1,SUMIF(Grades!$A:$A,Rates!$B$4,Grades!$B:$B)),0),"")</f>
        <v/>
      </c>
    </row>
    <row r="256" spans="1:34" ht="18.75" customHeight="1" x14ac:dyDescent="0.25">
      <c r="A256" s="15"/>
      <c r="B256" s="12"/>
      <c r="AH256" s="1" t="str">
        <f ca="1">IFERROR(MATCH(A257,OFFSET(Grades!$A$1,MATCH(Rates!$B$4,LIST,0),2,1,SUMIF(Grades!$A:$A,Rates!$B$4,Grades!$B:$B)),0),"")</f>
        <v/>
      </c>
    </row>
    <row r="257" spans="1:34" ht="18.75" customHeight="1" x14ac:dyDescent="0.25">
      <c r="A257" s="15"/>
      <c r="B257" s="12"/>
      <c r="AH257" s="1" t="str">
        <f ca="1">IFERROR(MATCH(A258,OFFSET(Grades!$A$1,MATCH(Rates!$B$4,LIST,0),2,1,SUMIF(Grades!$A:$A,Rates!$B$4,Grades!$B:$B)),0),"")</f>
        <v/>
      </c>
    </row>
    <row r="258" spans="1:34" ht="18.75" customHeight="1" x14ac:dyDescent="0.25">
      <c r="A258" s="15"/>
      <c r="B258" s="12"/>
      <c r="AH258" s="1" t="str">
        <f ca="1">IFERROR(MATCH(A259,OFFSET(Grades!$A$1,MATCH(Rates!$B$4,LIST,0),2,1,SUMIF(Grades!$A:$A,Rates!$B$4,Grades!$B:$B)),0),"")</f>
        <v/>
      </c>
    </row>
    <row r="259" spans="1:34" ht="18.75" customHeight="1" x14ac:dyDescent="0.25">
      <c r="A259" s="15"/>
      <c r="B259" s="12"/>
      <c r="AH259" s="1" t="str">
        <f ca="1">IFERROR(MATCH(A260,OFFSET(Grades!$A$1,MATCH(Rates!$B$4,LIST,0),2,1,SUMIF(Grades!$A:$A,Rates!$B$4,Grades!$B:$B)),0),"")</f>
        <v/>
      </c>
    </row>
    <row r="260" spans="1:34" ht="18.75" customHeight="1" x14ac:dyDescent="0.25">
      <c r="A260" s="15"/>
      <c r="B260" s="12"/>
      <c r="AH260" s="1" t="str">
        <f ca="1">IFERROR(MATCH(A261,OFFSET(Grades!$A$1,MATCH(Rates!$B$4,LIST,0),2,1,SUMIF(Grades!$A:$A,Rates!$B$4,Grades!$B:$B)),0),"")</f>
        <v/>
      </c>
    </row>
    <row r="261" spans="1:34" ht="18.75" customHeight="1" x14ac:dyDescent="0.25">
      <c r="A261" s="15"/>
      <c r="B261" s="12"/>
      <c r="AH261" s="1" t="str">
        <f ca="1">IFERROR(MATCH(A262,OFFSET(Grades!$A$1,MATCH(Rates!$B$4,LIST,0),2,1,SUMIF(Grades!$A:$A,Rates!$B$4,Grades!$B:$B)),0),"")</f>
        <v/>
      </c>
    </row>
    <row r="262" spans="1:34" ht="18.75" customHeight="1" x14ac:dyDescent="0.25">
      <c r="A262" s="15"/>
      <c r="B262" s="12"/>
      <c r="AH262" s="1" t="str">
        <f ca="1">IFERROR(MATCH(A263,OFFSET(Grades!$A$1,MATCH(Rates!$B$4,LIST,0),2,1,SUMIF(Grades!$A:$A,Rates!$B$4,Grades!$B:$B)),0),"")</f>
        <v/>
      </c>
    </row>
    <row r="263" spans="1:34" ht="18.75" customHeight="1" x14ac:dyDescent="0.25">
      <c r="A263" s="15"/>
      <c r="B263" s="12"/>
      <c r="AH263" s="1" t="str">
        <f ca="1">IFERROR(MATCH(A264,OFFSET(Grades!$A$1,MATCH(Rates!$B$4,LIST,0),2,1,SUMIF(Grades!$A:$A,Rates!$B$4,Grades!$B:$B)),0),"")</f>
        <v/>
      </c>
    </row>
    <row r="264" spans="1:34" ht="18.75" customHeight="1" x14ac:dyDescent="0.25">
      <c r="A264" s="15"/>
      <c r="B264" s="12"/>
      <c r="AH264" s="1" t="str">
        <f ca="1">IFERROR(MATCH(A265,OFFSET(Grades!$A$1,MATCH(Rates!$B$4,LIST,0),2,1,SUMIF(Grades!$A:$A,Rates!$B$4,Grades!$B:$B)),0),"")</f>
        <v/>
      </c>
    </row>
    <row r="265" spans="1:34" ht="18.75" customHeight="1" x14ac:dyDescent="0.25">
      <c r="A265" s="15"/>
      <c r="B265" s="12"/>
      <c r="AH265" s="1" t="str">
        <f ca="1">IFERROR(MATCH(A266,OFFSET(Grades!$A$1,MATCH(Rates!$B$4,LIST,0),2,1,SUMIF(Grades!$A:$A,Rates!$B$4,Grades!$B:$B)),0),"")</f>
        <v/>
      </c>
    </row>
    <row r="266" spans="1:34" ht="18.75" customHeight="1" x14ac:dyDescent="0.25">
      <c r="A266" s="15"/>
      <c r="B266" s="12"/>
      <c r="AH266" s="1" t="str">
        <f ca="1">IFERROR(MATCH(A267,OFFSET(Grades!$A$1,MATCH(Rates!$B$4,LIST,0),2,1,SUMIF(Grades!$A:$A,Rates!$B$4,Grades!$B:$B)),0),"")</f>
        <v/>
      </c>
    </row>
    <row r="267" spans="1:34" ht="18.75" customHeight="1" x14ac:dyDescent="0.25">
      <c r="A267" s="15"/>
      <c r="B267" s="12"/>
      <c r="AH267" s="1" t="str">
        <f ca="1">IFERROR(MATCH(A268,OFFSET(Grades!$A$1,MATCH(Rates!$B$4,LIST,0),2,1,SUMIF(Grades!$A:$A,Rates!$B$4,Grades!$B:$B)),0),"")</f>
        <v/>
      </c>
    </row>
    <row r="268" spans="1:34" ht="18.75" customHeight="1" x14ac:dyDescent="0.25">
      <c r="A268" s="15"/>
      <c r="B268" s="12"/>
      <c r="AH268" s="1" t="str">
        <f ca="1">IFERROR(MATCH(A269,OFFSET(Grades!$A$1,MATCH(Rates!$B$4,LIST,0),2,1,SUMIF(Grades!$A:$A,Rates!$B$4,Grades!$B:$B)),0),"")</f>
        <v/>
      </c>
    </row>
    <row r="269" spans="1:34" ht="18.75" customHeight="1" x14ac:dyDescent="0.25">
      <c r="A269" s="15"/>
      <c r="B269" s="12"/>
      <c r="AH269" s="1" t="str">
        <f ca="1">IFERROR(MATCH(A270,OFFSET(Grades!$A$1,MATCH(Rates!$B$4,LIST,0),2,1,SUMIF(Grades!$A:$A,Rates!$B$4,Grades!$B:$B)),0),"")</f>
        <v/>
      </c>
    </row>
    <row r="270" spans="1:34" ht="18.75" customHeight="1" x14ac:dyDescent="0.25">
      <c r="A270" s="15"/>
      <c r="B270" s="12"/>
      <c r="AH270" s="1" t="str">
        <f ca="1">IFERROR(MATCH(A271,OFFSET(Grades!$A$1,MATCH(Rates!$B$4,LIST,0),2,1,SUMIF(Grades!$A:$A,Rates!$B$4,Grades!$B:$B)),0),"")</f>
        <v/>
      </c>
    </row>
    <row r="271" spans="1:34" ht="18.75" customHeight="1" x14ac:dyDescent="0.25">
      <c r="A271" s="15"/>
      <c r="B271" s="12"/>
      <c r="AH271" s="1" t="str">
        <f ca="1">IFERROR(MATCH(A272,OFFSET(Grades!$A$1,MATCH(Rates!$B$4,LIST,0),2,1,SUMIF(Grades!$A:$A,Rates!$B$4,Grades!$B:$B)),0),"")</f>
        <v/>
      </c>
    </row>
    <row r="272" spans="1:34" ht="18.75" customHeight="1" x14ac:dyDescent="0.25">
      <c r="A272" s="15"/>
      <c r="B272" s="12"/>
      <c r="AH272" s="1" t="str">
        <f ca="1">IFERROR(MATCH(A273,OFFSET(Grades!$A$1,MATCH(Rates!$B$4,LIST,0),2,1,SUMIF(Grades!$A:$A,Rates!$B$4,Grades!$B:$B)),0),"")</f>
        <v/>
      </c>
    </row>
    <row r="273" spans="1:34" ht="18.75" customHeight="1" x14ac:dyDescent="0.25">
      <c r="A273" s="15"/>
      <c r="B273" s="12"/>
      <c r="AH273" s="1" t="str">
        <f ca="1">IFERROR(MATCH(A274,OFFSET(Grades!$A$1,MATCH(Rates!$B$4,LIST,0),2,1,SUMIF(Grades!$A:$A,Rates!$B$4,Grades!$B:$B)),0),"")</f>
        <v/>
      </c>
    </row>
    <row r="274" spans="1:34" ht="18.75" customHeight="1" x14ac:dyDescent="0.25">
      <c r="A274" s="15"/>
      <c r="B274" s="12"/>
      <c r="AH274" s="1" t="str">
        <f ca="1">IFERROR(MATCH(A275,OFFSET(Grades!$A$1,MATCH(Rates!$B$4,LIST,0),2,1,SUMIF(Grades!$A:$A,Rates!$B$4,Grades!$B:$B)),0),"")</f>
        <v/>
      </c>
    </row>
    <row r="275" spans="1:34" ht="18.75" customHeight="1" x14ac:dyDescent="0.25">
      <c r="A275" s="15"/>
      <c r="B275" s="12"/>
      <c r="AH275" s="1" t="str">
        <f ca="1">IFERROR(MATCH(A276,OFFSET(Grades!$A$1,MATCH(Rates!$B$4,LIST,0),2,1,SUMIF(Grades!$A:$A,Rates!$B$4,Grades!$B:$B)),0),"")</f>
        <v/>
      </c>
    </row>
    <row r="276" spans="1:34" ht="18.75" customHeight="1" x14ac:dyDescent="0.25">
      <c r="A276" s="15"/>
      <c r="B276" s="12"/>
      <c r="AH276" s="1" t="str">
        <f ca="1">IFERROR(MATCH(A277,OFFSET(Grades!$A$1,MATCH(Rates!$B$4,LIST,0),2,1,SUMIF(Grades!$A:$A,Rates!$B$4,Grades!$B:$B)),0),"")</f>
        <v/>
      </c>
    </row>
    <row r="277" spans="1:34" ht="18.75" customHeight="1" x14ac:dyDescent="0.25">
      <c r="A277" s="15"/>
      <c r="B277" s="12"/>
      <c r="AH277" s="1" t="str">
        <f ca="1">IFERROR(MATCH(A278,OFFSET(Grades!$A$1,MATCH(Rates!$B$4,LIST,0),2,1,SUMIF(Grades!$A:$A,Rates!$B$4,Grades!$B:$B)),0),"")</f>
        <v/>
      </c>
    </row>
    <row r="278" spans="1:34" ht="18.75" customHeight="1" x14ac:dyDescent="0.25">
      <c r="A278" s="15"/>
      <c r="B278" s="12"/>
      <c r="AH278" s="1" t="str">
        <f ca="1">IFERROR(MATCH(A279,OFFSET(Grades!$A$1,MATCH(Rates!$B$4,LIST,0),2,1,SUMIF(Grades!$A:$A,Rates!$B$4,Grades!$B:$B)),0),"")</f>
        <v/>
      </c>
    </row>
    <row r="279" spans="1:34" ht="18.75" customHeight="1" x14ac:dyDescent="0.25">
      <c r="A279" s="15"/>
      <c r="B279" s="12"/>
      <c r="AH279" s="1" t="str">
        <f ca="1">IFERROR(MATCH(A280,OFFSET(Grades!$A$1,MATCH(Rates!$B$4,LIST,0),2,1,SUMIF(Grades!$A:$A,Rates!$B$4,Grades!$B:$B)),0),"")</f>
        <v/>
      </c>
    </row>
    <row r="280" spans="1:34" ht="18.75" customHeight="1" x14ac:dyDescent="0.25">
      <c r="A280" s="15"/>
      <c r="B280" s="12"/>
      <c r="AH280" s="1" t="str">
        <f ca="1">IFERROR(MATCH(A281,OFFSET(Grades!$A$1,MATCH(Rates!$B$4,LIST,0),2,1,SUMIF(Grades!$A:$A,Rates!$B$4,Grades!$B:$B)),0),"")</f>
        <v/>
      </c>
    </row>
    <row r="281" spans="1:34" x14ac:dyDescent="0.25">
      <c r="AH281" s="1" t="str">
        <f ca="1">IFERROR(MATCH(A282,OFFSET(Grades!$A$1,MATCH(Rates!$B$4,LIST,0),2,1,SUMIF(Grades!$A:$A,Rates!$B$4,Grades!$B:$B)),0),"")</f>
        <v/>
      </c>
    </row>
    <row r="282" spans="1:34" x14ac:dyDescent="0.25">
      <c r="AH282" s="1" t="str">
        <f ca="1">IFERROR(MATCH(A283,OFFSET(Grades!$A$1,MATCH(Rates!$B$4,LIST,0),2,1,SUMIF(Grades!$A:$A,Rates!$B$4,Grades!$B:$B)),0),"")</f>
        <v/>
      </c>
    </row>
    <row r="283" spans="1:34" x14ac:dyDescent="0.25">
      <c r="AH283" s="1" t="str">
        <f ca="1">IFERROR(MATCH(A284,OFFSET(Grades!$A$1,MATCH(Rates!$B$4,LIST,0),2,1,SUMIF(Grades!$A:$A,Rates!$B$4,Grades!$B:$B)),0),"")</f>
        <v/>
      </c>
    </row>
    <row r="284" spans="1:34" x14ac:dyDescent="0.25">
      <c r="AH284" s="1" t="str">
        <f ca="1">IFERROR(MATCH(A285,OFFSET(Grades!$A$1,MATCH(Rates!$B$4,LIST,0),2,1,SUMIF(Grades!$A:$A,Rates!$B$4,Grades!$B:$B)),0),"")</f>
        <v/>
      </c>
    </row>
    <row r="285" spans="1:34" x14ac:dyDescent="0.25">
      <c r="AH285" s="1" t="str">
        <f ca="1">IFERROR(MATCH(A286,OFFSET(Grades!$A$1,MATCH(Rates!$B$4,LIST,0),2,1,SUMIF(Grades!$A:$A,Rates!$B$4,Grades!$B:$B)),0),"")</f>
        <v/>
      </c>
    </row>
  </sheetData>
  <printOptions horizontalCentered="1"/>
  <pageMargins left="0.23622047244094491" right="0.23622047244094491" top="0.55118110236220474" bottom="0.39370078740157483" header="0.31496062992125984" footer="0.31496062992125984"/>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78"/>
  <sheetViews>
    <sheetView workbookViewId="0">
      <pane xSplit="2" ySplit="1" topLeftCell="BD2" activePane="bottomRight" state="frozenSplit"/>
      <selection activeCell="BI6" sqref="BI6"/>
      <selection pane="topRight" activeCell="BI6" sqref="BI6"/>
      <selection pane="bottomLeft" activeCell="BI6" sqref="BI6"/>
      <selection pane="bottomRight" activeCell="BS37" sqref="BS37"/>
    </sheetView>
  </sheetViews>
  <sheetFormatPr defaultColWidth="9.140625" defaultRowHeight="15" x14ac:dyDescent="0.25"/>
  <cols>
    <col min="1" max="1" width="89.5703125" style="21" customWidth="1"/>
    <col min="2" max="2" width="10" style="21" customWidth="1"/>
    <col min="3" max="20" width="9.140625" style="21" customWidth="1"/>
    <col min="21" max="21" width="10.85546875" style="21" bestFit="1" customWidth="1"/>
    <col min="22" max="22" width="12.140625" style="21" bestFit="1" customWidth="1"/>
    <col min="23" max="23" width="9.140625" style="21" customWidth="1"/>
    <col min="24" max="70" width="9.140625" style="21"/>
    <col min="71" max="71" width="9.140625" style="127"/>
    <col min="72" max="16384" width="9.140625" style="21"/>
  </cols>
  <sheetData>
    <row r="1" spans="1:71" ht="25.5" customHeight="1" x14ac:dyDescent="0.25">
      <c r="A1" s="19" t="s">
        <v>7</v>
      </c>
      <c r="B1" s="19" t="s">
        <v>8</v>
      </c>
      <c r="C1" s="1">
        <v>1</v>
      </c>
      <c r="D1" s="1">
        <v>2</v>
      </c>
      <c r="E1" s="1">
        <v>3</v>
      </c>
      <c r="F1" s="1">
        <v>4</v>
      </c>
      <c r="G1" s="1">
        <v>5</v>
      </c>
      <c r="H1" s="1">
        <v>6</v>
      </c>
      <c r="I1" s="1">
        <v>7</v>
      </c>
      <c r="J1" s="1">
        <v>8</v>
      </c>
      <c r="K1" s="1">
        <v>9</v>
      </c>
      <c r="L1" s="1">
        <v>10</v>
      </c>
      <c r="M1" s="1">
        <v>11</v>
      </c>
      <c r="N1" s="1">
        <v>12</v>
      </c>
      <c r="O1" s="1">
        <v>13</v>
      </c>
      <c r="P1" s="1">
        <v>14</v>
      </c>
      <c r="Q1" s="1">
        <v>15</v>
      </c>
      <c r="R1" s="1">
        <v>16</v>
      </c>
      <c r="S1" s="1">
        <v>17</v>
      </c>
      <c r="T1" s="1">
        <v>18</v>
      </c>
      <c r="U1" s="1">
        <v>19</v>
      </c>
      <c r="V1" s="1">
        <v>20</v>
      </c>
      <c r="W1" s="1">
        <v>21</v>
      </c>
      <c r="X1" s="1">
        <v>22</v>
      </c>
      <c r="Y1" s="1">
        <v>23</v>
      </c>
      <c r="Z1" s="1">
        <v>24</v>
      </c>
      <c r="AA1" s="1">
        <v>25</v>
      </c>
      <c r="AB1" s="1">
        <v>26</v>
      </c>
      <c r="AC1" s="1">
        <v>27</v>
      </c>
      <c r="AD1" s="1">
        <v>28</v>
      </c>
      <c r="AE1" s="1">
        <v>29</v>
      </c>
      <c r="AF1" s="1">
        <v>30</v>
      </c>
      <c r="AG1" s="1">
        <v>31</v>
      </c>
      <c r="AH1" s="1">
        <v>32</v>
      </c>
      <c r="AI1" s="1">
        <v>33</v>
      </c>
      <c r="AJ1" s="1">
        <v>34</v>
      </c>
      <c r="AK1" s="1">
        <v>35</v>
      </c>
      <c r="AL1" s="1">
        <v>36</v>
      </c>
      <c r="AM1" s="1">
        <v>37</v>
      </c>
      <c r="AN1" s="1">
        <v>38</v>
      </c>
      <c r="AO1" s="1">
        <v>39</v>
      </c>
      <c r="AP1" s="1">
        <v>40</v>
      </c>
      <c r="AQ1" s="1">
        <v>41</v>
      </c>
      <c r="AR1" s="1">
        <v>42</v>
      </c>
      <c r="AS1" s="1">
        <v>43</v>
      </c>
      <c r="AT1" s="1">
        <v>44</v>
      </c>
      <c r="AU1" s="1">
        <v>45</v>
      </c>
      <c r="AV1" s="1">
        <v>46</v>
      </c>
      <c r="AW1" s="1">
        <v>47</v>
      </c>
      <c r="AX1" s="1">
        <v>48</v>
      </c>
      <c r="AY1" s="1">
        <v>49</v>
      </c>
      <c r="AZ1" s="1">
        <v>50</v>
      </c>
      <c r="BA1" s="1">
        <v>51</v>
      </c>
      <c r="BB1" s="1">
        <v>52</v>
      </c>
      <c r="BC1" s="1">
        <v>53</v>
      </c>
      <c r="BD1" s="1">
        <v>54</v>
      </c>
      <c r="BE1" s="1">
        <v>55</v>
      </c>
      <c r="BF1" s="1">
        <v>56</v>
      </c>
      <c r="BG1" s="1">
        <v>57</v>
      </c>
      <c r="BH1" s="19" t="s">
        <v>9</v>
      </c>
      <c r="BI1" s="19" t="s">
        <v>10</v>
      </c>
      <c r="BJ1" s="19" t="s">
        <v>11</v>
      </c>
      <c r="BK1" s="219" t="s">
        <v>20</v>
      </c>
      <c r="BL1" s="219"/>
      <c r="BM1" s="219"/>
      <c r="BN1" s="219"/>
      <c r="BO1" s="20" t="s">
        <v>4</v>
      </c>
      <c r="BP1" s="20" t="s">
        <v>5</v>
      </c>
      <c r="BQ1" s="20" t="s">
        <v>2</v>
      </c>
      <c r="BR1" s="20" t="s">
        <v>3</v>
      </c>
      <c r="BS1" s="129" t="s">
        <v>132</v>
      </c>
    </row>
    <row r="2" spans="1:71" x14ac:dyDescent="0.25">
      <c r="A2" s="33" t="s">
        <v>58</v>
      </c>
      <c r="B2" s="19"/>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9"/>
      <c r="BI2" s="19"/>
      <c r="BJ2" s="19"/>
      <c r="BK2" s="19"/>
      <c r="BL2" s="19"/>
      <c r="BM2" s="19"/>
      <c r="BN2" s="19"/>
      <c r="BO2" s="20"/>
      <c r="BP2" s="20"/>
      <c r="BQ2" s="20"/>
      <c r="BR2" s="20"/>
      <c r="BS2" s="128"/>
    </row>
    <row r="3" spans="1:71" x14ac:dyDescent="0.25">
      <c r="A3" s="22" t="s">
        <v>131</v>
      </c>
      <c r="B3" s="23">
        <f t="shared" ref="B3:B30" si="0">IF(A3="","",COUNTA(C3:BG3))</f>
        <v>55</v>
      </c>
      <c r="C3" s="20">
        <v>3</v>
      </c>
      <c r="D3" s="20">
        <v>4</v>
      </c>
      <c r="E3" s="20">
        <v>5</v>
      </c>
      <c r="F3" s="20">
        <v>6</v>
      </c>
      <c r="G3" s="20">
        <v>7</v>
      </c>
      <c r="H3" s="20">
        <v>8</v>
      </c>
      <c r="I3" s="20">
        <v>9</v>
      </c>
      <c r="J3" s="20">
        <v>10</v>
      </c>
      <c r="K3" s="20">
        <v>11</v>
      </c>
      <c r="L3" s="20">
        <v>12</v>
      </c>
      <c r="M3" s="20">
        <v>13</v>
      </c>
      <c r="N3" s="20">
        <v>14</v>
      </c>
      <c r="O3" s="20">
        <v>15</v>
      </c>
      <c r="P3" s="20">
        <v>16</v>
      </c>
      <c r="Q3" s="20">
        <v>17</v>
      </c>
      <c r="R3" s="20">
        <v>18</v>
      </c>
      <c r="S3" s="20">
        <v>19</v>
      </c>
      <c r="T3" s="20">
        <v>20</v>
      </c>
      <c r="U3" s="20">
        <v>21</v>
      </c>
      <c r="V3" s="20">
        <v>22</v>
      </c>
      <c r="W3" s="20">
        <v>23</v>
      </c>
      <c r="X3" s="20">
        <v>24</v>
      </c>
      <c r="Y3" s="20">
        <v>25</v>
      </c>
      <c r="Z3" s="20">
        <v>26</v>
      </c>
      <c r="AA3" s="20">
        <v>27</v>
      </c>
      <c r="AB3" s="20">
        <v>28</v>
      </c>
      <c r="AC3" s="20">
        <v>29</v>
      </c>
      <c r="AD3" s="20">
        <v>30</v>
      </c>
      <c r="AE3" s="20">
        <v>31</v>
      </c>
      <c r="AF3" s="20">
        <v>32</v>
      </c>
      <c r="AG3" s="20">
        <v>33</v>
      </c>
      <c r="AH3" s="20">
        <v>34</v>
      </c>
      <c r="AI3" s="20">
        <v>35</v>
      </c>
      <c r="AJ3" s="20">
        <v>36</v>
      </c>
      <c r="AK3" s="20">
        <v>37</v>
      </c>
      <c r="AL3" s="20">
        <v>38</v>
      </c>
      <c r="AM3" s="20">
        <v>39</v>
      </c>
      <c r="AN3" s="20">
        <v>40</v>
      </c>
      <c r="AO3" s="20">
        <v>41</v>
      </c>
      <c r="AP3" s="20">
        <v>42</v>
      </c>
      <c r="AQ3" s="20">
        <v>43</v>
      </c>
      <c r="AR3" s="20">
        <v>44</v>
      </c>
      <c r="AS3" s="20">
        <v>45</v>
      </c>
      <c r="AT3" s="20">
        <v>46</v>
      </c>
      <c r="AU3" s="20">
        <v>47</v>
      </c>
      <c r="AV3" s="20">
        <v>48</v>
      </c>
      <c r="AW3" s="20">
        <v>49</v>
      </c>
      <c r="AX3" s="20">
        <v>50</v>
      </c>
      <c r="AY3" s="20">
        <v>51</v>
      </c>
      <c r="AZ3" s="20">
        <v>52</v>
      </c>
      <c r="BA3" s="20">
        <v>53</v>
      </c>
      <c r="BB3" s="20">
        <v>54</v>
      </c>
      <c r="BC3" s="20">
        <v>55</v>
      </c>
      <c r="BD3" s="20">
        <v>56</v>
      </c>
      <c r="BE3" s="20">
        <v>57</v>
      </c>
      <c r="BF3" s="20"/>
      <c r="BG3" s="20"/>
      <c r="BK3" s="20" t="s">
        <v>4</v>
      </c>
      <c r="BL3" s="20" t="s">
        <v>5</v>
      </c>
      <c r="BM3" s="20" t="s">
        <v>2</v>
      </c>
      <c r="BN3" s="20" t="s">
        <v>3</v>
      </c>
      <c r="BO3" s="20">
        <f t="shared" ref="BO3:BR16" si="1">COUNTIF($BK3:$BN3,BO$1)</f>
        <v>1</v>
      </c>
      <c r="BP3" s="20">
        <f t="shared" si="1"/>
        <v>1</v>
      </c>
      <c r="BQ3" s="20">
        <f t="shared" si="1"/>
        <v>1</v>
      </c>
      <c r="BR3" s="20">
        <f t="shared" si="1"/>
        <v>1</v>
      </c>
      <c r="BS3" s="130" t="s">
        <v>133</v>
      </c>
    </row>
    <row r="4" spans="1:71" x14ac:dyDescent="0.25">
      <c r="A4" s="22" t="s">
        <v>15</v>
      </c>
      <c r="B4" s="23">
        <f t="shared" si="0"/>
        <v>10</v>
      </c>
      <c r="C4" s="20">
        <v>3</v>
      </c>
      <c r="D4" s="20">
        <v>4</v>
      </c>
      <c r="E4" s="20">
        <v>5</v>
      </c>
      <c r="F4" s="20">
        <v>6</v>
      </c>
      <c r="G4" s="20">
        <v>7</v>
      </c>
      <c r="H4" s="20">
        <v>8</v>
      </c>
      <c r="I4" s="20">
        <v>9</v>
      </c>
      <c r="J4" s="20">
        <v>10</v>
      </c>
      <c r="K4" s="20">
        <v>11</v>
      </c>
      <c r="L4" s="20">
        <v>12</v>
      </c>
      <c r="M4" s="20"/>
      <c r="N4" s="20"/>
      <c r="BH4" s="20">
        <v>3</v>
      </c>
      <c r="BI4" s="20">
        <v>6</v>
      </c>
      <c r="BJ4" s="20">
        <v>12</v>
      </c>
      <c r="BK4" s="20" t="s">
        <v>2</v>
      </c>
      <c r="BL4" s="20" t="s">
        <v>3</v>
      </c>
      <c r="BO4" s="20">
        <f t="shared" si="1"/>
        <v>0</v>
      </c>
      <c r="BP4" s="20">
        <f t="shared" si="1"/>
        <v>0</v>
      </c>
      <c r="BQ4" s="20">
        <f t="shared" si="1"/>
        <v>1</v>
      </c>
      <c r="BR4" s="20">
        <f t="shared" si="1"/>
        <v>1</v>
      </c>
      <c r="BS4" s="130" t="s">
        <v>133</v>
      </c>
    </row>
    <row r="5" spans="1:71" x14ac:dyDescent="0.25">
      <c r="A5" s="22" t="s">
        <v>16</v>
      </c>
      <c r="B5" s="23">
        <f t="shared" si="0"/>
        <v>13</v>
      </c>
      <c r="C5" s="20">
        <v>9</v>
      </c>
      <c r="D5" s="20">
        <v>10</v>
      </c>
      <c r="E5" s="20">
        <v>11</v>
      </c>
      <c r="F5" s="20">
        <v>12</v>
      </c>
      <c r="G5" s="20">
        <v>13</v>
      </c>
      <c r="H5" s="20">
        <v>14</v>
      </c>
      <c r="I5" s="20">
        <v>15</v>
      </c>
      <c r="J5" s="20">
        <v>16</v>
      </c>
      <c r="K5" s="20">
        <v>17</v>
      </c>
      <c r="L5" s="20">
        <v>18</v>
      </c>
      <c r="M5" s="20">
        <v>19</v>
      </c>
      <c r="N5" s="20">
        <v>20</v>
      </c>
      <c r="O5" s="20">
        <v>21</v>
      </c>
      <c r="BH5" s="20">
        <v>9</v>
      </c>
      <c r="BI5" s="20">
        <v>15</v>
      </c>
      <c r="BJ5" s="20">
        <v>21</v>
      </c>
      <c r="BK5" s="20" t="s">
        <v>2</v>
      </c>
      <c r="BL5" s="20" t="s">
        <v>3</v>
      </c>
      <c r="BO5" s="20">
        <f t="shared" si="1"/>
        <v>0</v>
      </c>
      <c r="BP5" s="20">
        <f t="shared" si="1"/>
        <v>0</v>
      </c>
      <c r="BQ5" s="20">
        <f t="shared" si="1"/>
        <v>1</v>
      </c>
      <c r="BR5" s="20">
        <f t="shared" si="1"/>
        <v>1</v>
      </c>
      <c r="BS5" s="130"/>
    </row>
    <row r="6" spans="1:71" x14ac:dyDescent="0.25">
      <c r="A6" s="22" t="s">
        <v>17</v>
      </c>
      <c r="B6" s="23">
        <f t="shared" si="0"/>
        <v>13</v>
      </c>
      <c r="C6" s="20">
        <v>18</v>
      </c>
      <c r="D6" s="20">
        <v>19</v>
      </c>
      <c r="E6" s="20">
        <v>20</v>
      </c>
      <c r="F6" s="20">
        <v>21</v>
      </c>
      <c r="G6" s="20">
        <v>22</v>
      </c>
      <c r="H6" s="20">
        <v>23</v>
      </c>
      <c r="I6" s="20">
        <v>24</v>
      </c>
      <c r="J6" s="20">
        <v>25</v>
      </c>
      <c r="K6" s="20">
        <v>26</v>
      </c>
      <c r="L6" s="20">
        <v>27</v>
      </c>
      <c r="M6" s="20">
        <v>28</v>
      </c>
      <c r="N6" s="20">
        <v>29</v>
      </c>
      <c r="O6" s="20">
        <v>30</v>
      </c>
      <c r="BH6" s="20">
        <v>18</v>
      </c>
      <c r="BI6" s="20">
        <v>24</v>
      </c>
      <c r="BJ6" s="20">
        <v>30</v>
      </c>
      <c r="BK6" s="20" t="s">
        <v>2</v>
      </c>
      <c r="BL6" s="20" t="s">
        <v>3</v>
      </c>
      <c r="BO6" s="20">
        <f t="shared" si="1"/>
        <v>0</v>
      </c>
      <c r="BP6" s="20">
        <f t="shared" si="1"/>
        <v>0</v>
      </c>
      <c r="BQ6" s="20">
        <f t="shared" si="1"/>
        <v>1</v>
      </c>
      <c r="BR6" s="20">
        <f t="shared" si="1"/>
        <v>1</v>
      </c>
    </row>
    <row r="7" spans="1:71" x14ac:dyDescent="0.25">
      <c r="A7" s="22" t="s">
        <v>18</v>
      </c>
      <c r="B7" s="23">
        <f t="shared" si="0"/>
        <v>13</v>
      </c>
      <c r="C7" s="20">
        <v>27</v>
      </c>
      <c r="D7" s="20">
        <v>28</v>
      </c>
      <c r="E7" s="20">
        <v>29</v>
      </c>
      <c r="F7" s="20">
        <v>30</v>
      </c>
      <c r="G7" s="20">
        <v>31</v>
      </c>
      <c r="H7" s="20">
        <v>32</v>
      </c>
      <c r="I7" s="20">
        <v>33</v>
      </c>
      <c r="J7" s="20">
        <v>34</v>
      </c>
      <c r="K7" s="20">
        <v>35</v>
      </c>
      <c r="L7" s="20">
        <v>36</v>
      </c>
      <c r="M7" s="20">
        <v>37</v>
      </c>
      <c r="N7" s="20">
        <v>38</v>
      </c>
      <c r="O7" s="20">
        <v>39</v>
      </c>
      <c r="BH7" s="20">
        <v>27</v>
      </c>
      <c r="BI7" s="20">
        <v>36</v>
      </c>
      <c r="BJ7" s="20">
        <v>39</v>
      </c>
      <c r="BK7" s="20" t="s">
        <v>4</v>
      </c>
      <c r="BO7" s="20">
        <f t="shared" si="1"/>
        <v>1</v>
      </c>
      <c r="BP7" s="20">
        <f t="shared" si="1"/>
        <v>0</v>
      </c>
      <c r="BQ7" s="20">
        <f t="shared" si="1"/>
        <v>0</v>
      </c>
      <c r="BR7" s="20">
        <f t="shared" si="1"/>
        <v>0</v>
      </c>
    </row>
    <row r="8" spans="1:71" x14ac:dyDescent="0.25">
      <c r="A8" s="22" t="s">
        <v>19</v>
      </c>
      <c r="B8" s="23">
        <f t="shared" si="0"/>
        <v>3</v>
      </c>
      <c r="C8" s="20">
        <v>23</v>
      </c>
      <c r="D8" s="20">
        <v>24</v>
      </c>
      <c r="E8" s="20">
        <v>26</v>
      </c>
      <c r="BH8" s="20"/>
      <c r="BI8" s="20"/>
      <c r="BJ8" s="20"/>
      <c r="BK8" s="20" t="s">
        <v>4</v>
      </c>
      <c r="BO8" s="20">
        <f t="shared" si="1"/>
        <v>1</v>
      </c>
      <c r="BP8" s="20">
        <f t="shared" si="1"/>
        <v>0</v>
      </c>
      <c r="BQ8" s="20">
        <f t="shared" si="1"/>
        <v>0</v>
      </c>
      <c r="BR8" s="20">
        <f t="shared" si="1"/>
        <v>0</v>
      </c>
    </row>
    <row r="9" spans="1:71" x14ac:dyDescent="0.25">
      <c r="A9" s="22" t="s">
        <v>21</v>
      </c>
      <c r="B9" s="23">
        <f t="shared" si="0"/>
        <v>13</v>
      </c>
      <c r="C9" s="20">
        <v>36</v>
      </c>
      <c r="D9" s="20">
        <v>37</v>
      </c>
      <c r="E9" s="20">
        <v>38</v>
      </c>
      <c r="F9" s="20">
        <v>39</v>
      </c>
      <c r="G9" s="20">
        <v>40</v>
      </c>
      <c r="H9" s="20">
        <v>41</v>
      </c>
      <c r="I9" s="20">
        <v>42</v>
      </c>
      <c r="J9" s="20">
        <v>43</v>
      </c>
      <c r="K9" s="20">
        <v>44</v>
      </c>
      <c r="L9" s="20">
        <v>45</v>
      </c>
      <c r="M9" s="20">
        <v>46</v>
      </c>
      <c r="N9" s="20">
        <v>47</v>
      </c>
      <c r="O9" s="20">
        <v>48</v>
      </c>
      <c r="BH9" s="20">
        <v>36</v>
      </c>
      <c r="BI9" s="20">
        <v>43</v>
      </c>
      <c r="BJ9" s="20">
        <v>48</v>
      </c>
      <c r="BK9" s="20" t="s">
        <v>4</v>
      </c>
      <c r="BO9" s="20">
        <f t="shared" si="1"/>
        <v>1</v>
      </c>
      <c r="BP9" s="20">
        <f t="shared" si="1"/>
        <v>0</v>
      </c>
      <c r="BQ9" s="20">
        <f t="shared" si="1"/>
        <v>0</v>
      </c>
      <c r="BR9" s="20">
        <f t="shared" si="1"/>
        <v>0</v>
      </c>
    </row>
    <row r="10" spans="1:71" x14ac:dyDescent="0.25">
      <c r="A10" s="22" t="s">
        <v>22</v>
      </c>
      <c r="B10" s="23">
        <f t="shared" si="0"/>
        <v>13</v>
      </c>
      <c r="C10" s="20">
        <v>45</v>
      </c>
      <c r="D10" s="20">
        <v>46</v>
      </c>
      <c r="E10" s="20">
        <v>47</v>
      </c>
      <c r="F10" s="20">
        <v>48</v>
      </c>
      <c r="G10" s="20">
        <v>49</v>
      </c>
      <c r="H10" s="20">
        <v>50</v>
      </c>
      <c r="I10" s="20">
        <v>51</v>
      </c>
      <c r="J10" s="20">
        <v>52</v>
      </c>
      <c r="K10" s="20">
        <v>53</v>
      </c>
      <c r="L10" s="20">
        <v>54</v>
      </c>
      <c r="M10" s="20">
        <v>55</v>
      </c>
      <c r="N10" s="20">
        <v>56</v>
      </c>
      <c r="O10" s="20">
        <v>57</v>
      </c>
      <c r="BH10" s="20">
        <v>45</v>
      </c>
      <c r="BI10" s="20">
        <v>51</v>
      </c>
      <c r="BJ10" s="20">
        <v>57</v>
      </c>
      <c r="BK10" s="20" t="s">
        <v>4</v>
      </c>
      <c r="BO10" s="20">
        <f t="shared" si="1"/>
        <v>1</v>
      </c>
      <c r="BP10" s="20">
        <f t="shared" si="1"/>
        <v>0</v>
      </c>
      <c r="BQ10" s="20">
        <f t="shared" si="1"/>
        <v>0</v>
      </c>
      <c r="BR10" s="20">
        <f t="shared" si="1"/>
        <v>0</v>
      </c>
    </row>
    <row r="11" spans="1:71" x14ac:dyDescent="0.25">
      <c r="A11" s="22" t="s">
        <v>23</v>
      </c>
      <c r="B11" s="23">
        <f t="shared" si="0"/>
        <v>26</v>
      </c>
      <c r="C11" s="20">
        <v>1</v>
      </c>
      <c r="D11" s="20">
        <v>2</v>
      </c>
      <c r="E11" s="20">
        <v>3</v>
      </c>
      <c r="F11" s="20">
        <v>4</v>
      </c>
      <c r="G11" s="20">
        <v>5</v>
      </c>
      <c r="H11" s="20">
        <v>6</v>
      </c>
      <c r="I11" s="20">
        <v>7</v>
      </c>
      <c r="J11" s="20">
        <v>8</v>
      </c>
      <c r="K11" s="20">
        <v>9</v>
      </c>
      <c r="L11" s="20">
        <v>10</v>
      </c>
      <c r="M11" s="20">
        <v>11</v>
      </c>
      <c r="N11" s="20">
        <v>12</v>
      </c>
      <c r="O11" s="20">
        <v>13</v>
      </c>
      <c r="P11" s="20">
        <v>14</v>
      </c>
      <c r="Q11" s="20">
        <v>15</v>
      </c>
      <c r="R11" s="20">
        <v>16</v>
      </c>
      <c r="S11" s="20">
        <v>17</v>
      </c>
      <c r="T11" s="20">
        <v>18</v>
      </c>
      <c r="U11" s="20">
        <v>19</v>
      </c>
      <c r="V11" s="20">
        <v>20</v>
      </c>
      <c r="W11" s="20">
        <v>21</v>
      </c>
      <c r="X11" s="20">
        <v>22</v>
      </c>
      <c r="Y11" s="20">
        <v>23</v>
      </c>
      <c r="Z11" s="20">
        <v>24</v>
      </c>
      <c r="AA11" s="20">
        <v>25</v>
      </c>
      <c r="AB11" s="20">
        <v>26</v>
      </c>
      <c r="BH11" s="20">
        <v>1</v>
      </c>
      <c r="BI11" s="20">
        <v>17</v>
      </c>
      <c r="BJ11" s="20">
        <v>26</v>
      </c>
      <c r="BK11" s="20" t="s">
        <v>4</v>
      </c>
      <c r="BO11" s="20">
        <f t="shared" si="1"/>
        <v>1</v>
      </c>
      <c r="BP11" s="20">
        <f t="shared" si="1"/>
        <v>0</v>
      </c>
      <c r="BQ11" s="20">
        <f t="shared" si="1"/>
        <v>0</v>
      </c>
      <c r="BR11" s="20">
        <f t="shared" si="1"/>
        <v>0</v>
      </c>
    </row>
    <row r="12" spans="1:71" x14ac:dyDescent="0.25">
      <c r="A12" s="22" t="s">
        <v>24</v>
      </c>
      <c r="B12" s="23">
        <f t="shared" si="0"/>
        <v>7</v>
      </c>
      <c r="C12" s="20">
        <v>9</v>
      </c>
      <c r="D12" s="20">
        <v>10</v>
      </c>
      <c r="E12" s="20">
        <v>11</v>
      </c>
      <c r="F12" s="20">
        <v>12</v>
      </c>
      <c r="G12" s="20">
        <v>13</v>
      </c>
      <c r="H12" s="20">
        <v>14</v>
      </c>
      <c r="I12" s="20">
        <v>15</v>
      </c>
      <c r="BH12" s="20">
        <v>9</v>
      </c>
      <c r="BI12" s="20">
        <v>12</v>
      </c>
      <c r="BJ12" s="20">
        <v>15</v>
      </c>
      <c r="BK12" s="20" t="s">
        <v>2</v>
      </c>
      <c r="BL12" s="20" t="s">
        <v>3</v>
      </c>
      <c r="BO12" s="20">
        <f t="shared" si="1"/>
        <v>0</v>
      </c>
      <c r="BP12" s="20">
        <f t="shared" si="1"/>
        <v>0</v>
      </c>
      <c r="BQ12" s="20">
        <f t="shared" si="1"/>
        <v>1</v>
      </c>
      <c r="BR12" s="20">
        <f t="shared" si="1"/>
        <v>1</v>
      </c>
    </row>
    <row r="13" spans="1:71" x14ac:dyDescent="0.25">
      <c r="A13" s="22" t="s">
        <v>25</v>
      </c>
      <c r="B13" s="23">
        <f t="shared" si="0"/>
        <v>7</v>
      </c>
      <c r="C13" s="20">
        <v>16</v>
      </c>
      <c r="D13" s="20">
        <v>17</v>
      </c>
      <c r="E13" s="20">
        <v>18</v>
      </c>
      <c r="F13" s="20">
        <v>19</v>
      </c>
      <c r="G13" s="20">
        <v>20</v>
      </c>
      <c r="H13" s="20">
        <v>21</v>
      </c>
      <c r="I13" s="20">
        <v>22</v>
      </c>
      <c r="BH13" s="20">
        <v>16</v>
      </c>
      <c r="BI13" s="20">
        <v>19</v>
      </c>
      <c r="BJ13" s="20">
        <v>22</v>
      </c>
      <c r="BK13" s="20" t="s">
        <v>2</v>
      </c>
      <c r="BL13" s="20" t="s">
        <v>3</v>
      </c>
      <c r="BO13" s="20">
        <f t="shared" si="1"/>
        <v>0</v>
      </c>
      <c r="BP13" s="20">
        <f t="shared" si="1"/>
        <v>0</v>
      </c>
      <c r="BQ13" s="20">
        <f t="shared" si="1"/>
        <v>1</v>
      </c>
      <c r="BR13" s="20">
        <f t="shared" si="1"/>
        <v>1</v>
      </c>
    </row>
    <row r="14" spans="1:71" x14ac:dyDescent="0.25">
      <c r="A14" s="22" t="s">
        <v>26</v>
      </c>
      <c r="B14" s="23">
        <f t="shared" si="0"/>
        <v>8</v>
      </c>
      <c r="C14" s="20">
        <v>1</v>
      </c>
      <c r="D14" s="20">
        <v>2</v>
      </c>
      <c r="E14" s="20">
        <v>3</v>
      </c>
      <c r="F14" s="20">
        <v>4</v>
      </c>
      <c r="G14" s="20">
        <v>5</v>
      </c>
      <c r="H14" s="20">
        <v>6</v>
      </c>
      <c r="I14" s="20">
        <v>7</v>
      </c>
      <c r="J14" s="20">
        <v>8</v>
      </c>
      <c r="BH14" s="20"/>
      <c r="BI14" s="20"/>
      <c r="BJ14" s="20"/>
      <c r="BK14" s="20" t="s">
        <v>4</v>
      </c>
      <c r="BL14" s="20" t="s">
        <v>5</v>
      </c>
      <c r="BO14" s="20">
        <f t="shared" si="1"/>
        <v>1</v>
      </c>
      <c r="BP14" s="20">
        <f t="shared" si="1"/>
        <v>1</v>
      </c>
      <c r="BQ14" s="20">
        <f t="shared" si="1"/>
        <v>0</v>
      </c>
      <c r="BR14" s="20">
        <f t="shared" si="1"/>
        <v>0</v>
      </c>
    </row>
    <row r="15" spans="1:71" x14ac:dyDescent="0.25">
      <c r="A15" s="22" t="s">
        <v>27</v>
      </c>
      <c r="B15" s="23">
        <f t="shared" si="0"/>
        <v>5</v>
      </c>
      <c r="C15" s="20">
        <v>19</v>
      </c>
      <c r="D15" s="20">
        <v>20</v>
      </c>
      <c r="E15" s="20">
        <v>21</v>
      </c>
      <c r="F15" s="20">
        <v>22</v>
      </c>
      <c r="G15" s="20">
        <v>23</v>
      </c>
      <c r="BH15" s="20"/>
      <c r="BI15" s="20"/>
      <c r="BJ15" s="20"/>
      <c r="BK15" s="20" t="s">
        <v>4</v>
      </c>
      <c r="BL15" s="20" t="s">
        <v>5</v>
      </c>
      <c r="BO15" s="20">
        <f t="shared" si="1"/>
        <v>1</v>
      </c>
      <c r="BP15" s="20">
        <f t="shared" si="1"/>
        <v>1</v>
      </c>
      <c r="BQ15" s="20">
        <f t="shared" si="1"/>
        <v>0</v>
      </c>
      <c r="BR15" s="20">
        <f t="shared" si="1"/>
        <v>0</v>
      </c>
    </row>
    <row r="16" spans="1:71" x14ac:dyDescent="0.25">
      <c r="A16" s="22" t="s">
        <v>28</v>
      </c>
      <c r="B16" s="23">
        <f t="shared" si="0"/>
        <v>11</v>
      </c>
      <c r="C16" s="20">
        <v>1</v>
      </c>
      <c r="D16" s="20">
        <v>2</v>
      </c>
      <c r="E16" s="20">
        <v>3</v>
      </c>
      <c r="F16" s="20">
        <v>4</v>
      </c>
      <c r="G16" s="20">
        <v>5</v>
      </c>
      <c r="H16" s="20">
        <v>6</v>
      </c>
      <c r="I16" s="20">
        <v>7</v>
      </c>
      <c r="J16" s="20">
        <v>8</v>
      </c>
      <c r="K16" s="20">
        <v>9</v>
      </c>
      <c r="L16" s="20">
        <v>10</v>
      </c>
      <c r="M16" s="20">
        <v>11</v>
      </c>
      <c r="BH16" s="20"/>
      <c r="BI16" s="20"/>
      <c r="BJ16" s="20"/>
      <c r="BK16" s="20" t="s">
        <v>4</v>
      </c>
      <c r="BL16" s="20" t="s">
        <v>5</v>
      </c>
      <c r="BO16" s="20">
        <f t="shared" si="1"/>
        <v>1</v>
      </c>
      <c r="BP16" s="20">
        <f t="shared" si="1"/>
        <v>1</v>
      </c>
      <c r="BQ16" s="20">
        <f t="shared" si="1"/>
        <v>0</v>
      </c>
      <c r="BR16" s="20">
        <f t="shared" si="1"/>
        <v>0</v>
      </c>
    </row>
    <row r="17" spans="1:71" x14ac:dyDescent="0.25">
      <c r="A17" s="21" t="s">
        <v>141</v>
      </c>
      <c r="B17" s="23">
        <f>IF(A17="","",COUNTA(C17:BG17))</f>
        <v>4</v>
      </c>
      <c r="C17" s="20">
        <v>1</v>
      </c>
      <c r="D17" s="20">
        <v>2</v>
      </c>
      <c r="E17" s="20">
        <v>3</v>
      </c>
      <c r="F17" s="20">
        <v>4</v>
      </c>
      <c r="BK17" s="20" t="s">
        <v>4</v>
      </c>
      <c r="BL17" s="20" t="s">
        <v>5</v>
      </c>
      <c r="BO17" s="20">
        <f>COUNTIF($BK17:$BN17,BO$1)</f>
        <v>1</v>
      </c>
      <c r="BP17" s="20">
        <f>COUNTIF($BK17:$BN17,BP$1)</f>
        <v>1</v>
      </c>
      <c r="BQ17" s="20">
        <f>COUNTIF($BK17:$BN17,BQ$1)</f>
        <v>0</v>
      </c>
      <c r="BR17" s="20">
        <f>COUNTIF($BK17:$BN17,BR$1)</f>
        <v>0</v>
      </c>
    </row>
    <row r="18" spans="1:71" x14ac:dyDescent="0.25">
      <c r="A18" s="22" t="s">
        <v>90</v>
      </c>
      <c r="B18" s="23">
        <f>IF(A18="","",COUNTA(C18:BE18))</f>
        <v>11</v>
      </c>
      <c r="C18" s="20">
        <v>1</v>
      </c>
      <c r="D18" s="20">
        <v>2</v>
      </c>
      <c r="E18" s="20">
        <v>3</v>
      </c>
      <c r="F18" s="20">
        <v>4</v>
      </c>
      <c r="G18" s="20">
        <v>5</v>
      </c>
      <c r="H18" s="20">
        <v>6</v>
      </c>
      <c r="I18" s="20">
        <v>7</v>
      </c>
      <c r="J18" s="20">
        <v>8</v>
      </c>
      <c r="K18" s="20">
        <v>9</v>
      </c>
      <c r="L18" s="20">
        <v>10</v>
      </c>
      <c r="M18" s="21">
        <v>11</v>
      </c>
      <c r="BF18" s="20"/>
      <c r="BG18" s="20"/>
      <c r="BH18" s="20"/>
      <c r="BK18" s="20" t="s">
        <v>2</v>
      </c>
      <c r="BL18" s="20" t="s">
        <v>3</v>
      </c>
      <c r="BO18" s="20">
        <f t="shared" ref="BO18:BR18" si="2">COUNTIF($BK18:$BN18,BO$1)</f>
        <v>0</v>
      </c>
      <c r="BP18" s="20">
        <f t="shared" si="2"/>
        <v>0</v>
      </c>
      <c r="BQ18" s="20">
        <f t="shared" si="2"/>
        <v>1</v>
      </c>
      <c r="BR18" s="20">
        <f t="shared" si="2"/>
        <v>1</v>
      </c>
    </row>
    <row r="19" spans="1:71" x14ac:dyDescent="0.25">
      <c r="A19" s="22" t="s">
        <v>31</v>
      </c>
      <c r="B19" s="23">
        <f t="shared" si="0"/>
        <v>13</v>
      </c>
      <c r="C19" s="20">
        <v>27</v>
      </c>
      <c r="D19" s="20">
        <v>28</v>
      </c>
      <c r="E19" s="20">
        <v>29</v>
      </c>
      <c r="F19" s="20">
        <v>30</v>
      </c>
      <c r="G19" s="20">
        <v>31</v>
      </c>
      <c r="H19" s="20">
        <v>32</v>
      </c>
      <c r="I19" s="20">
        <v>33</v>
      </c>
      <c r="J19" s="20">
        <v>34</v>
      </c>
      <c r="K19" s="20">
        <v>35</v>
      </c>
      <c r="L19" s="20">
        <v>36</v>
      </c>
      <c r="M19" s="20">
        <v>37</v>
      </c>
      <c r="N19" s="20">
        <v>38</v>
      </c>
      <c r="O19" s="20">
        <v>39</v>
      </c>
      <c r="BH19" s="20">
        <v>27</v>
      </c>
      <c r="BI19" s="20">
        <v>36</v>
      </c>
      <c r="BJ19" s="20">
        <v>39</v>
      </c>
      <c r="BK19" s="20" t="s">
        <v>4</v>
      </c>
      <c r="BO19" s="20">
        <f t="shared" ref="BO19:BR34" si="3">COUNTIF($BK19:$BN19,BO$1)</f>
        <v>1</v>
      </c>
      <c r="BP19" s="20">
        <f t="shared" si="3"/>
        <v>0</v>
      </c>
      <c r="BQ19" s="20">
        <f t="shared" si="3"/>
        <v>0</v>
      </c>
      <c r="BR19" s="20">
        <f t="shared" si="3"/>
        <v>0</v>
      </c>
    </row>
    <row r="20" spans="1:71" x14ac:dyDescent="0.25">
      <c r="A20" s="22" t="s">
        <v>32</v>
      </c>
      <c r="B20" s="23">
        <f t="shared" si="0"/>
        <v>7</v>
      </c>
      <c r="C20" s="20">
        <v>23</v>
      </c>
      <c r="D20" s="20">
        <v>24</v>
      </c>
      <c r="E20" s="20">
        <v>26</v>
      </c>
      <c r="F20" s="20">
        <v>27</v>
      </c>
      <c r="G20" s="20">
        <v>28</v>
      </c>
      <c r="H20" s="20">
        <v>29</v>
      </c>
      <c r="I20" s="20">
        <v>30</v>
      </c>
      <c r="BH20" s="20">
        <v>23</v>
      </c>
      <c r="BI20" s="20">
        <v>26</v>
      </c>
      <c r="BJ20" s="20">
        <v>30</v>
      </c>
      <c r="BK20" s="20" t="s">
        <v>4</v>
      </c>
      <c r="BO20" s="20">
        <f t="shared" si="3"/>
        <v>1</v>
      </c>
      <c r="BP20" s="20">
        <f t="shared" si="3"/>
        <v>0</v>
      </c>
      <c r="BQ20" s="20">
        <f t="shared" si="3"/>
        <v>0</v>
      </c>
      <c r="BR20" s="20">
        <f t="shared" si="3"/>
        <v>0</v>
      </c>
    </row>
    <row r="21" spans="1:71" x14ac:dyDescent="0.25">
      <c r="A21" s="22" t="s">
        <v>33</v>
      </c>
      <c r="B21" s="23">
        <f t="shared" si="0"/>
        <v>3</v>
      </c>
      <c r="C21" s="20">
        <v>23</v>
      </c>
      <c r="D21" s="20">
        <v>24</v>
      </c>
      <c r="E21" s="20">
        <v>26</v>
      </c>
      <c r="BH21" s="20"/>
      <c r="BI21" s="20"/>
      <c r="BJ21" s="20"/>
      <c r="BK21" s="20" t="s">
        <v>4</v>
      </c>
      <c r="BO21" s="20">
        <f t="shared" si="3"/>
        <v>1</v>
      </c>
      <c r="BP21" s="20">
        <f t="shared" si="3"/>
        <v>0</v>
      </c>
      <c r="BQ21" s="20">
        <f t="shared" si="3"/>
        <v>0</v>
      </c>
      <c r="BR21" s="20">
        <f t="shared" si="3"/>
        <v>0</v>
      </c>
    </row>
    <row r="22" spans="1:71" x14ac:dyDescent="0.25">
      <c r="A22" s="22" t="s">
        <v>34</v>
      </c>
      <c r="B22" s="23">
        <f t="shared" si="0"/>
        <v>13</v>
      </c>
      <c r="C22" s="20">
        <v>36</v>
      </c>
      <c r="D22" s="20">
        <v>37</v>
      </c>
      <c r="E22" s="20">
        <v>38</v>
      </c>
      <c r="F22" s="20">
        <v>39</v>
      </c>
      <c r="G22" s="20">
        <v>40</v>
      </c>
      <c r="H22" s="20">
        <v>41</v>
      </c>
      <c r="I22" s="20">
        <v>42</v>
      </c>
      <c r="J22" s="20">
        <v>43</v>
      </c>
      <c r="K22" s="20">
        <v>44</v>
      </c>
      <c r="L22" s="20">
        <v>45</v>
      </c>
      <c r="M22" s="20">
        <v>46</v>
      </c>
      <c r="N22" s="20">
        <v>47</v>
      </c>
      <c r="O22" s="20">
        <v>48</v>
      </c>
      <c r="BH22" s="20">
        <v>36</v>
      </c>
      <c r="BI22" s="20">
        <v>43</v>
      </c>
      <c r="BJ22" s="20">
        <v>48</v>
      </c>
      <c r="BK22" s="20" t="s">
        <v>4</v>
      </c>
      <c r="BO22" s="20">
        <f t="shared" si="3"/>
        <v>1</v>
      </c>
      <c r="BP22" s="20">
        <f t="shared" si="3"/>
        <v>0</v>
      </c>
      <c r="BQ22" s="20">
        <f t="shared" si="3"/>
        <v>0</v>
      </c>
      <c r="BR22" s="20">
        <f t="shared" si="3"/>
        <v>0</v>
      </c>
    </row>
    <row r="23" spans="1:71" x14ac:dyDescent="0.25">
      <c r="A23" s="22" t="s">
        <v>35</v>
      </c>
      <c r="B23" s="23">
        <f t="shared" si="0"/>
        <v>16</v>
      </c>
      <c r="C23" s="20">
        <v>33</v>
      </c>
      <c r="D23" s="20">
        <v>34</v>
      </c>
      <c r="E23" s="20">
        <v>35</v>
      </c>
      <c r="F23" s="20">
        <v>36</v>
      </c>
      <c r="G23" s="20">
        <v>37</v>
      </c>
      <c r="H23" s="20">
        <v>38</v>
      </c>
      <c r="I23" s="20">
        <v>39</v>
      </c>
      <c r="J23" s="20">
        <v>40</v>
      </c>
      <c r="K23" s="20">
        <v>41</v>
      </c>
      <c r="L23" s="20">
        <v>42</v>
      </c>
      <c r="M23" s="20">
        <v>43</v>
      </c>
      <c r="N23" s="20">
        <v>44</v>
      </c>
      <c r="O23" s="20">
        <v>45</v>
      </c>
      <c r="P23" s="20">
        <v>46</v>
      </c>
      <c r="Q23" s="20">
        <v>47</v>
      </c>
      <c r="R23" s="20">
        <v>48</v>
      </c>
      <c r="BH23" s="20">
        <v>33</v>
      </c>
      <c r="BI23" s="20">
        <v>43</v>
      </c>
      <c r="BJ23" s="20">
        <v>48</v>
      </c>
      <c r="BK23" s="20" t="s">
        <v>4</v>
      </c>
      <c r="BO23" s="20">
        <f t="shared" si="3"/>
        <v>1</v>
      </c>
      <c r="BP23" s="20">
        <f t="shared" si="3"/>
        <v>0</v>
      </c>
      <c r="BQ23" s="20">
        <f t="shared" si="3"/>
        <v>0</v>
      </c>
      <c r="BR23" s="20">
        <f t="shared" si="3"/>
        <v>0</v>
      </c>
    </row>
    <row r="24" spans="1:71" x14ac:dyDescent="0.25">
      <c r="A24" s="22" t="s">
        <v>36</v>
      </c>
      <c r="B24" s="23">
        <f t="shared" si="0"/>
        <v>13</v>
      </c>
      <c r="C24" s="20">
        <v>36</v>
      </c>
      <c r="D24" s="20">
        <v>37</v>
      </c>
      <c r="E24" s="20">
        <v>38</v>
      </c>
      <c r="F24" s="20">
        <v>39</v>
      </c>
      <c r="G24" s="20">
        <v>40</v>
      </c>
      <c r="H24" s="20">
        <v>41</v>
      </c>
      <c r="I24" s="20">
        <v>42</v>
      </c>
      <c r="J24" s="20">
        <v>43</v>
      </c>
      <c r="K24" s="20">
        <v>44</v>
      </c>
      <c r="L24" s="20">
        <v>45</v>
      </c>
      <c r="M24" s="20">
        <v>46</v>
      </c>
      <c r="N24" s="20">
        <v>47</v>
      </c>
      <c r="O24" s="20">
        <v>48</v>
      </c>
      <c r="BH24" s="20">
        <v>36</v>
      </c>
      <c r="BI24" s="20">
        <v>43</v>
      </c>
      <c r="BJ24" s="20">
        <v>48</v>
      </c>
      <c r="BK24" s="20" t="s">
        <v>4</v>
      </c>
      <c r="BO24" s="20">
        <f t="shared" si="3"/>
        <v>1</v>
      </c>
      <c r="BP24" s="20">
        <f t="shared" si="3"/>
        <v>0</v>
      </c>
      <c r="BQ24" s="20">
        <f t="shared" si="3"/>
        <v>0</v>
      </c>
      <c r="BR24" s="20">
        <f t="shared" si="3"/>
        <v>0</v>
      </c>
    </row>
    <row r="25" spans="1:71" x14ac:dyDescent="0.25">
      <c r="A25" s="22" t="s">
        <v>37</v>
      </c>
      <c r="B25" s="23">
        <f t="shared" si="0"/>
        <v>13</v>
      </c>
      <c r="C25" s="20">
        <v>45</v>
      </c>
      <c r="D25" s="20">
        <v>46</v>
      </c>
      <c r="E25" s="20">
        <v>47</v>
      </c>
      <c r="F25" s="20">
        <v>48</v>
      </c>
      <c r="G25" s="20">
        <v>49</v>
      </c>
      <c r="H25" s="20">
        <v>50</v>
      </c>
      <c r="I25" s="20">
        <v>51</v>
      </c>
      <c r="J25" s="20">
        <v>52</v>
      </c>
      <c r="K25" s="20">
        <v>53</v>
      </c>
      <c r="L25" s="20">
        <v>54</v>
      </c>
      <c r="M25" s="20">
        <v>55</v>
      </c>
      <c r="N25" s="20">
        <v>56</v>
      </c>
      <c r="O25" s="20">
        <v>57</v>
      </c>
      <c r="BH25" s="20">
        <v>45</v>
      </c>
      <c r="BI25" s="20">
        <v>51</v>
      </c>
      <c r="BJ25" s="20">
        <v>57</v>
      </c>
      <c r="BK25" s="20" t="s">
        <v>4</v>
      </c>
      <c r="BO25" s="20">
        <f t="shared" si="3"/>
        <v>1</v>
      </c>
      <c r="BP25" s="20">
        <f t="shared" si="3"/>
        <v>0</v>
      </c>
      <c r="BQ25" s="20">
        <f t="shared" si="3"/>
        <v>0</v>
      </c>
      <c r="BR25" s="20">
        <f t="shared" si="3"/>
        <v>0</v>
      </c>
    </row>
    <row r="26" spans="1:71" x14ac:dyDescent="0.25">
      <c r="A26" s="22" t="s">
        <v>38</v>
      </c>
      <c r="B26" s="23">
        <f t="shared" si="0"/>
        <v>13</v>
      </c>
      <c r="C26" s="20">
        <v>45</v>
      </c>
      <c r="D26" s="20">
        <v>46</v>
      </c>
      <c r="E26" s="20">
        <v>47</v>
      </c>
      <c r="F26" s="20">
        <v>48</v>
      </c>
      <c r="G26" s="20">
        <v>49</v>
      </c>
      <c r="H26" s="20">
        <v>50</v>
      </c>
      <c r="I26" s="20">
        <v>51</v>
      </c>
      <c r="J26" s="20">
        <v>52</v>
      </c>
      <c r="K26" s="20">
        <v>53</v>
      </c>
      <c r="L26" s="20">
        <v>54</v>
      </c>
      <c r="M26" s="20">
        <v>55</v>
      </c>
      <c r="N26" s="20">
        <v>56</v>
      </c>
      <c r="O26" s="20">
        <v>57</v>
      </c>
      <c r="BH26" s="20">
        <v>45</v>
      </c>
      <c r="BI26" s="20">
        <v>51</v>
      </c>
      <c r="BJ26" s="20">
        <v>57</v>
      </c>
      <c r="BK26" s="20" t="s">
        <v>4</v>
      </c>
      <c r="BO26" s="20">
        <f t="shared" si="3"/>
        <v>1</v>
      </c>
      <c r="BP26" s="20">
        <f t="shared" si="3"/>
        <v>0</v>
      </c>
      <c r="BQ26" s="20">
        <f t="shared" si="3"/>
        <v>0</v>
      </c>
      <c r="BR26" s="20">
        <f t="shared" si="3"/>
        <v>0</v>
      </c>
    </row>
    <row r="27" spans="1:71" x14ac:dyDescent="0.25">
      <c r="A27" s="22" t="s">
        <v>39</v>
      </c>
      <c r="B27" s="23">
        <f t="shared" si="0"/>
        <v>26</v>
      </c>
      <c r="C27" s="20">
        <v>1</v>
      </c>
      <c r="D27" s="20">
        <v>2</v>
      </c>
      <c r="E27" s="20">
        <v>3</v>
      </c>
      <c r="F27" s="20">
        <v>4</v>
      </c>
      <c r="G27" s="20">
        <v>5</v>
      </c>
      <c r="H27" s="20">
        <v>6</v>
      </c>
      <c r="I27" s="20">
        <v>7</v>
      </c>
      <c r="J27" s="20">
        <v>8</v>
      </c>
      <c r="K27" s="20">
        <v>9</v>
      </c>
      <c r="L27" s="20">
        <v>10</v>
      </c>
      <c r="M27" s="20">
        <v>11</v>
      </c>
      <c r="N27" s="20">
        <v>12</v>
      </c>
      <c r="O27" s="20">
        <v>13</v>
      </c>
      <c r="P27" s="20">
        <v>14</v>
      </c>
      <c r="Q27" s="20">
        <v>15</v>
      </c>
      <c r="R27" s="20">
        <v>16</v>
      </c>
      <c r="S27" s="20">
        <v>17</v>
      </c>
      <c r="T27" s="20">
        <v>18</v>
      </c>
      <c r="U27" s="20">
        <v>19</v>
      </c>
      <c r="V27" s="20">
        <v>20</v>
      </c>
      <c r="W27" s="20">
        <v>21</v>
      </c>
      <c r="X27" s="20">
        <v>22</v>
      </c>
      <c r="Y27" s="20">
        <v>23</v>
      </c>
      <c r="Z27" s="20">
        <v>24</v>
      </c>
      <c r="AA27" s="20">
        <v>25</v>
      </c>
      <c r="AB27" s="20">
        <v>26</v>
      </c>
      <c r="BH27" s="20">
        <v>1</v>
      </c>
      <c r="BI27" s="20">
        <v>17</v>
      </c>
      <c r="BJ27" s="20">
        <v>26</v>
      </c>
      <c r="BK27" s="20" t="s">
        <v>4</v>
      </c>
      <c r="BO27" s="20">
        <f t="shared" si="3"/>
        <v>1</v>
      </c>
      <c r="BP27" s="20">
        <f t="shared" si="3"/>
        <v>0</v>
      </c>
      <c r="BQ27" s="20">
        <f t="shared" si="3"/>
        <v>0</v>
      </c>
      <c r="BR27" s="20">
        <f t="shared" si="3"/>
        <v>0</v>
      </c>
    </row>
    <row r="28" spans="1:71" x14ac:dyDescent="0.25">
      <c r="A28" s="22" t="s">
        <v>40</v>
      </c>
      <c r="B28" s="23">
        <f t="shared" si="0"/>
        <v>4</v>
      </c>
      <c r="C28" s="20">
        <v>3</v>
      </c>
      <c r="D28" s="20">
        <v>4</v>
      </c>
      <c r="E28" s="20">
        <v>5</v>
      </c>
      <c r="F28" s="20">
        <v>6</v>
      </c>
      <c r="G28" s="20"/>
      <c r="BH28" s="20"/>
      <c r="BI28" s="20"/>
      <c r="BJ28" s="20"/>
      <c r="BK28" s="20" t="s">
        <v>2</v>
      </c>
      <c r="BL28" s="20" t="s">
        <v>3</v>
      </c>
      <c r="BO28" s="20">
        <f t="shared" si="3"/>
        <v>0</v>
      </c>
      <c r="BP28" s="20">
        <f t="shared" si="3"/>
        <v>0</v>
      </c>
      <c r="BQ28" s="20">
        <f t="shared" si="3"/>
        <v>1</v>
      </c>
      <c r="BR28" s="20">
        <f t="shared" si="3"/>
        <v>1</v>
      </c>
      <c r="BS28" s="130" t="s">
        <v>133</v>
      </c>
    </row>
    <row r="29" spans="1:71" x14ac:dyDescent="0.25">
      <c r="A29" s="24" t="s">
        <v>41</v>
      </c>
      <c r="B29" s="23">
        <f t="shared" si="0"/>
        <v>10</v>
      </c>
      <c r="C29" s="20">
        <v>3</v>
      </c>
      <c r="D29" s="20">
        <v>4</v>
      </c>
      <c r="E29" s="20">
        <v>5</v>
      </c>
      <c r="F29" s="20">
        <v>6</v>
      </c>
      <c r="G29" s="20">
        <v>7</v>
      </c>
      <c r="H29" s="20">
        <v>8</v>
      </c>
      <c r="I29" s="20">
        <v>9</v>
      </c>
      <c r="J29" s="20">
        <v>10</v>
      </c>
      <c r="K29" s="20">
        <v>11</v>
      </c>
      <c r="L29" s="20">
        <v>12</v>
      </c>
      <c r="M29" s="20"/>
      <c r="N29" s="20"/>
      <c r="BH29" s="20">
        <v>3</v>
      </c>
      <c r="BI29" s="20">
        <v>6</v>
      </c>
      <c r="BJ29" s="20">
        <v>12</v>
      </c>
      <c r="BK29" s="20" t="s">
        <v>2</v>
      </c>
      <c r="BL29" s="20" t="s">
        <v>3</v>
      </c>
      <c r="BO29" s="20">
        <f t="shared" si="3"/>
        <v>0</v>
      </c>
      <c r="BP29" s="20">
        <f t="shared" si="3"/>
        <v>0</v>
      </c>
      <c r="BQ29" s="20">
        <f t="shared" si="3"/>
        <v>1</v>
      </c>
      <c r="BR29" s="20">
        <f t="shared" si="3"/>
        <v>1</v>
      </c>
      <c r="BS29" s="130" t="s">
        <v>133</v>
      </c>
    </row>
    <row r="30" spans="1:71" x14ac:dyDescent="0.25">
      <c r="A30" s="24" t="s">
        <v>42</v>
      </c>
      <c r="B30" s="23">
        <f t="shared" si="0"/>
        <v>13</v>
      </c>
      <c r="C30" s="20">
        <v>9</v>
      </c>
      <c r="D30" s="20">
        <v>10</v>
      </c>
      <c r="E30" s="20">
        <v>11</v>
      </c>
      <c r="F30" s="20">
        <v>12</v>
      </c>
      <c r="G30" s="20">
        <v>13</v>
      </c>
      <c r="H30" s="20">
        <v>14</v>
      </c>
      <c r="I30" s="20">
        <v>15</v>
      </c>
      <c r="J30" s="20">
        <v>16</v>
      </c>
      <c r="K30" s="20">
        <v>17</v>
      </c>
      <c r="L30" s="20">
        <v>18</v>
      </c>
      <c r="M30" s="20">
        <v>19</v>
      </c>
      <c r="N30" s="20">
        <v>20</v>
      </c>
      <c r="O30" s="20">
        <v>21</v>
      </c>
      <c r="BH30" s="20">
        <v>9</v>
      </c>
      <c r="BI30" s="20">
        <v>15</v>
      </c>
      <c r="BJ30" s="20">
        <v>21</v>
      </c>
      <c r="BK30" s="20" t="s">
        <v>2</v>
      </c>
      <c r="BL30" s="20" t="s">
        <v>3</v>
      </c>
      <c r="BO30" s="20">
        <f t="shared" si="3"/>
        <v>0</v>
      </c>
      <c r="BP30" s="20">
        <f t="shared" si="3"/>
        <v>0</v>
      </c>
      <c r="BQ30" s="20">
        <f t="shared" si="3"/>
        <v>1</v>
      </c>
      <c r="BR30" s="20">
        <f t="shared" si="3"/>
        <v>1</v>
      </c>
    </row>
    <row r="31" spans="1:71" x14ac:dyDescent="0.25">
      <c r="A31" s="24" t="s">
        <v>43</v>
      </c>
      <c r="B31" s="23">
        <f t="shared" ref="B31:B61" si="4">IF(A31="","",COUNTA(C31:BG31))</f>
        <v>13</v>
      </c>
      <c r="C31" s="20">
        <v>18</v>
      </c>
      <c r="D31" s="20">
        <v>19</v>
      </c>
      <c r="E31" s="20">
        <v>20</v>
      </c>
      <c r="F31" s="20">
        <v>21</v>
      </c>
      <c r="G31" s="20">
        <v>22</v>
      </c>
      <c r="H31" s="20">
        <v>23</v>
      </c>
      <c r="I31" s="20">
        <v>24</v>
      </c>
      <c r="J31" s="20">
        <v>25</v>
      </c>
      <c r="K31" s="20">
        <v>26</v>
      </c>
      <c r="L31" s="20">
        <v>27</v>
      </c>
      <c r="M31" s="20">
        <v>28</v>
      </c>
      <c r="N31" s="20">
        <v>29</v>
      </c>
      <c r="O31" s="20">
        <v>30</v>
      </c>
      <c r="BH31" s="20">
        <v>18</v>
      </c>
      <c r="BI31" s="20">
        <v>24</v>
      </c>
      <c r="BJ31" s="20">
        <v>30</v>
      </c>
      <c r="BK31" s="20" t="s">
        <v>2</v>
      </c>
      <c r="BL31" s="20" t="s">
        <v>3</v>
      </c>
      <c r="BO31" s="20">
        <f t="shared" si="3"/>
        <v>0</v>
      </c>
      <c r="BP31" s="20">
        <f t="shared" si="3"/>
        <v>0</v>
      </c>
      <c r="BQ31" s="20">
        <f t="shared" si="3"/>
        <v>1</v>
      </c>
      <c r="BR31" s="20">
        <f t="shared" si="3"/>
        <v>1</v>
      </c>
    </row>
    <row r="32" spans="1:71" x14ac:dyDescent="0.25">
      <c r="A32" s="24" t="s">
        <v>44</v>
      </c>
      <c r="B32" s="23">
        <f t="shared" si="4"/>
        <v>13</v>
      </c>
      <c r="C32" s="20">
        <v>27</v>
      </c>
      <c r="D32" s="20">
        <v>28</v>
      </c>
      <c r="E32" s="20">
        <v>29</v>
      </c>
      <c r="F32" s="20">
        <v>30</v>
      </c>
      <c r="G32" s="20">
        <v>31</v>
      </c>
      <c r="H32" s="20">
        <v>32</v>
      </c>
      <c r="I32" s="20">
        <v>33</v>
      </c>
      <c r="J32" s="20">
        <v>34</v>
      </c>
      <c r="K32" s="20">
        <v>35</v>
      </c>
      <c r="L32" s="20">
        <v>36</v>
      </c>
      <c r="M32" s="20">
        <v>37</v>
      </c>
      <c r="N32" s="20">
        <v>38</v>
      </c>
      <c r="O32" s="20">
        <v>39</v>
      </c>
      <c r="BH32" s="20">
        <v>27</v>
      </c>
      <c r="BI32" s="20">
        <v>36</v>
      </c>
      <c r="BJ32" s="20">
        <v>39</v>
      </c>
      <c r="BK32" s="20" t="s">
        <v>4</v>
      </c>
      <c r="BO32" s="20">
        <f t="shared" si="3"/>
        <v>1</v>
      </c>
      <c r="BP32" s="20">
        <f t="shared" si="3"/>
        <v>0</v>
      </c>
      <c r="BQ32" s="20">
        <f t="shared" si="3"/>
        <v>0</v>
      </c>
      <c r="BR32" s="20">
        <f t="shared" si="3"/>
        <v>0</v>
      </c>
    </row>
    <row r="33" spans="1:71" x14ac:dyDescent="0.25">
      <c r="A33" s="24" t="s">
        <v>45</v>
      </c>
      <c r="B33" s="23">
        <f t="shared" si="4"/>
        <v>13</v>
      </c>
      <c r="C33" s="20">
        <v>36</v>
      </c>
      <c r="D33" s="20">
        <v>37</v>
      </c>
      <c r="E33" s="20">
        <v>38</v>
      </c>
      <c r="F33" s="20">
        <v>39</v>
      </c>
      <c r="G33" s="20">
        <v>40</v>
      </c>
      <c r="H33" s="20">
        <v>41</v>
      </c>
      <c r="I33" s="20">
        <v>42</v>
      </c>
      <c r="J33" s="20">
        <v>43</v>
      </c>
      <c r="K33" s="20">
        <v>44</v>
      </c>
      <c r="L33" s="20">
        <v>45</v>
      </c>
      <c r="M33" s="20">
        <v>46</v>
      </c>
      <c r="N33" s="20">
        <v>47</v>
      </c>
      <c r="O33" s="20">
        <v>48</v>
      </c>
      <c r="BH33" s="20">
        <v>36</v>
      </c>
      <c r="BI33" s="20">
        <v>43</v>
      </c>
      <c r="BJ33" s="20">
        <v>48</v>
      </c>
      <c r="BK33" s="20" t="s">
        <v>4</v>
      </c>
      <c r="BO33" s="20">
        <f t="shared" si="3"/>
        <v>1</v>
      </c>
      <c r="BP33" s="20">
        <f t="shared" si="3"/>
        <v>0</v>
      </c>
      <c r="BQ33" s="20">
        <f t="shared" si="3"/>
        <v>0</v>
      </c>
      <c r="BR33" s="20">
        <f t="shared" si="3"/>
        <v>0</v>
      </c>
    </row>
    <row r="34" spans="1:71" x14ac:dyDescent="0.25">
      <c r="A34" s="21" t="s">
        <v>105</v>
      </c>
      <c r="B34" s="23">
        <f t="shared" si="4"/>
        <v>1</v>
      </c>
      <c r="C34" s="20">
        <v>3</v>
      </c>
      <c r="BK34" s="21" t="s">
        <v>2</v>
      </c>
      <c r="BL34" s="21" t="s">
        <v>3</v>
      </c>
      <c r="BO34" s="20">
        <f t="shared" si="3"/>
        <v>0</v>
      </c>
      <c r="BP34" s="20">
        <f t="shared" si="3"/>
        <v>0</v>
      </c>
      <c r="BQ34" s="20">
        <f t="shared" si="3"/>
        <v>1</v>
      </c>
      <c r="BR34" s="20">
        <f t="shared" si="3"/>
        <v>1</v>
      </c>
      <c r="BS34" s="130" t="s">
        <v>133</v>
      </c>
    </row>
    <row r="35" spans="1:71" x14ac:dyDescent="0.25">
      <c r="A35" s="21" t="s">
        <v>106</v>
      </c>
      <c r="B35" s="23">
        <f t="shared" si="4"/>
        <v>1</v>
      </c>
      <c r="C35" s="20">
        <v>4</v>
      </c>
      <c r="BK35" s="21" t="s">
        <v>2</v>
      </c>
      <c r="BL35" s="21" t="s">
        <v>3</v>
      </c>
      <c r="BO35" s="20">
        <f t="shared" ref="BO35:BR46" si="5">COUNTIF($BK35:$BN35,BO$1)</f>
        <v>0</v>
      </c>
      <c r="BP35" s="20">
        <f t="shared" si="5"/>
        <v>0</v>
      </c>
      <c r="BQ35" s="20">
        <f t="shared" si="5"/>
        <v>1</v>
      </c>
      <c r="BR35" s="20">
        <f t="shared" si="5"/>
        <v>1</v>
      </c>
      <c r="BS35" s="127" t="s">
        <v>133</v>
      </c>
    </row>
    <row r="36" spans="1:71" x14ac:dyDescent="0.25">
      <c r="A36" s="21" t="s">
        <v>107</v>
      </c>
      <c r="B36" s="23">
        <f t="shared" si="4"/>
        <v>1</v>
      </c>
      <c r="C36" s="20">
        <v>5</v>
      </c>
      <c r="BK36" s="21" t="s">
        <v>2</v>
      </c>
      <c r="BL36" s="21" t="s">
        <v>3</v>
      </c>
      <c r="BO36" s="20">
        <f t="shared" si="5"/>
        <v>0</v>
      </c>
      <c r="BP36" s="20">
        <f t="shared" si="5"/>
        <v>0</v>
      </c>
      <c r="BQ36" s="20">
        <f t="shared" si="5"/>
        <v>1</v>
      </c>
      <c r="BR36" s="20">
        <f t="shared" si="5"/>
        <v>1</v>
      </c>
      <c r="BS36" s="127" t="s">
        <v>133</v>
      </c>
    </row>
    <row r="37" spans="1:71" x14ac:dyDescent="0.25">
      <c r="A37" s="21" t="s">
        <v>108</v>
      </c>
      <c r="B37" s="23">
        <f t="shared" si="4"/>
        <v>1</v>
      </c>
      <c r="C37" s="20">
        <v>6</v>
      </c>
      <c r="BK37" s="21" t="s">
        <v>2</v>
      </c>
      <c r="BL37" s="21" t="s">
        <v>3</v>
      </c>
      <c r="BO37" s="20">
        <f t="shared" si="5"/>
        <v>0</v>
      </c>
      <c r="BP37" s="20">
        <f t="shared" si="5"/>
        <v>0</v>
      </c>
      <c r="BQ37" s="20">
        <f t="shared" si="5"/>
        <v>1</v>
      </c>
      <c r="BR37" s="20">
        <f t="shared" si="5"/>
        <v>1</v>
      </c>
    </row>
    <row r="38" spans="1:71" x14ac:dyDescent="0.25">
      <c r="A38" s="21" t="s">
        <v>109</v>
      </c>
      <c r="B38" s="23">
        <f t="shared" si="4"/>
        <v>1</v>
      </c>
      <c r="C38" s="20">
        <v>7</v>
      </c>
      <c r="BK38" s="21" t="s">
        <v>2</v>
      </c>
      <c r="BL38" s="21" t="s">
        <v>3</v>
      </c>
      <c r="BO38" s="20">
        <f t="shared" si="5"/>
        <v>0</v>
      </c>
      <c r="BP38" s="20">
        <f t="shared" si="5"/>
        <v>0</v>
      </c>
      <c r="BQ38" s="20">
        <f t="shared" si="5"/>
        <v>1</v>
      </c>
      <c r="BR38" s="20">
        <f t="shared" si="5"/>
        <v>1</v>
      </c>
    </row>
    <row r="39" spans="1:71" x14ac:dyDescent="0.25">
      <c r="A39" s="21" t="s">
        <v>110</v>
      </c>
      <c r="B39" s="23">
        <f t="shared" si="4"/>
        <v>1</v>
      </c>
      <c r="C39" s="20">
        <v>10</v>
      </c>
      <c r="BK39" s="21" t="s">
        <v>2</v>
      </c>
      <c r="BL39" s="21" t="s">
        <v>3</v>
      </c>
      <c r="BO39" s="20">
        <f t="shared" si="5"/>
        <v>0</v>
      </c>
      <c r="BP39" s="20">
        <f t="shared" si="5"/>
        <v>0</v>
      </c>
      <c r="BQ39" s="20">
        <f t="shared" si="5"/>
        <v>1</v>
      </c>
      <c r="BR39" s="20">
        <f t="shared" si="5"/>
        <v>1</v>
      </c>
    </row>
    <row r="40" spans="1:71" x14ac:dyDescent="0.25">
      <c r="A40" s="21" t="s">
        <v>111</v>
      </c>
      <c r="B40" s="23">
        <f t="shared" si="4"/>
        <v>1</v>
      </c>
      <c r="C40" s="20">
        <v>15</v>
      </c>
      <c r="BK40" s="21" t="s">
        <v>2</v>
      </c>
      <c r="BL40" s="21" t="s">
        <v>3</v>
      </c>
      <c r="BO40" s="20">
        <f t="shared" si="5"/>
        <v>0</v>
      </c>
      <c r="BP40" s="20">
        <f t="shared" si="5"/>
        <v>0</v>
      </c>
      <c r="BQ40" s="20">
        <f t="shared" si="5"/>
        <v>1</v>
      </c>
      <c r="BR40" s="20">
        <f t="shared" si="5"/>
        <v>1</v>
      </c>
    </row>
    <row r="41" spans="1:71" x14ac:dyDescent="0.25">
      <c r="A41" s="21" t="s">
        <v>112</v>
      </c>
      <c r="B41" s="23">
        <f t="shared" si="4"/>
        <v>1</v>
      </c>
      <c r="C41" s="20">
        <v>21</v>
      </c>
      <c r="BK41" s="21" t="s">
        <v>2</v>
      </c>
      <c r="BL41" s="21" t="s">
        <v>3</v>
      </c>
      <c r="BO41" s="20">
        <f t="shared" si="5"/>
        <v>0</v>
      </c>
      <c r="BP41" s="20">
        <f t="shared" si="5"/>
        <v>0</v>
      </c>
      <c r="BQ41" s="20">
        <f t="shared" si="5"/>
        <v>1</v>
      </c>
      <c r="BR41" s="20">
        <f t="shared" si="5"/>
        <v>1</v>
      </c>
    </row>
    <row r="42" spans="1:71" x14ac:dyDescent="0.25">
      <c r="A42" s="21" t="s">
        <v>113</v>
      </c>
      <c r="B42" s="23">
        <f t="shared" si="4"/>
        <v>1</v>
      </c>
      <c r="C42" s="20">
        <v>24</v>
      </c>
      <c r="BK42" s="21" t="s">
        <v>2</v>
      </c>
      <c r="BL42" s="21" t="s">
        <v>3</v>
      </c>
      <c r="BO42" s="20">
        <f t="shared" si="5"/>
        <v>0</v>
      </c>
      <c r="BP42" s="20">
        <f t="shared" si="5"/>
        <v>0</v>
      </c>
      <c r="BQ42" s="20">
        <f t="shared" si="5"/>
        <v>1</v>
      </c>
      <c r="BR42" s="20">
        <f t="shared" si="5"/>
        <v>1</v>
      </c>
    </row>
    <row r="43" spans="1:71" x14ac:dyDescent="0.25">
      <c r="B43" s="23" t="str">
        <f t="shared" si="4"/>
        <v/>
      </c>
      <c r="BO43" s="20">
        <f t="shared" si="5"/>
        <v>0</v>
      </c>
      <c r="BP43" s="20">
        <f t="shared" si="5"/>
        <v>0</v>
      </c>
      <c r="BQ43" s="20">
        <f t="shared" si="5"/>
        <v>0</v>
      </c>
      <c r="BR43" s="20">
        <f t="shared" si="5"/>
        <v>0</v>
      </c>
    </row>
    <row r="44" spans="1:71" x14ac:dyDescent="0.25">
      <c r="B44" s="23" t="str">
        <f t="shared" si="4"/>
        <v/>
      </c>
      <c r="BO44" s="20">
        <f t="shared" si="5"/>
        <v>0</v>
      </c>
      <c r="BP44" s="20">
        <f t="shared" si="5"/>
        <v>0</v>
      </c>
      <c r="BQ44" s="20">
        <f t="shared" si="5"/>
        <v>0</v>
      </c>
      <c r="BR44" s="20">
        <f t="shared" si="5"/>
        <v>0</v>
      </c>
    </row>
    <row r="45" spans="1:71" x14ac:dyDescent="0.25">
      <c r="B45" s="23" t="str">
        <f t="shared" si="4"/>
        <v/>
      </c>
      <c r="BO45" s="20">
        <f t="shared" si="5"/>
        <v>0</v>
      </c>
      <c r="BP45" s="20">
        <f t="shared" si="5"/>
        <v>0</v>
      </c>
      <c r="BQ45" s="20">
        <f t="shared" si="5"/>
        <v>0</v>
      </c>
      <c r="BR45" s="20">
        <f t="shared" si="5"/>
        <v>0</v>
      </c>
    </row>
    <row r="46" spans="1:71" x14ac:dyDescent="0.25">
      <c r="B46" s="23" t="str">
        <f t="shared" si="4"/>
        <v/>
      </c>
      <c r="BO46" s="20">
        <f t="shared" si="5"/>
        <v>0</v>
      </c>
      <c r="BP46" s="20">
        <f t="shared" si="5"/>
        <v>0</v>
      </c>
      <c r="BQ46" s="20">
        <f t="shared" si="5"/>
        <v>0</v>
      </c>
      <c r="BR46" s="20">
        <f t="shared" si="5"/>
        <v>0</v>
      </c>
    </row>
    <row r="47" spans="1:71" x14ac:dyDescent="0.25">
      <c r="B47" s="23" t="str">
        <f t="shared" si="4"/>
        <v/>
      </c>
    </row>
    <row r="48" spans="1:71" x14ac:dyDescent="0.25">
      <c r="B48" s="23" t="str">
        <f t="shared" si="4"/>
        <v/>
      </c>
    </row>
    <row r="49" spans="2:2" x14ac:dyDescent="0.25">
      <c r="B49" s="23" t="str">
        <f t="shared" si="4"/>
        <v/>
      </c>
    </row>
    <row r="50" spans="2:2" x14ac:dyDescent="0.25">
      <c r="B50" s="23" t="str">
        <f t="shared" si="4"/>
        <v/>
      </c>
    </row>
    <row r="51" spans="2:2" x14ac:dyDescent="0.25">
      <c r="B51" s="23" t="str">
        <f t="shared" si="4"/>
        <v/>
      </c>
    </row>
    <row r="52" spans="2:2" x14ac:dyDescent="0.25">
      <c r="B52" s="23" t="str">
        <f t="shared" si="4"/>
        <v/>
      </c>
    </row>
    <row r="53" spans="2:2" x14ac:dyDescent="0.25">
      <c r="B53" s="23" t="str">
        <f t="shared" si="4"/>
        <v/>
      </c>
    </row>
    <row r="54" spans="2:2" x14ac:dyDescent="0.25">
      <c r="B54" s="23" t="str">
        <f t="shared" si="4"/>
        <v/>
      </c>
    </row>
    <row r="55" spans="2:2" x14ac:dyDescent="0.25">
      <c r="B55" s="23" t="str">
        <f t="shared" si="4"/>
        <v/>
      </c>
    </row>
    <row r="56" spans="2:2" x14ac:dyDescent="0.25">
      <c r="B56" s="23" t="str">
        <f t="shared" si="4"/>
        <v/>
      </c>
    </row>
    <row r="57" spans="2:2" x14ac:dyDescent="0.25">
      <c r="B57" s="23" t="str">
        <f t="shared" si="4"/>
        <v/>
      </c>
    </row>
    <row r="58" spans="2:2" x14ac:dyDescent="0.25">
      <c r="B58" s="23" t="str">
        <f t="shared" si="4"/>
        <v/>
      </c>
    </row>
    <row r="59" spans="2:2" x14ac:dyDescent="0.25">
      <c r="B59" s="23" t="str">
        <f t="shared" si="4"/>
        <v/>
      </c>
    </row>
    <row r="60" spans="2:2" x14ac:dyDescent="0.25">
      <c r="B60" s="23" t="str">
        <f t="shared" si="4"/>
        <v/>
      </c>
    </row>
    <row r="61" spans="2:2" x14ac:dyDescent="0.25">
      <c r="B61" s="23" t="str">
        <f t="shared" si="4"/>
        <v/>
      </c>
    </row>
    <row r="62" spans="2:2" x14ac:dyDescent="0.25">
      <c r="B62" s="23" t="str">
        <f t="shared" ref="B62:B78" si="6">IF(A62="","",COUNTA(C62:BG62))</f>
        <v/>
      </c>
    </row>
    <row r="63" spans="2:2" x14ac:dyDescent="0.25">
      <c r="B63" s="23" t="str">
        <f t="shared" si="6"/>
        <v/>
      </c>
    </row>
    <row r="64" spans="2:2" x14ac:dyDescent="0.25">
      <c r="B64" s="23" t="str">
        <f t="shared" si="6"/>
        <v/>
      </c>
    </row>
    <row r="65" spans="2:2" x14ac:dyDescent="0.25">
      <c r="B65" s="23" t="str">
        <f t="shared" si="6"/>
        <v/>
      </c>
    </row>
    <row r="66" spans="2:2" x14ac:dyDescent="0.25">
      <c r="B66" s="23" t="str">
        <f t="shared" si="6"/>
        <v/>
      </c>
    </row>
    <row r="67" spans="2:2" x14ac:dyDescent="0.25">
      <c r="B67" s="23" t="str">
        <f t="shared" si="6"/>
        <v/>
      </c>
    </row>
    <row r="68" spans="2:2" x14ac:dyDescent="0.25">
      <c r="B68" s="23" t="str">
        <f t="shared" si="6"/>
        <v/>
      </c>
    </row>
    <row r="69" spans="2:2" x14ac:dyDescent="0.25">
      <c r="B69" s="23" t="str">
        <f t="shared" si="6"/>
        <v/>
      </c>
    </row>
    <row r="70" spans="2:2" x14ac:dyDescent="0.25">
      <c r="B70" s="23" t="str">
        <f t="shared" si="6"/>
        <v/>
      </c>
    </row>
    <row r="71" spans="2:2" x14ac:dyDescent="0.25">
      <c r="B71" s="23" t="str">
        <f t="shared" si="6"/>
        <v/>
      </c>
    </row>
    <row r="72" spans="2:2" x14ac:dyDescent="0.25">
      <c r="B72" s="23" t="str">
        <f t="shared" si="6"/>
        <v/>
      </c>
    </row>
    <row r="73" spans="2:2" x14ac:dyDescent="0.25">
      <c r="B73" s="23" t="str">
        <f t="shared" si="6"/>
        <v/>
      </c>
    </row>
    <row r="74" spans="2:2" x14ac:dyDescent="0.25">
      <c r="B74" s="23" t="str">
        <f t="shared" si="6"/>
        <v/>
      </c>
    </row>
    <row r="75" spans="2:2" x14ac:dyDescent="0.25">
      <c r="B75" s="23" t="str">
        <f t="shared" si="6"/>
        <v/>
      </c>
    </row>
    <row r="76" spans="2:2" x14ac:dyDescent="0.25">
      <c r="B76" s="23" t="str">
        <f t="shared" si="6"/>
        <v/>
      </c>
    </row>
    <row r="77" spans="2:2" x14ac:dyDescent="0.25">
      <c r="B77" s="23" t="str">
        <f t="shared" si="6"/>
        <v/>
      </c>
    </row>
    <row r="78" spans="2:2" x14ac:dyDescent="0.25">
      <c r="B78" s="23" t="str">
        <f t="shared" si="6"/>
        <v/>
      </c>
    </row>
  </sheetData>
  <sheetProtection selectLockedCells="1"/>
  <autoFilter ref="A1:BJ78"/>
  <mergeCells count="1">
    <mergeCell ref="BK1:BN1"/>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Rates</vt:lpstr>
      <vt:lpstr>Thresholds_Rates</vt:lpstr>
      <vt:lpstr>1-57 Point Scale</vt:lpstr>
      <vt:lpstr>Level 7 Scale</vt:lpstr>
      <vt:lpstr>Notes &amp; Guidance</vt:lpstr>
      <vt:lpstr>Points_Lookup</vt:lpstr>
      <vt:lpstr>Grades</vt:lpstr>
      <vt:lpstr>'1-57 Point Scale'!Print_Area</vt:lpstr>
      <vt:lpstr>Rates!Print_Area</vt:lpstr>
    </vt:vector>
  </TitlesOfParts>
  <Company>The University of Nottingham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Salary-Scales-On-Costs-Pay-Award-Aug-2014-(April-2014-NI)</dc:title>
  <dc:creator>Tanya Robinson</dc:creator>
  <cp:lastModifiedBy>Howard Kathryn</cp:lastModifiedBy>
  <cp:lastPrinted>2018-01-12T16:20:32Z</cp:lastPrinted>
  <dcterms:created xsi:type="dcterms:W3CDTF">2011-11-03T09:54:30Z</dcterms:created>
  <dcterms:modified xsi:type="dcterms:W3CDTF">2018-01-19T14:57:09Z</dcterms:modified>
</cp:coreProperties>
</file>